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Office\Salry sheet 2016\"/>
    </mc:Choice>
  </mc:AlternateContent>
  <bookViews>
    <workbookView xWindow="240" yWindow="7920" windowWidth="11352" windowHeight="1176" tabRatio="824"/>
  </bookViews>
  <sheets>
    <sheet name="Salary Sheets" sheetId="1" r:id="rId1"/>
    <sheet name="Salary Record" sheetId="8" r:id="rId2"/>
    <sheet name="Salary Difference" sheetId="9" r:id="rId3"/>
  </sheets>
  <externalReferences>
    <externalReference r:id="rId4"/>
  </externalReferences>
  <definedNames>
    <definedName name="_xlnm._FilterDatabase" localSheetId="0" hidden="1">'Salary Sheets'!$A$3:$W$109</definedName>
    <definedName name="_xlnm.Print_Area" localSheetId="1">'Salary Record'!$A$53:$Z$1477</definedName>
    <definedName name="_xlnm.Print_Area" localSheetId="0">'Salary Sheets'!$A$1:$Q$125</definedName>
    <definedName name="_xlnm.Print_Titles" localSheetId="0">'Salary Sheets'!$3:$3</definedName>
  </definedNames>
  <calcPr calcId="152511"/>
  <fileRecoveryPr autoRecover="0"/>
</workbook>
</file>

<file path=xl/calcChain.xml><?xml version="1.0" encoding="utf-8"?>
<calcChain xmlns="http://schemas.openxmlformats.org/spreadsheetml/2006/main">
  <c r="R109" i="1" l="1"/>
  <c r="K60" i="8"/>
  <c r="V1390" i="8" l="1"/>
  <c r="N123" i="1" l="1"/>
  <c r="M123" i="1"/>
  <c r="R1295" i="8" l="1"/>
  <c r="W798" i="8" l="1"/>
  <c r="V798" i="8"/>
  <c r="B103" i="1" l="1"/>
  <c r="I1084" i="8" l="1"/>
  <c r="I1469" i="8" l="1"/>
  <c r="W621" i="8"/>
  <c r="I268" i="8" l="1"/>
  <c r="W1198" i="8" l="1"/>
  <c r="V381" i="8"/>
  <c r="V1197" i="8"/>
  <c r="V605" i="8"/>
  <c r="V429" i="8"/>
  <c r="R1005" i="8"/>
  <c r="W477" i="8" l="1"/>
  <c r="R1262" i="8"/>
  <c r="I508" i="8" l="1"/>
  <c r="W413" i="8" l="1"/>
  <c r="R765" i="8"/>
  <c r="R189" i="8"/>
  <c r="U1197" i="8" l="1"/>
  <c r="U1390" i="8" l="1"/>
  <c r="U1389" i="8"/>
  <c r="U1326" i="8"/>
  <c r="U1310" i="8"/>
  <c r="U1294" i="8"/>
  <c r="U1278" i="8"/>
  <c r="U1246" i="8"/>
  <c r="U1230" i="8"/>
  <c r="U1229" i="8"/>
  <c r="U1085" i="8"/>
  <c r="U1037" i="8"/>
  <c r="U989" i="8"/>
  <c r="U957" i="8"/>
  <c r="U861" i="8"/>
  <c r="U845" i="8"/>
  <c r="U797" i="8"/>
  <c r="U765" i="8"/>
  <c r="U685" i="8"/>
  <c r="U669" i="8"/>
  <c r="U637" i="8"/>
  <c r="U621" i="8"/>
  <c r="U605" i="8"/>
  <c r="U589" i="8"/>
  <c r="U573" i="8"/>
  <c r="U572" i="8"/>
  <c r="U557" i="8"/>
  <c r="U525" i="8"/>
  <c r="U509" i="8"/>
  <c r="U477" i="8"/>
  <c r="U461" i="8"/>
  <c r="U429" i="8"/>
  <c r="U413" i="8"/>
  <c r="U397" i="8"/>
  <c r="U381" i="8"/>
  <c r="U333" i="8"/>
  <c r="U301" i="8"/>
  <c r="U269" i="8"/>
  <c r="U221" i="8"/>
  <c r="U205" i="8"/>
  <c r="U189" i="8"/>
  <c r="V1085" i="8" l="1"/>
  <c r="V477" i="8" l="1"/>
  <c r="V445" i="8"/>
  <c r="V861" i="8"/>
  <c r="P1421" i="8" l="1"/>
  <c r="P1437" i="8"/>
  <c r="K733" i="8" l="1"/>
  <c r="R1261" i="8" l="1"/>
  <c r="R1260" i="8"/>
  <c r="R1259" i="8"/>
  <c r="R1258" i="8"/>
  <c r="R236" i="8"/>
  <c r="R668" i="8" l="1"/>
  <c r="R188" i="8" l="1"/>
  <c r="V604" i="8"/>
  <c r="V380" i="8" l="1"/>
  <c r="V1213" i="8"/>
  <c r="V1196" i="8"/>
  <c r="W1293" i="8" l="1"/>
  <c r="W1196" i="8"/>
  <c r="W380" i="8"/>
  <c r="W1245" i="8"/>
  <c r="W188" i="8"/>
  <c r="W588" i="8"/>
  <c r="U60" i="8"/>
  <c r="W59" i="8"/>
  <c r="U59" i="8"/>
  <c r="U1277" i="8"/>
  <c r="U988" i="8"/>
  <c r="U956" i="8"/>
  <c r="U860" i="8"/>
  <c r="U844" i="8"/>
  <c r="U764" i="8"/>
  <c r="U684" i="8"/>
  <c r="U668" i="8"/>
  <c r="U636" i="8"/>
  <c r="U620" i="8"/>
  <c r="U556" i="8"/>
  <c r="U524" i="8"/>
  <c r="U508" i="8"/>
  <c r="U460" i="8"/>
  <c r="U428" i="8"/>
  <c r="U332" i="8"/>
  <c r="U300" i="8"/>
  <c r="U268" i="8"/>
  <c r="U236" i="8"/>
  <c r="U220" i="8"/>
  <c r="U204" i="8"/>
  <c r="R393" i="8"/>
  <c r="K808" i="8" l="1"/>
  <c r="K856" i="8"/>
  <c r="K632" i="8"/>
  <c r="K936" i="8" l="1"/>
  <c r="K1241" i="8" l="1"/>
  <c r="K1000" i="8" l="1"/>
  <c r="K63" i="8" l="1"/>
  <c r="U1371" i="8" l="1"/>
  <c r="W827" i="8"/>
  <c r="V635" i="8" l="1"/>
  <c r="W955" i="8"/>
  <c r="M97" i="1"/>
  <c r="R187" i="8"/>
  <c r="R186" i="8"/>
  <c r="R185" i="8"/>
  <c r="V267" i="8" l="1"/>
  <c r="V1212" i="8"/>
  <c r="V379" i="8"/>
  <c r="V1195" i="8"/>
  <c r="V427" i="8"/>
  <c r="V155" i="8" l="1"/>
  <c r="U203" i="8"/>
  <c r="U1388" i="8" l="1"/>
  <c r="U1387" i="8"/>
  <c r="U1276" i="8"/>
  <c r="U1275" i="8"/>
  <c r="U1244" i="8"/>
  <c r="U1243" i="8"/>
  <c r="U1195" i="8"/>
  <c r="U987" i="8"/>
  <c r="U986" i="8"/>
  <c r="U859" i="8"/>
  <c r="U858" i="8"/>
  <c r="U843" i="8"/>
  <c r="U842" i="8"/>
  <c r="U763" i="8"/>
  <c r="U762" i="8"/>
  <c r="U683" i="8"/>
  <c r="U682" i="8"/>
  <c r="U667" i="8"/>
  <c r="U666" i="8"/>
  <c r="U635" i="8"/>
  <c r="U634" i="8"/>
  <c r="U571" i="8"/>
  <c r="U570" i="8"/>
  <c r="U555" i="8"/>
  <c r="U554" i="8"/>
  <c r="U523" i="8"/>
  <c r="U522" i="8"/>
  <c r="U507" i="8"/>
  <c r="U506" i="8"/>
  <c r="U459" i="8"/>
  <c r="U458" i="8"/>
  <c r="U427" i="8"/>
  <c r="U426" i="8"/>
  <c r="U330" i="8"/>
  <c r="U299" i="8"/>
  <c r="U267" i="8"/>
  <c r="U266" i="8"/>
  <c r="U219" i="8"/>
  <c r="U202" i="8"/>
  <c r="B30" i="1" l="1"/>
  <c r="B85" i="1" l="1"/>
  <c r="V1211" i="8" l="1"/>
  <c r="V1194" i="8"/>
  <c r="V426" i="8"/>
  <c r="V1275" i="8"/>
  <c r="V570" i="8"/>
  <c r="V1387" i="8" l="1"/>
  <c r="K1101" i="8" l="1"/>
  <c r="K653" i="8"/>
  <c r="W1243" i="8" l="1"/>
  <c r="W826" i="8"/>
  <c r="W1194" i="8" l="1"/>
  <c r="W474" i="8"/>
  <c r="W314" i="8"/>
  <c r="W298" i="8"/>
  <c r="V378" i="8"/>
  <c r="U377" i="8" l="1"/>
  <c r="U953" i="8"/>
  <c r="U1034" i="8"/>
  <c r="U153" i="8"/>
  <c r="W153" i="8" s="1"/>
  <c r="W152" i="8"/>
  <c r="K157" i="8"/>
  <c r="W218" i="8"/>
  <c r="W217" i="8"/>
  <c r="U234" i="8"/>
  <c r="U58" i="8"/>
  <c r="V377" i="8" l="1"/>
  <c r="V1193" i="8"/>
  <c r="W297" i="8"/>
  <c r="V1386" i="8"/>
  <c r="R473" i="8" l="1"/>
  <c r="P473" i="8"/>
  <c r="R281" i="8"/>
  <c r="P281" i="8"/>
  <c r="R569" i="8" l="1"/>
  <c r="P1402" i="8" l="1"/>
  <c r="P265" i="8" l="1"/>
  <c r="P985" i="8" l="1"/>
  <c r="P825" i="8"/>
  <c r="R633" i="8" l="1"/>
  <c r="U1242" i="8" l="1"/>
  <c r="U985" i="8"/>
  <c r="U857" i="8"/>
  <c r="U841" i="8"/>
  <c r="U761" i="8"/>
  <c r="U681" i="8"/>
  <c r="U633" i="8"/>
  <c r="U569" i="8"/>
  <c r="U553" i="8"/>
  <c r="U521" i="8"/>
  <c r="U505" i="8"/>
  <c r="U457" i="8"/>
  <c r="U425" i="8"/>
  <c r="U265" i="8"/>
  <c r="U233" i="8"/>
  <c r="U329" i="8"/>
  <c r="W825" i="8"/>
  <c r="U1274" i="8"/>
  <c r="W1290" i="8"/>
  <c r="U201" i="8"/>
  <c r="W1033" i="8"/>
  <c r="W473" i="8"/>
  <c r="U1386" i="8"/>
  <c r="W1386" i="8" s="1"/>
  <c r="W377" i="8"/>
  <c r="W313" i="8"/>
  <c r="W1193" i="8"/>
  <c r="V376" i="8" l="1"/>
  <c r="V1385" i="8"/>
  <c r="V1192" i="8"/>
  <c r="V424" i="8"/>
  <c r="K1390" i="8" l="1"/>
  <c r="R1257" i="8" l="1"/>
  <c r="R264" i="8" l="1"/>
  <c r="R296" i="8" l="1"/>
  <c r="R280" i="8"/>
  <c r="L124" i="1" l="1"/>
  <c r="B69" i="1"/>
  <c r="R680" i="8"/>
  <c r="R328" i="8"/>
  <c r="R552" i="8"/>
  <c r="R504" i="8" l="1"/>
  <c r="R184" i="8"/>
  <c r="R856" i="8" l="1"/>
  <c r="R568" i="8"/>
  <c r="R1241" i="8"/>
  <c r="R984" i="8"/>
  <c r="R456" i="8" l="1"/>
  <c r="R584" i="8" l="1"/>
  <c r="R520" i="8" l="1"/>
  <c r="V568" i="8" l="1"/>
  <c r="V200" i="8" l="1"/>
  <c r="U504" i="8" l="1"/>
  <c r="D7" i="9" l="1"/>
  <c r="D8" i="9"/>
  <c r="D9" i="9"/>
  <c r="D10" i="9"/>
  <c r="D11" i="9"/>
  <c r="D12" i="9"/>
  <c r="D13" i="9"/>
  <c r="D14" i="9"/>
  <c r="D15" i="9"/>
  <c r="D16" i="9"/>
  <c r="D17" i="9"/>
  <c r="D18" i="9" l="1"/>
  <c r="O134" i="1" l="1"/>
  <c r="W1235" i="8" l="1"/>
  <c r="R274" i="8" l="1"/>
  <c r="R273" i="8"/>
  <c r="R272" i="8"/>
  <c r="R271" i="8"/>
  <c r="B102" i="1" l="1"/>
  <c r="U1476" i="8" l="1"/>
  <c r="W1476" i="8" s="1"/>
  <c r="Y1476" i="8" s="1"/>
  <c r="U1475" i="8"/>
  <c r="R1475" i="8"/>
  <c r="U1474" i="8"/>
  <c r="W1474" i="8" s="1"/>
  <c r="Y1474" i="8" s="1"/>
  <c r="U1473" i="8"/>
  <c r="W1473" i="8" s="1"/>
  <c r="Y1473" i="8" s="1"/>
  <c r="U1472" i="8"/>
  <c r="W1472" i="8" s="1"/>
  <c r="Y1472" i="8" s="1"/>
  <c r="G1472" i="8"/>
  <c r="K1472" i="8" s="1"/>
  <c r="C1472" i="8"/>
  <c r="G36" i="1" s="1"/>
  <c r="U1471" i="8"/>
  <c r="W1471" i="8" s="1"/>
  <c r="Y1471" i="8" s="1"/>
  <c r="C1471" i="8"/>
  <c r="K1470" i="8"/>
  <c r="J36" i="1" s="1"/>
  <c r="G1470" i="8"/>
  <c r="M36" i="1" s="1"/>
  <c r="R1467" i="8"/>
  <c r="W1465" i="8"/>
  <c r="Y1465" i="8" s="1"/>
  <c r="H1464" i="8"/>
  <c r="G1464" i="8"/>
  <c r="U1460" i="8"/>
  <c r="W1460" i="8" s="1"/>
  <c r="Y1460" i="8" s="1"/>
  <c r="U1458" i="8"/>
  <c r="W1458" i="8" s="1"/>
  <c r="Y1458" i="8" s="1"/>
  <c r="U1459" i="8" s="1"/>
  <c r="R1458" i="8"/>
  <c r="U1457" i="8"/>
  <c r="W1457" i="8" s="1"/>
  <c r="Y1457" i="8" s="1"/>
  <c r="C1457" i="8"/>
  <c r="U1456" i="8"/>
  <c r="W1456" i="8" s="1"/>
  <c r="Y1456" i="8" s="1"/>
  <c r="G1456" i="8"/>
  <c r="K1456" i="8" s="1"/>
  <c r="C1456" i="8"/>
  <c r="G105" i="1" s="1"/>
  <c r="U1455" i="8"/>
  <c r="W1455" i="8" s="1"/>
  <c r="Y1455" i="8" s="1"/>
  <c r="C1455" i="8"/>
  <c r="F105" i="1" s="1"/>
  <c r="K1454" i="8"/>
  <c r="J105" i="1" s="1"/>
  <c r="G1454" i="8"/>
  <c r="M105" i="1" s="1"/>
  <c r="U1451" i="8"/>
  <c r="W1451" i="8" s="1"/>
  <c r="Y1451" i="8" s="1"/>
  <c r="U1452" i="8" s="1"/>
  <c r="W1452" i="8" s="1"/>
  <c r="Y1452" i="8" s="1"/>
  <c r="U1453" i="8" s="1"/>
  <c r="W1453" i="8" s="1"/>
  <c r="Y1453" i="8" s="1"/>
  <c r="U1454" i="8" s="1"/>
  <c r="W1454" i="8" s="1"/>
  <c r="Y1454" i="8" s="1"/>
  <c r="Y1450" i="8"/>
  <c r="W1450" i="8"/>
  <c r="U1450" i="8"/>
  <c r="Y1449" i="8"/>
  <c r="W1449" i="8"/>
  <c r="H1448" i="8"/>
  <c r="G1448" i="8"/>
  <c r="U1444" i="8"/>
  <c r="W1444" i="8" s="1"/>
  <c r="Y1444" i="8" s="1"/>
  <c r="U1442" i="8"/>
  <c r="W1442" i="8" s="1"/>
  <c r="Y1442" i="8" s="1"/>
  <c r="U1443" i="8" s="1"/>
  <c r="R1442" i="8"/>
  <c r="U1441" i="8"/>
  <c r="W1441" i="8" s="1"/>
  <c r="Y1441" i="8" s="1"/>
  <c r="U1440" i="8"/>
  <c r="W1440" i="8" s="1"/>
  <c r="Y1440" i="8" s="1"/>
  <c r="G1440" i="8"/>
  <c r="K1440" i="8" s="1"/>
  <c r="C1440" i="8"/>
  <c r="G77" i="1" s="1"/>
  <c r="U1439" i="8"/>
  <c r="W1439" i="8" s="1"/>
  <c r="Y1439" i="8" s="1"/>
  <c r="C1439" i="8"/>
  <c r="K1438" i="8"/>
  <c r="J77" i="1" s="1"/>
  <c r="G1438" i="8"/>
  <c r="M77" i="1" s="1"/>
  <c r="U1435" i="8"/>
  <c r="W1435" i="8" s="1"/>
  <c r="Y1435" i="8" s="1"/>
  <c r="U1436" i="8" s="1"/>
  <c r="W1436" i="8" s="1"/>
  <c r="Y1436" i="8" s="1"/>
  <c r="U1437" i="8" s="1"/>
  <c r="W1437" i="8" s="1"/>
  <c r="Y1437" i="8" s="1"/>
  <c r="U1438" i="8" s="1"/>
  <c r="W1438" i="8" s="1"/>
  <c r="Y1438" i="8" s="1"/>
  <c r="R1435" i="8"/>
  <c r="C1441" i="8" s="1"/>
  <c r="Y1434" i="8"/>
  <c r="W1434" i="8"/>
  <c r="U1434" i="8"/>
  <c r="Y1433" i="8"/>
  <c r="W1433" i="8"/>
  <c r="H1432" i="8"/>
  <c r="G1432" i="8"/>
  <c r="U1428" i="8"/>
  <c r="W1428" i="8" s="1"/>
  <c r="Y1428" i="8" s="1"/>
  <c r="R1428" i="8"/>
  <c r="U1426" i="8"/>
  <c r="W1426" i="8" s="1"/>
  <c r="Y1426" i="8" s="1"/>
  <c r="U1427" i="8" s="1"/>
  <c r="R1426" i="8"/>
  <c r="U1425" i="8"/>
  <c r="W1425" i="8" s="1"/>
  <c r="Y1425" i="8" s="1"/>
  <c r="U1424" i="8"/>
  <c r="W1424" i="8" s="1"/>
  <c r="Y1424" i="8" s="1"/>
  <c r="G1424" i="8"/>
  <c r="K1424" i="8" s="1"/>
  <c r="C1424" i="8"/>
  <c r="G73" i="1" s="1"/>
  <c r="U1423" i="8"/>
  <c r="W1423" i="8" s="1"/>
  <c r="Y1423" i="8" s="1"/>
  <c r="C1423" i="8"/>
  <c r="F73" i="1" s="1"/>
  <c r="K1422" i="8"/>
  <c r="J73" i="1" s="1"/>
  <c r="G1422" i="8"/>
  <c r="M73" i="1" s="1"/>
  <c r="C1425" i="8"/>
  <c r="U1419" i="8"/>
  <c r="W1419" i="8" s="1"/>
  <c r="Y1419" i="8" s="1"/>
  <c r="U1420" i="8" s="1"/>
  <c r="W1420" i="8" s="1"/>
  <c r="Y1420" i="8" s="1"/>
  <c r="U1421" i="8" s="1"/>
  <c r="W1421" i="8" s="1"/>
  <c r="Y1421" i="8" s="1"/>
  <c r="U1422" i="8" s="1"/>
  <c r="W1422" i="8" s="1"/>
  <c r="Y1422" i="8" s="1"/>
  <c r="Y1418" i="8"/>
  <c r="W1418" i="8"/>
  <c r="U1418" i="8"/>
  <c r="Y1417" i="8"/>
  <c r="W1417" i="8"/>
  <c r="H1416" i="8"/>
  <c r="G1416" i="8"/>
  <c r="U1412" i="8"/>
  <c r="W1412" i="8" s="1"/>
  <c r="Y1412" i="8" s="1"/>
  <c r="R1412" i="8"/>
  <c r="R1411" i="8"/>
  <c r="U1410" i="8"/>
  <c r="W1410" i="8" s="1"/>
  <c r="Y1410" i="8" s="1"/>
  <c r="U1411" i="8" s="1"/>
  <c r="R1410" i="8"/>
  <c r="U1409" i="8"/>
  <c r="W1409" i="8" s="1"/>
  <c r="Y1409" i="8" s="1"/>
  <c r="U1408" i="8"/>
  <c r="W1408" i="8" s="1"/>
  <c r="Y1408" i="8" s="1"/>
  <c r="G1408" i="8"/>
  <c r="C1408" i="8"/>
  <c r="G49" i="1" s="1"/>
  <c r="U1407" i="8"/>
  <c r="W1407" i="8" s="1"/>
  <c r="Y1407" i="8" s="1"/>
  <c r="C1407" i="8"/>
  <c r="F49" i="1" s="1"/>
  <c r="K1406" i="8"/>
  <c r="J49" i="1" s="1"/>
  <c r="G1406" i="8"/>
  <c r="M49" i="1" s="1"/>
  <c r="C1409" i="8"/>
  <c r="U1403" i="8"/>
  <c r="W1403" i="8" s="1"/>
  <c r="Y1403" i="8" s="1"/>
  <c r="U1404" i="8" s="1"/>
  <c r="W1404" i="8" s="1"/>
  <c r="Y1404" i="8" s="1"/>
  <c r="U1405" i="8" s="1"/>
  <c r="W1405" i="8" s="1"/>
  <c r="Y1405" i="8" s="1"/>
  <c r="U1406" i="8" s="1"/>
  <c r="W1406" i="8" s="1"/>
  <c r="Y1406" i="8" s="1"/>
  <c r="Y1402" i="8"/>
  <c r="W1402" i="8"/>
  <c r="U1402" i="8"/>
  <c r="Y1401" i="8"/>
  <c r="W1401" i="8"/>
  <c r="H1400" i="8"/>
  <c r="G1400" i="8"/>
  <c r="U1396" i="8"/>
  <c r="W1396" i="8" s="1"/>
  <c r="Y1396" i="8" s="1"/>
  <c r="R1396" i="8"/>
  <c r="R1395" i="8"/>
  <c r="R1394" i="8"/>
  <c r="G1392" i="8"/>
  <c r="C1392" i="8"/>
  <c r="G52" i="1" s="1"/>
  <c r="C1391" i="8"/>
  <c r="F52" i="1" s="1"/>
  <c r="J52" i="1"/>
  <c r="G1390" i="8"/>
  <c r="M52" i="1" s="1"/>
  <c r="R1387" i="8"/>
  <c r="W1385" i="8"/>
  <c r="Y1385" i="8" s="1"/>
  <c r="Y1386" i="8" s="1"/>
  <c r="W1387" i="8" s="1"/>
  <c r="Y1387" i="8" s="1"/>
  <c r="W1388" i="8" s="1"/>
  <c r="Y1388" i="8" s="1"/>
  <c r="W1389" i="8" s="1"/>
  <c r="Y1389" i="8" s="1"/>
  <c r="W1390" i="8" s="1"/>
  <c r="Y1390" i="8" s="1"/>
  <c r="W1391" i="8" s="1"/>
  <c r="Y1391" i="8" s="1"/>
  <c r="W1392" i="8" s="1"/>
  <c r="Y1392" i="8" s="1"/>
  <c r="W1393" i="8" s="1"/>
  <c r="Y1393" i="8" s="1"/>
  <c r="W1394" i="8" s="1"/>
  <c r="Y1394" i="8" s="1"/>
  <c r="H1384" i="8"/>
  <c r="G1384" i="8"/>
  <c r="U1380" i="8"/>
  <c r="W1380" i="8" s="1"/>
  <c r="Y1380" i="8" s="1"/>
  <c r="R1380" i="8"/>
  <c r="R1379" i="8"/>
  <c r="R1378" i="8"/>
  <c r="R1377" i="8"/>
  <c r="G1376" i="8"/>
  <c r="C1376" i="8"/>
  <c r="G90" i="1" s="1"/>
  <c r="C1375" i="8"/>
  <c r="F90" i="1" s="1"/>
  <c r="K1374" i="8"/>
  <c r="J90" i="1" s="1"/>
  <c r="G1374" i="8"/>
  <c r="M90" i="1" s="1"/>
  <c r="C1377" i="8"/>
  <c r="W1370" i="8"/>
  <c r="Y1370" i="8" s="1"/>
  <c r="U1370" i="8"/>
  <c r="Y1369" i="8"/>
  <c r="W1369" i="8"/>
  <c r="H1368" i="8"/>
  <c r="G1368" i="8"/>
  <c r="R1364" i="8"/>
  <c r="R1363" i="8"/>
  <c r="R1361" i="8"/>
  <c r="G1360" i="8"/>
  <c r="C1360" i="8"/>
  <c r="G30" i="1" s="1"/>
  <c r="C1359" i="8"/>
  <c r="K1358" i="8"/>
  <c r="J30" i="1" s="1"/>
  <c r="G1358" i="8"/>
  <c r="M30" i="1" s="1"/>
  <c r="R1356" i="8"/>
  <c r="U1355" i="8"/>
  <c r="W1355" i="8" s="1"/>
  <c r="Y1355" i="8" s="1"/>
  <c r="U1356" i="8" s="1"/>
  <c r="W1356" i="8" s="1"/>
  <c r="Y1356" i="8" s="1"/>
  <c r="U1357" i="8" s="1"/>
  <c r="W1357" i="8" s="1"/>
  <c r="Y1357" i="8" s="1"/>
  <c r="U1358" i="8" s="1"/>
  <c r="W1358" i="8" s="1"/>
  <c r="Y1358" i="8" s="1"/>
  <c r="U1359" i="8" s="1"/>
  <c r="W1359" i="8" s="1"/>
  <c r="Y1359" i="8" s="1"/>
  <c r="U1360" i="8" s="1"/>
  <c r="W1360" i="8" s="1"/>
  <c r="Y1360" i="8" s="1"/>
  <c r="U1361" i="8" s="1"/>
  <c r="W1361" i="8" s="1"/>
  <c r="Y1361" i="8" s="1"/>
  <c r="U1362" i="8" s="1"/>
  <c r="W1362" i="8" s="1"/>
  <c r="Y1362" i="8" s="1"/>
  <c r="U1363" i="8" s="1"/>
  <c r="R1355" i="8"/>
  <c r="Y1354" i="8"/>
  <c r="W1354" i="8"/>
  <c r="U1354" i="8"/>
  <c r="Y1353" i="8"/>
  <c r="W1353" i="8"/>
  <c r="H1352" i="8"/>
  <c r="G1352" i="8"/>
  <c r="U1348" i="8"/>
  <c r="W1348" i="8" s="1"/>
  <c r="Y1348" i="8" s="1"/>
  <c r="U1346" i="8"/>
  <c r="W1346" i="8" s="1"/>
  <c r="Y1346" i="8" s="1"/>
  <c r="U1347" i="8" s="1"/>
  <c r="R1346" i="8"/>
  <c r="G1344" i="8"/>
  <c r="C1344" i="8"/>
  <c r="G33" i="1" s="1"/>
  <c r="C1343" i="8"/>
  <c r="F33" i="1" s="1"/>
  <c r="K1342" i="8"/>
  <c r="J33" i="1" s="1"/>
  <c r="G1342" i="8"/>
  <c r="M33" i="1" s="1"/>
  <c r="C1345" i="8"/>
  <c r="I1341" i="8" s="1"/>
  <c r="U1339" i="8"/>
  <c r="W1339" i="8" s="1"/>
  <c r="Y1339" i="8" s="1"/>
  <c r="U1340" i="8" s="1"/>
  <c r="W1340" i="8" s="1"/>
  <c r="Y1340" i="8" s="1"/>
  <c r="U1341" i="8" s="1"/>
  <c r="W1341" i="8" s="1"/>
  <c r="Y1341" i="8" s="1"/>
  <c r="U1342" i="8" s="1"/>
  <c r="W1342" i="8" s="1"/>
  <c r="Y1342" i="8" s="1"/>
  <c r="U1343" i="8" s="1"/>
  <c r="W1343" i="8" s="1"/>
  <c r="Y1343" i="8" s="1"/>
  <c r="U1344" i="8" s="1"/>
  <c r="W1344" i="8" s="1"/>
  <c r="Y1344" i="8" s="1"/>
  <c r="U1345" i="8" s="1"/>
  <c r="W1345" i="8" s="1"/>
  <c r="Y1345" i="8" s="1"/>
  <c r="Y1338" i="8"/>
  <c r="W1338" i="8"/>
  <c r="U1338" i="8"/>
  <c r="Y1337" i="8"/>
  <c r="W1337" i="8"/>
  <c r="H1336" i="8"/>
  <c r="G1336" i="8"/>
  <c r="U1332" i="8"/>
  <c r="W1332" i="8" s="1"/>
  <c r="Y1332" i="8" s="1"/>
  <c r="R1332" i="8"/>
  <c r="U1330" i="8"/>
  <c r="W1330" i="8" s="1"/>
  <c r="Y1330" i="8" s="1"/>
  <c r="U1331" i="8" s="1"/>
  <c r="R1330" i="8"/>
  <c r="U1329" i="8"/>
  <c r="W1329" i="8" s="1"/>
  <c r="Y1329" i="8" s="1"/>
  <c r="U1328" i="8"/>
  <c r="W1328" i="8" s="1"/>
  <c r="Y1328" i="8" s="1"/>
  <c r="G1328" i="8"/>
  <c r="C1328" i="8"/>
  <c r="G31" i="1" s="1"/>
  <c r="U1327" i="8"/>
  <c r="W1327" i="8" s="1"/>
  <c r="Y1327" i="8" s="1"/>
  <c r="C1327" i="8"/>
  <c r="F31" i="1" s="1"/>
  <c r="K1326" i="8"/>
  <c r="J31" i="1" s="1"/>
  <c r="G1326" i="8"/>
  <c r="M31" i="1" s="1"/>
  <c r="R1324" i="8"/>
  <c r="C1329" i="8" s="1"/>
  <c r="U1323" i="8"/>
  <c r="W1323" i="8" s="1"/>
  <c r="Y1323" i="8" s="1"/>
  <c r="U1324" i="8" s="1"/>
  <c r="W1324" i="8" s="1"/>
  <c r="Y1324" i="8" s="1"/>
  <c r="U1325" i="8" s="1"/>
  <c r="W1325" i="8" s="1"/>
  <c r="Y1325" i="8" s="1"/>
  <c r="W1326" i="8" s="1"/>
  <c r="Y1326" i="8" s="1"/>
  <c r="R1323" i="8"/>
  <c r="Y1322" i="8"/>
  <c r="W1322" i="8"/>
  <c r="U1322" i="8"/>
  <c r="Y1321" i="8"/>
  <c r="W1321" i="8"/>
  <c r="H1320" i="8"/>
  <c r="G1320" i="8"/>
  <c r="U1316" i="8"/>
  <c r="W1316" i="8" s="1"/>
  <c r="Y1316" i="8" s="1"/>
  <c r="R1316" i="8"/>
  <c r="R1315" i="8"/>
  <c r="U1314" i="8"/>
  <c r="W1314" i="8" s="1"/>
  <c r="Y1314" i="8" s="1"/>
  <c r="U1315" i="8" s="1"/>
  <c r="R1314" i="8"/>
  <c r="U1313" i="8"/>
  <c r="W1313" i="8" s="1"/>
  <c r="Y1313" i="8" s="1"/>
  <c r="R1313" i="8"/>
  <c r="U1312" i="8"/>
  <c r="W1312" i="8" s="1"/>
  <c r="Y1312" i="8" s="1"/>
  <c r="G1312" i="8"/>
  <c r="C1312" i="8"/>
  <c r="G106" i="1" s="1"/>
  <c r="U1311" i="8"/>
  <c r="W1311" i="8" s="1"/>
  <c r="Y1311" i="8" s="1"/>
  <c r="C1311" i="8"/>
  <c r="F106" i="1" s="1"/>
  <c r="K1310" i="8"/>
  <c r="J106" i="1" s="1"/>
  <c r="G1310" i="8"/>
  <c r="M106" i="1" s="1"/>
  <c r="R1308" i="8"/>
  <c r="U1307" i="8"/>
  <c r="W1307" i="8" s="1"/>
  <c r="Y1307" i="8" s="1"/>
  <c r="U1308" i="8" s="1"/>
  <c r="W1308" i="8" s="1"/>
  <c r="Y1308" i="8" s="1"/>
  <c r="U1309" i="8" s="1"/>
  <c r="W1309" i="8" s="1"/>
  <c r="Y1309" i="8" s="1"/>
  <c r="W1310" i="8" s="1"/>
  <c r="Y1310" i="8" s="1"/>
  <c r="R1307" i="8"/>
  <c r="Y1306" i="8"/>
  <c r="W1306" i="8"/>
  <c r="U1306" i="8"/>
  <c r="Y1305" i="8"/>
  <c r="W1305" i="8"/>
  <c r="H1304" i="8"/>
  <c r="G1304" i="8"/>
  <c r="G1296" i="8"/>
  <c r="K1296" i="8" s="1"/>
  <c r="C1296" i="8"/>
  <c r="G91" i="1" s="1"/>
  <c r="C1295" i="8"/>
  <c r="F91" i="1" s="1"/>
  <c r="K1294" i="8"/>
  <c r="J91" i="1" s="1"/>
  <c r="G1294" i="8"/>
  <c r="M91" i="1" s="1"/>
  <c r="C1297" i="8"/>
  <c r="W1289" i="8"/>
  <c r="Y1289" i="8" s="1"/>
  <c r="Y1290" i="8" s="1"/>
  <c r="W1291" i="8" s="1"/>
  <c r="Y1291" i="8" s="1"/>
  <c r="W1292" i="8" s="1"/>
  <c r="Y1292" i="8" s="1"/>
  <c r="Y1293" i="8" s="1"/>
  <c r="W1294" i="8" s="1"/>
  <c r="Y1294" i="8" s="1"/>
  <c r="W1295" i="8" s="1"/>
  <c r="Y1295" i="8" s="1"/>
  <c r="W1296" i="8" s="1"/>
  <c r="Y1296" i="8" s="1"/>
  <c r="W1297" i="8" s="1"/>
  <c r="Y1297" i="8" s="1"/>
  <c r="W1298" i="8" s="1"/>
  <c r="Y1298" i="8" s="1"/>
  <c r="H1288" i="8"/>
  <c r="G1288" i="8"/>
  <c r="C1281" i="8"/>
  <c r="G1280" i="8"/>
  <c r="C1280" i="8"/>
  <c r="G76" i="1" s="1"/>
  <c r="C1279" i="8"/>
  <c r="F76" i="1" s="1"/>
  <c r="K1278" i="8"/>
  <c r="J76" i="1" s="1"/>
  <c r="G1278" i="8"/>
  <c r="M76" i="1" s="1"/>
  <c r="R1276" i="8"/>
  <c r="W1273" i="8"/>
  <c r="Y1273" i="8" s="1"/>
  <c r="W1274" i="8" s="1"/>
  <c r="Y1274" i="8" s="1"/>
  <c r="W1275" i="8" s="1"/>
  <c r="Y1275" i="8" s="1"/>
  <c r="W1276" i="8" s="1"/>
  <c r="Y1276" i="8" s="1"/>
  <c r="W1277" i="8" s="1"/>
  <c r="Y1277" i="8" s="1"/>
  <c r="W1278" i="8" s="1"/>
  <c r="Y1278" i="8" s="1"/>
  <c r="W1279" i="8" s="1"/>
  <c r="Y1279" i="8" s="1"/>
  <c r="W1280" i="8" s="1"/>
  <c r="Y1280" i="8" s="1"/>
  <c r="W1281" i="8" s="1"/>
  <c r="Y1281" i="8" s="1"/>
  <c r="W1282" i="8" s="1"/>
  <c r="Y1282" i="8" s="1"/>
  <c r="W1283" i="8" s="1"/>
  <c r="H1272" i="8"/>
  <c r="G1272" i="8"/>
  <c r="U1268" i="8"/>
  <c r="W1268" i="8" s="1"/>
  <c r="Y1268" i="8" s="1"/>
  <c r="R1267" i="8"/>
  <c r="U1266" i="8"/>
  <c r="W1266" i="8" s="1"/>
  <c r="Y1266" i="8" s="1"/>
  <c r="U1267" i="8" s="1"/>
  <c r="U1265" i="8"/>
  <c r="W1265" i="8" s="1"/>
  <c r="Y1265" i="8" s="1"/>
  <c r="R1265" i="8"/>
  <c r="U1264" i="8"/>
  <c r="W1264" i="8" s="1"/>
  <c r="Y1264" i="8" s="1"/>
  <c r="G1264" i="8"/>
  <c r="C1264" i="8"/>
  <c r="G44" i="1" s="1"/>
  <c r="U1263" i="8"/>
  <c r="W1263" i="8" s="1"/>
  <c r="Y1263" i="8" s="1"/>
  <c r="C1263" i="8"/>
  <c r="F44" i="1" s="1"/>
  <c r="K1262" i="8"/>
  <c r="J44" i="1" s="1"/>
  <c r="G1262" i="8"/>
  <c r="U1259" i="8"/>
  <c r="W1259" i="8" s="1"/>
  <c r="Y1259" i="8" s="1"/>
  <c r="U1260" i="8" s="1"/>
  <c r="W1260" i="8" s="1"/>
  <c r="Y1260" i="8" s="1"/>
  <c r="U1261" i="8" s="1"/>
  <c r="W1261" i="8" s="1"/>
  <c r="Y1261" i="8" s="1"/>
  <c r="U1262" i="8" s="1"/>
  <c r="W1262" i="8" s="1"/>
  <c r="Y1262" i="8" s="1"/>
  <c r="C1265" i="8"/>
  <c r="Y1258" i="8"/>
  <c r="W1258" i="8"/>
  <c r="U1258" i="8"/>
  <c r="Y1257" i="8"/>
  <c r="W1257" i="8"/>
  <c r="H1256" i="8"/>
  <c r="G1256" i="8"/>
  <c r="R1252" i="8"/>
  <c r="R1251" i="8"/>
  <c r="R1250" i="8"/>
  <c r="R1249" i="8"/>
  <c r="R1248" i="8"/>
  <c r="G1248" i="8"/>
  <c r="K1248" i="8" s="1"/>
  <c r="C1248" i="8"/>
  <c r="G75" i="1" s="1"/>
  <c r="R1247" i="8"/>
  <c r="C1247" i="8"/>
  <c r="F75" i="1" s="1"/>
  <c r="R1246" i="8"/>
  <c r="K1246" i="8"/>
  <c r="J75" i="1" s="1"/>
  <c r="G1246" i="8"/>
  <c r="M75" i="1" s="1"/>
  <c r="R1245" i="8"/>
  <c r="R1244" i="8"/>
  <c r="R1243" i="8"/>
  <c r="R1242" i="8"/>
  <c r="W1241" i="8"/>
  <c r="Y1241" i="8" s="1"/>
  <c r="W1242" i="8" s="1"/>
  <c r="Y1242" i="8" s="1"/>
  <c r="Y1243" i="8" s="1"/>
  <c r="W1244" i="8" s="1"/>
  <c r="Y1244" i="8" s="1"/>
  <c r="Y1245" i="8" s="1"/>
  <c r="W1246" i="8" s="1"/>
  <c r="Y1246" i="8" s="1"/>
  <c r="W1247" i="8" s="1"/>
  <c r="Y1247" i="8" s="1"/>
  <c r="W1248" i="8" s="1"/>
  <c r="Y1248" i="8" s="1"/>
  <c r="W1249" i="8" s="1"/>
  <c r="Y1249" i="8" s="1"/>
  <c r="W1250" i="8" s="1"/>
  <c r="Y1250" i="8" s="1"/>
  <c r="H1240" i="8"/>
  <c r="G1240" i="8"/>
  <c r="R1236" i="8"/>
  <c r="W1234" i="8"/>
  <c r="Y1234" i="8" s="1"/>
  <c r="G1232" i="8"/>
  <c r="O69" i="1" s="1"/>
  <c r="C1232" i="8"/>
  <c r="G69" i="1" s="1"/>
  <c r="C1231" i="8"/>
  <c r="F69" i="1" s="1"/>
  <c r="R1230" i="8"/>
  <c r="C1233" i="8" s="1"/>
  <c r="K1230" i="8"/>
  <c r="J69" i="1" s="1"/>
  <c r="G1230" i="8"/>
  <c r="M69" i="1" s="1"/>
  <c r="U1227" i="8"/>
  <c r="W1227" i="8" s="1"/>
  <c r="Y1227" i="8" s="1"/>
  <c r="U1228" i="8" s="1"/>
  <c r="W1228" i="8" s="1"/>
  <c r="Y1228" i="8" s="1"/>
  <c r="Y1226" i="8"/>
  <c r="W1226" i="8"/>
  <c r="U1226" i="8"/>
  <c r="Y1225" i="8"/>
  <c r="W1225" i="8"/>
  <c r="H1224" i="8"/>
  <c r="G1224" i="8"/>
  <c r="U1220" i="8"/>
  <c r="W1220" i="8" s="1"/>
  <c r="Y1220" i="8" s="1"/>
  <c r="R1220" i="8"/>
  <c r="R1219" i="8"/>
  <c r="R1217" i="8"/>
  <c r="G1216" i="8"/>
  <c r="K1216" i="8" s="1"/>
  <c r="C1216" i="8"/>
  <c r="G51" i="1" s="1"/>
  <c r="C1215" i="8"/>
  <c r="F51" i="1" s="1"/>
  <c r="R1214" i="8"/>
  <c r="K1214" i="8"/>
  <c r="J51" i="1" s="1"/>
  <c r="G1214" i="8"/>
  <c r="M51" i="1" s="1"/>
  <c r="C1217" i="8"/>
  <c r="U1211" i="8"/>
  <c r="W1211" i="8" s="1"/>
  <c r="Y1211" i="8" s="1"/>
  <c r="U1212" i="8" s="1"/>
  <c r="W1212" i="8" s="1"/>
  <c r="Y1212" i="8" s="1"/>
  <c r="U1213" i="8" s="1"/>
  <c r="W1213" i="8" s="1"/>
  <c r="Y1213" i="8" s="1"/>
  <c r="U1214" i="8" s="1"/>
  <c r="W1214" i="8" s="1"/>
  <c r="Y1214" i="8" s="1"/>
  <c r="U1215" i="8" s="1"/>
  <c r="W1215" i="8" s="1"/>
  <c r="Y1215" i="8" s="1"/>
  <c r="U1216" i="8" s="1"/>
  <c r="W1216" i="8" s="1"/>
  <c r="Y1216" i="8" s="1"/>
  <c r="U1217" i="8" s="1"/>
  <c r="W1217" i="8" s="1"/>
  <c r="Y1217" i="8" s="1"/>
  <c r="U1218" i="8" s="1"/>
  <c r="W1218" i="8" s="1"/>
  <c r="Y1218" i="8" s="1"/>
  <c r="U1219" i="8" s="1"/>
  <c r="Y1210" i="8"/>
  <c r="W1210" i="8"/>
  <c r="U1210" i="8"/>
  <c r="Y1209" i="8"/>
  <c r="W1209" i="8"/>
  <c r="H1208" i="8"/>
  <c r="G1208" i="8"/>
  <c r="G1199" i="8"/>
  <c r="C1199" i="8"/>
  <c r="G47" i="1" s="1"/>
  <c r="R1198" i="8"/>
  <c r="C1198" i="8"/>
  <c r="F47" i="1" s="1"/>
  <c r="K1197" i="8"/>
  <c r="J47" i="1" s="1"/>
  <c r="G1197" i="8"/>
  <c r="M47" i="1" s="1"/>
  <c r="C1200" i="8"/>
  <c r="W1192" i="8"/>
  <c r="Y1192" i="8" s="1"/>
  <c r="Y1193" i="8" s="1"/>
  <c r="Y1194" i="8" s="1"/>
  <c r="W1195" i="8" s="1"/>
  <c r="Y1195" i="8" s="1"/>
  <c r="Y1196" i="8" s="1"/>
  <c r="W1197" i="8" s="1"/>
  <c r="Y1197" i="8" s="1"/>
  <c r="Y1198" i="8" s="1"/>
  <c r="W1199" i="8" s="1"/>
  <c r="Y1199" i="8" s="1"/>
  <c r="W1200" i="8" s="1"/>
  <c r="Y1200" i="8" s="1"/>
  <c r="W1201" i="8" s="1"/>
  <c r="Y1201" i="8" s="1"/>
  <c r="H1191" i="8"/>
  <c r="G1191" i="8"/>
  <c r="U1187" i="8"/>
  <c r="W1187" i="8" s="1"/>
  <c r="Y1187" i="8" s="1"/>
  <c r="R1187" i="8"/>
  <c r="U1186" i="8"/>
  <c r="U1185" i="8"/>
  <c r="W1185" i="8" s="1"/>
  <c r="Y1185" i="8" s="1"/>
  <c r="R1185" i="8"/>
  <c r="U1184" i="8"/>
  <c r="W1184" i="8" s="1"/>
  <c r="Y1184" i="8" s="1"/>
  <c r="R1184" i="8"/>
  <c r="U1183" i="8"/>
  <c r="W1183" i="8" s="1"/>
  <c r="Y1183" i="8" s="1"/>
  <c r="R1183" i="8"/>
  <c r="G1183" i="8"/>
  <c r="K1183" i="8" s="1"/>
  <c r="C1183" i="8"/>
  <c r="G62" i="1" s="1"/>
  <c r="U1182" i="8"/>
  <c r="W1182" i="8" s="1"/>
  <c r="Y1182" i="8" s="1"/>
  <c r="R1182" i="8"/>
  <c r="C1182" i="8"/>
  <c r="F62" i="1" s="1"/>
  <c r="R1181" i="8"/>
  <c r="C1184" i="8" s="1"/>
  <c r="K1181" i="8"/>
  <c r="G1181" i="8"/>
  <c r="M62" i="1" s="1"/>
  <c r="U1178" i="8"/>
  <c r="W1178" i="8" s="1"/>
  <c r="Y1178" i="8" s="1"/>
  <c r="U1179" i="8" s="1"/>
  <c r="W1179" i="8" s="1"/>
  <c r="Y1179" i="8" s="1"/>
  <c r="U1180" i="8" s="1"/>
  <c r="W1180" i="8" s="1"/>
  <c r="Y1180" i="8" s="1"/>
  <c r="U1181" i="8" s="1"/>
  <c r="W1181" i="8" s="1"/>
  <c r="Y1181" i="8" s="1"/>
  <c r="R1178" i="8"/>
  <c r="Y1177" i="8"/>
  <c r="W1177" i="8"/>
  <c r="U1177" i="8"/>
  <c r="Y1176" i="8"/>
  <c r="W1176" i="8"/>
  <c r="H1175" i="8"/>
  <c r="G1175" i="8"/>
  <c r="U1171" i="8"/>
  <c r="W1171" i="8" s="1"/>
  <c r="R1171" i="8"/>
  <c r="R1170" i="8"/>
  <c r="U1169" i="8"/>
  <c r="W1169" i="8" s="1"/>
  <c r="Y1169" i="8" s="1"/>
  <c r="U1170" i="8" s="1"/>
  <c r="W1170" i="8" s="1"/>
  <c r="Y1170" i="8" s="1"/>
  <c r="R1169" i="8"/>
  <c r="U1168" i="8"/>
  <c r="W1168" i="8" s="1"/>
  <c r="Y1168" i="8" s="1"/>
  <c r="R1168" i="8"/>
  <c r="C1168" i="8"/>
  <c r="U1167" i="8"/>
  <c r="W1167" i="8" s="1"/>
  <c r="Y1167" i="8" s="1"/>
  <c r="R1167" i="8"/>
  <c r="G1167" i="8"/>
  <c r="K1167" i="8" s="1"/>
  <c r="C1167" i="8"/>
  <c r="U1166" i="8"/>
  <c r="W1166" i="8" s="1"/>
  <c r="Y1166" i="8" s="1"/>
  <c r="R1166" i="8"/>
  <c r="C1166" i="8"/>
  <c r="R1165" i="8"/>
  <c r="K1165" i="8"/>
  <c r="G1165" i="8"/>
  <c r="R1164" i="8"/>
  <c r="K1164" i="8"/>
  <c r="R1163" i="8"/>
  <c r="U1162" i="8"/>
  <c r="W1162" i="8" s="1"/>
  <c r="Y1162" i="8" s="1"/>
  <c r="U1163" i="8" s="1"/>
  <c r="W1163" i="8" s="1"/>
  <c r="Y1163" i="8" s="1"/>
  <c r="U1164" i="8" s="1"/>
  <c r="W1164" i="8" s="1"/>
  <c r="Y1164" i="8" s="1"/>
  <c r="U1165" i="8" s="1"/>
  <c r="W1165" i="8" s="1"/>
  <c r="Y1165" i="8" s="1"/>
  <c r="R1162" i="8"/>
  <c r="Y1161" i="8"/>
  <c r="W1161" i="8"/>
  <c r="U1161" i="8"/>
  <c r="R1161" i="8"/>
  <c r="Y1160" i="8"/>
  <c r="W1160" i="8"/>
  <c r="H1159" i="8"/>
  <c r="G1159" i="8"/>
  <c r="U1155" i="8"/>
  <c r="W1155" i="8" s="1"/>
  <c r="Y1155" i="8" s="1"/>
  <c r="U1154" i="8"/>
  <c r="R1154" i="8"/>
  <c r="U1153" i="8"/>
  <c r="W1153" i="8" s="1"/>
  <c r="Y1153" i="8" s="1"/>
  <c r="U1152" i="8"/>
  <c r="W1152" i="8" s="1"/>
  <c r="Y1152" i="8" s="1"/>
  <c r="C1152" i="8"/>
  <c r="U1151" i="8"/>
  <c r="W1151" i="8" s="1"/>
  <c r="Y1151" i="8" s="1"/>
  <c r="R1151" i="8"/>
  <c r="G1151" i="8"/>
  <c r="K1151" i="8" s="1"/>
  <c r="C1151" i="8"/>
  <c r="G25" i="1" s="1"/>
  <c r="U1150" i="8"/>
  <c r="W1150" i="8" s="1"/>
  <c r="Y1150" i="8" s="1"/>
  <c r="C1150" i="8"/>
  <c r="K1149" i="8"/>
  <c r="J25" i="1" s="1"/>
  <c r="G1149" i="8"/>
  <c r="M25" i="1" s="1"/>
  <c r="U1146" i="8"/>
  <c r="W1146" i="8" s="1"/>
  <c r="Y1146" i="8" s="1"/>
  <c r="U1147" i="8" s="1"/>
  <c r="W1147" i="8" s="1"/>
  <c r="Y1147" i="8" s="1"/>
  <c r="U1148" i="8" s="1"/>
  <c r="W1148" i="8" s="1"/>
  <c r="Y1148" i="8" s="1"/>
  <c r="U1149" i="8" s="1"/>
  <c r="W1149" i="8" s="1"/>
  <c r="Y1149" i="8" s="1"/>
  <c r="R1146" i="8"/>
  <c r="Y1145" i="8"/>
  <c r="W1145" i="8"/>
  <c r="U1145" i="8"/>
  <c r="Y1144" i="8"/>
  <c r="W1144" i="8"/>
  <c r="H1143" i="8"/>
  <c r="G1143" i="8"/>
  <c r="U1139" i="8"/>
  <c r="W1139" i="8" s="1"/>
  <c r="Y1139" i="8" s="1"/>
  <c r="R1138" i="8"/>
  <c r="U1137" i="8"/>
  <c r="W1137" i="8" s="1"/>
  <c r="Y1137" i="8" s="1"/>
  <c r="U1138" i="8" s="1"/>
  <c r="U1136" i="8"/>
  <c r="W1136" i="8" s="1"/>
  <c r="Y1136" i="8" s="1"/>
  <c r="R1136" i="8"/>
  <c r="U1135" i="8"/>
  <c r="W1135" i="8" s="1"/>
  <c r="Y1135" i="8" s="1"/>
  <c r="R1135" i="8"/>
  <c r="G1135" i="8"/>
  <c r="K1135" i="8" s="1"/>
  <c r="C1135" i="8"/>
  <c r="G22" i="1" s="1"/>
  <c r="U1134" i="8"/>
  <c r="W1134" i="8" s="1"/>
  <c r="Y1134" i="8" s="1"/>
  <c r="C1134" i="8"/>
  <c r="F22" i="1" s="1"/>
  <c r="K1133" i="8"/>
  <c r="J22" i="1" s="1"/>
  <c r="G1133" i="8"/>
  <c r="U1130" i="8"/>
  <c r="W1130" i="8" s="1"/>
  <c r="Y1130" i="8" s="1"/>
  <c r="U1131" i="8" s="1"/>
  <c r="W1131" i="8" s="1"/>
  <c r="Y1131" i="8" s="1"/>
  <c r="U1132" i="8" s="1"/>
  <c r="W1132" i="8" s="1"/>
  <c r="Y1132" i="8" s="1"/>
  <c r="U1133" i="8" s="1"/>
  <c r="W1133" i="8" s="1"/>
  <c r="Y1133" i="8" s="1"/>
  <c r="R1130" i="8"/>
  <c r="Y1129" i="8"/>
  <c r="W1129" i="8"/>
  <c r="U1129" i="8"/>
  <c r="R1129" i="8"/>
  <c r="Y1128" i="8"/>
  <c r="W1128" i="8"/>
  <c r="H1127" i="8"/>
  <c r="G1127" i="8"/>
  <c r="U1123" i="8"/>
  <c r="W1123" i="8" s="1"/>
  <c r="Y1123" i="8" s="1"/>
  <c r="R1123" i="8"/>
  <c r="R1122" i="8"/>
  <c r="U1121" i="8"/>
  <c r="W1121" i="8" s="1"/>
  <c r="Y1121" i="8" s="1"/>
  <c r="U1122" i="8" s="1"/>
  <c r="R1121" i="8"/>
  <c r="U1120" i="8"/>
  <c r="W1120" i="8" s="1"/>
  <c r="Y1120" i="8" s="1"/>
  <c r="R1120" i="8"/>
  <c r="C1120" i="8"/>
  <c r="U1119" i="8"/>
  <c r="W1119" i="8" s="1"/>
  <c r="Y1119" i="8" s="1"/>
  <c r="R1119" i="8"/>
  <c r="G1119" i="8"/>
  <c r="K1119" i="8" s="1"/>
  <c r="C1119" i="8"/>
  <c r="U1118" i="8"/>
  <c r="W1118" i="8" s="1"/>
  <c r="Y1118" i="8" s="1"/>
  <c r="R1118" i="8"/>
  <c r="C1118" i="8"/>
  <c r="R1117" i="8"/>
  <c r="K1117" i="8"/>
  <c r="G1117" i="8"/>
  <c r="R1116" i="8"/>
  <c r="K1116" i="8"/>
  <c r="R1115" i="8"/>
  <c r="U1114" i="8"/>
  <c r="W1114" i="8" s="1"/>
  <c r="Y1114" i="8" s="1"/>
  <c r="U1115" i="8" s="1"/>
  <c r="W1115" i="8" s="1"/>
  <c r="Y1115" i="8" s="1"/>
  <c r="U1116" i="8" s="1"/>
  <c r="W1116" i="8" s="1"/>
  <c r="Y1116" i="8" s="1"/>
  <c r="U1117" i="8" s="1"/>
  <c r="W1117" i="8" s="1"/>
  <c r="Y1117" i="8" s="1"/>
  <c r="Y1113" i="8"/>
  <c r="W1113" i="8"/>
  <c r="U1113" i="8"/>
  <c r="Y1112" i="8"/>
  <c r="W1112" i="8"/>
  <c r="H1111" i="8"/>
  <c r="G1111" i="8"/>
  <c r="R1107" i="8"/>
  <c r="R1106" i="8"/>
  <c r="R1105" i="8"/>
  <c r="R1104" i="8"/>
  <c r="R1103" i="8"/>
  <c r="G1103" i="8"/>
  <c r="K1103" i="8" s="1"/>
  <c r="C1103" i="8"/>
  <c r="G82" i="1" s="1"/>
  <c r="R1102" i="8"/>
  <c r="C1102" i="8"/>
  <c r="F82" i="1" s="1"/>
  <c r="G1101" i="8"/>
  <c r="M82" i="1" s="1"/>
  <c r="R1099" i="8"/>
  <c r="R1097" i="8"/>
  <c r="C1104" i="8" s="1"/>
  <c r="W1096" i="8"/>
  <c r="Y1096" i="8" s="1"/>
  <c r="W1097" i="8" s="1"/>
  <c r="Y1097" i="8" s="1"/>
  <c r="W1098" i="8" s="1"/>
  <c r="Y1098" i="8" s="1"/>
  <c r="W1099" i="8" s="1"/>
  <c r="Y1099" i="8" s="1"/>
  <c r="W1100" i="8" s="1"/>
  <c r="Y1100" i="8" s="1"/>
  <c r="W1101" i="8" s="1"/>
  <c r="Y1101" i="8" s="1"/>
  <c r="W1102" i="8" s="1"/>
  <c r="Y1102" i="8" s="1"/>
  <c r="W1103" i="8" s="1"/>
  <c r="Y1103" i="8" s="1"/>
  <c r="W1104" i="8" s="1"/>
  <c r="Y1104" i="8" s="1"/>
  <c r="W1105" i="8" s="1"/>
  <c r="Y1105" i="8" s="1"/>
  <c r="H1095" i="8"/>
  <c r="G1095" i="8"/>
  <c r="U1091" i="8"/>
  <c r="W1091" i="8" s="1"/>
  <c r="Y1091" i="8" s="1"/>
  <c r="R1090" i="8"/>
  <c r="U1089" i="8"/>
  <c r="W1089" i="8" s="1"/>
  <c r="Y1089" i="8" s="1"/>
  <c r="U1090" i="8" s="1"/>
  <c r="R1089" i="8"/>
  <c r="U1088" i="8"/>
  <c r="W1088" i="8" s="1"/>
  <c r="Y1088" i="8" s="1"/>
  <c r="R1088" i="8"/>
  <c r="U1087" i="8"/>
  <c r="W1087" i="8" s="1"/>
  <c r="Y1087" i="8" s="1"/>
  <c r="R1087" i="8"/>
  <c r="G1087" i="8"/>
  <c r="C1087" i="8"/>
  <c r="G20" i="1" s="1"/>
  <c r="U1086" i="8"/>
  <c r="W1086" i="8" s="1"/>
  <c r="Y1086" i="8" s="1"/>
  <c r="R1086" i="8"/>
  <c r="C1086" i="8"/>
  <c r="F20" i="1" s="1"/>
  <c r="R1085" i="8"/>
  <c r="K1085" i="8"/>
  <c r="J20" i="1" s="1"/>
  <c r="G1085" i="8"/>
  <c r="M20" i="1" s="1"/>
  <c r="R1083" i="8"/>
  <c r="U1082" i="8"/>
  <c r="W1082" i="8" s="1"/>
  <c r="Y1082" i="8" s="1"/>
  <c r="U1083" i="8" s="1"/>
  <c r="W1083" i="8" s="1"/>
  <c r="Y1083" i="8" s="1"/>
  <c r="U1084" i="8" s="1"/>
  <c r="W1084" i="8" s="1"/>
  <c r="Y1084" i="8" s="1"/>
  <c r="W1085" i="8" s="1"/>
  <c r="Y1085" i="8" s="1"/>
  <c r="Y1081" i="8"/>
  <c r="W1081" i="8"/>
  <c r="U1081" i="8"/>
  <c r="R1081" i="8"/>
  <c r="Y1080" i="8"/>
  <c r="W1080" i="8"/>
  <c r="H1079" i="8"/>
  <c r="G1079" i="8"/>
  <c r="R1075" i="8"/>
  <c r="R1074" i="8"/>
  <c r="R1073" i="8"/>
  <c r="R1072" i="8"/>
  <c r="C1072" i="8"/>
  <c r="R1071" i="8"/>
  <c r="G1071" i="8"/>
  <c r="K1071" i="8" s="1"/>
  <c r="C1071" i="8"/>
  <c r="R1070" i="8"/>
  <c r="K1070" i="8"/>
  <c r="C1070" i="8"/>
  <c r="R1069" i="8"/>
  <c r="K1069" i="8"/>
  <c r="G1069" i="8"/>
  <c r="R1068" i="8"/>
  <c r="K1068" i="8"/>
  <c r="R1067" i="8"/>
  <c r="W1066" i="8"/>
  <c r="Y1066" i="8" s="1"/>
  <c r="W1067" i="8" s="1"/>
  <c r="Y1067" i="8" s="1"/>
  <c r="W1068" i="8" s="1"/>
  <c r="Y1068" i="8" s="1"/>
  <c r="W1069" i="8" s="1"/>
  <c r="Y1069" i="8" s="1"/>
  <c r="W1070" i="8" s="1"/>
  <c r="Y1070" i="8" s="1"/>
  <c r="W1071" i="8" s="1"/>
  <c r="Y1071" i="8" s="1"/>
  <c r="W1072" i="8" s="1"/>
  <c r="Y1072" i="8" s="1"/>
  <c r="W1073" i="8" s="1"/>
  <c r="Y1073" i="8" s="1"/>
  <c r="R1066" i="8"/>
  <c r="Y1065" i="8"/>
  <c r="W1065" i="8"/>
  <c r="R1065" i="8"/>
  <c r="W1064" i="8"/>
  <c r="Y1064" i="8" s="1"/>
  <c r="H1063" i="8"/>
  <c r="G1063" i="8"/>
  <c r="U1059" i="8"/>
  <c r="W1059" i="8" s="1"/>
  <c r="Y1059" i="8" s="1"/>
  <c r="R1059" i="8"/>
  <c r="R1058" i="8"/>
  <c r="U1057" i="8"/>
  <c r="W1057" i="8" s="1"/>
  <c r="Y1057" i="8" s="1"/>
  <c r="U1058" i="8" s="1"/>
  <c r="R1057" i="8"/>
  <c r="U1056" i="8"/>
  <c r="W1056" i="8" s="1"/>
  <c r="Y1056" i="8" s="1"/>
  <c r="R1056" i="8"/>
  <c r="C1056" i="8"/>
  <c r="U1055" i="8"/>
  <c r="W1055" i="8" s="1"/>
  <c r="Y1055" i="8" s="1"/>
  <c r="R1055" i="8"/>
  <c r="G1055" i="8"/>
  <c r="K1055" i="8" s="1"/>
  <c r="C1055" i="8"/>
  <c r="U1054" i="8"/>
  <c r="W1054" i="8" s="1"/>
  <c r="Y1054" i="8" s="1"/>
  <c r="R1054" i="8"/>
  <c r="C1054" i="8"/>
  <c r="R1053" i="8"/>
  <c r="K1053" i="8"/>
  <c r="G1053" i="8"/>
  <c r="R1052" i="8"/>
  <c r="K1052" i="8"/>
  <c r="R1051" i="8"/>
  <c r="U1050" i="8"/>
  <c r="W1050" i="8" s="1"/>
  <c r="Y1050" i="8" s="1"/>
  <c r="U1051" i="8" s="1"/>
  <c r="W1051" i="8" s="1"/>
  <c r="Y1051" i="8" s="1"/>
  <c r="U1052" i="8" s="1"/>
  <c r="W1052" i="8" s="1"/>
  <c r="Y1052" i="8" s="1"/>
  <c r="U1053" i="8" s="1"/>
  <c r="W1053" i="8" s="1"/>
  <c r="Y1053" i="8" s="1"/>
  <c r="R1050" i="8"/>
  <c r="Y1049" i="8"/>
  <c r="W1049" i="8"/>
  <c r="U1049" i="8"/>
  <c r="R1049" i="8"/>
  <c r="Y1048" i="8"/>
  <c r="W1048" i="8"/>
  <c r="H1047" i="8"/>
  <c r="G1047" i="8"/>
  <c r="R1041" i="8"/>
  <c r="R1040" i="8"/>
  <c r="G1039" i="8"/>
  <c r="C1039" i="8"/>
  <c r="G60" i="1" s="1"/>
  <c r="C1038" i="8"/>
  <c r="K1037" i="8"/>
  <c r="J60" i="1" s="1"/>
  <c r="G1037" i="8"/>
  <c r="M60" i="1" s="1"/>
  <c r="C1040" i="8"/>
  <c r="W1032" i="8"/>
  <c r="Y1032" i="8" s="1"/>
  <c r="Y1033" i="8" s="1"/>
  <c r="W1034" i="8" s="1"/>
  <c r="Y1034" i="8" s="1"/>
  <c r="H1031" i="8"/>
  <c r="G1031" i="8"/>
  <c r="C1024" i="8"/>
  <c r="R1024" i="8"/>
  <c r="U1023" i="8"/>
  <c r="W1023" i="8" s="1"/>
  <c r="Y1023" i="8" s="1"/>
  <c r="U1024" i="8" s="1"/>
  <c r="W1024" i="8" s="1"/>
  <c r="Y1024" i="8" s="1"/>
  <c r="U1025" i="8" s="1"/>
  <c r="W1025" i="8" s="1"/>
  <c r="Y1025" i="8" s="1"/>
  <c r="U1026" i="8" s="1"/>
  <c r="Y1026" i="8" s="1"/>
  <c r="U1027" i="8" s="1"/>
  <c r="W1027" i="8" s="1"/>
  <c r="Y1027" i="8" s="1"/>
  <c r="G1023" i="8"/>
  <c r="K1023" i="8" s="1"/>
  <c r="C1023" i="8"/>
  <c r="G101" i="1" s="1"/>
  <c r="U1022" i="8"/>
  <c r="W1022" i="8" s="1"/>
  <c r="Y1022" i="8" s="1"/>
  <c r="C1022" i="8"/>
  <c r="F101" i="1" s="1"/>
  <c r="R1021" i="8"/>
  <c r="K1021" i="8"/>
  <c r="J101" i="1" s="1"/>
  <c r="G1021" i="8"/>
  <c r="U1018" i="8"/>
  <c r="W1018" i="8" s="1"/>
  <c r="Y1018" i="8" s="1"/>
  <c r="U1019" i="8" s="1"/>
  <c r="W1019" i="8" s="1"/>
  <c r="Y1019" i="8" s="1"/>
  <c r="U1020" i="8" s="1"/>
  <c r="W1020" i="8" s="1"/>
  <c r="R1018" i="8"/>
  <c r="Y1017" i="8"/>
  <c r="W1017" i="8"/>
  <c r="U1017" i="8"/>
  <c r="R1017" i="8"/>
  <c r="Y1016" i="8"/>
  <c r="W1016" i="8"/>
  <c r="H1015" i="8"/>
  <c r="G1015" i="8"/>
  <c r="U1011" i="8"/>
  <c r="W1011" i="8" s="1"/>
  <c r="Y1011" i="8" s="1"/>
  <c r="R1011" i="8"/>
  <c r="R1010" i="8"/>
  <c r="U1009" i="8"/>
  <c r="W1009" i="8" s="1"/>
  <c r="Y1009" i="8" s="1"/>
  <c r="U1010" i="8" s="1"/>
  <c r="W1010" i="8" s="1"/>
  <c r="R1009" i="8"/>
  <c r="U1008" i="8"/>
  <c r="W1008" i="8" s="1"/>
  <c r="Y1008" i="8" s="1"/>
  <c r="R1008" i="8"/>
  <c r="U1007" i="8"/>
  <c r="W1007" i="8" s="1"/>
  <c r="Y1007" i="8" s="1"/>
  <c r="R1007" i="8"/>
  <c r="G1007" i="8"/>
  <c r="K1007" i="8" s="1"/>
  <c r="C1007" i="8"/>
  <c r="G95" i="1" s="1"/>
  <c r="U1006" i="8"/>
  <c r="W1006" i="8" s="1"/>
  <c r="Y1006" i="8" s="1"/>
  <c r="R1006" i="8"/>
  <c r="C1006" i="8"/>
  <c r="F95" i="1" s="1"/>
  <c r="K1005" i="8"/>
  <c r="J95" i="1" s="1"/>
  <c r="G1005" i="8"/>
  <c r="M95" i="1" s="1"/>
  <c r="R1004" i="8"/>
  <c r="R1003" i="8"/>
  <c r="U1002" i="8"/>
  <c r="W1002" i="8" s="1"/>
  <c r="Y1002" i="8" s="1"/>
  <c r="U1003" i="8" s="1"/>
  <c r="W1003" i="8" s="1"/>
  <c r="Y1003" i="8" s="1"/>
  <c r="U1004" i="8" s="1"/>
  <c r="W1004" i="8" s="1"/>
  <c r="Y1004" i="8" s="1"/>
  <c r="U1005" i="8" s="1"/>
  <c r="W1005" i="8" s="1"/>
  <c r="Y1005" i="8" s="1"/>
  <c r="R1002" i="8"/>
  <c r="Y1001" i="8"/>
  <c r="W1001" i="8"/>
  <c r="U1001" i="8"/>
  <c r="R1001" i="8"/>
  <c r="Y1000" i="8"/>
  <c r="W1000" i="8"/>
  <c r="R1000" i="8"/>
  <c r="H999" i="8"/>
  <c r="G999" i="8"/>
  <c r="G991" i="8"/>
  <c r="K991" i="8" s="1"/>
  <c r="C991" i="8"/>
  <c r="G24" i="1" s="1"/>
  <c r="R990" i="8"/>
  <c r="C990" i="8"/>
  <c r="K989" i="8"/>
  <c r="J24" i="1" s="1"/>
  <c r="G989" i="8"/>
  <c r="M24" i="1" s="1"/>
  <c r="R988" i="8"/>
  <c r="C992" i="8" s="1"/>
  <c r="I988" i="8" s="1"/>
  <c r="Y984" i="8"/>
  <c r="W985" i="8" s="1"/>
  <c r="Y985" i="8" s="1"/>
  <c r="W986" i="8" s="1"/>
  <c r="Y986" i="8" s="1"/>
  <c r="W987" i="8" s="1"/>
  <c r="Y987" i="8" s="1"/>
  <c r="W988" i="8" s="1"/>
  <c r="Y988" i="8" s="1"/>
  <c r="W989" i="8" s="1"/>
  <c r="Y989" i="8" s="1"/>
  <c r="W990" i="8" s="1"/>
  <c r="Y990" i="8" s="1"/>
  <c r="W991" i="8" s="1"/>
  <c r="Y991" i="8" s="1"/>
  <c r="W992" i="8" s="1"/>
  <c r="Y992" i="8" s="1"/>
  <c r="W993" i="8" s="1"/>
  <c r="Y993" i="8" s="1"/>
  <c r="W984" i="8"/>
  <c r="H983" i="8"/>
  <c r="G983" i="8"/>
  <c r="U979" i="8"/>
  <c r="W979" i="8" s="1"/>
  <c r="Y979" i="8" s="1"/>
  <c r="R979" i="8"/>
  <c r="R978" i="8"/>
  <c r="U977" i="8"/>
  <c r="W977" i="8" s="1"/>
  <c r="Y977" i="8" s="1"/>
  <c r="U978" i="8" s="1"/>
  <c r="R977" i="8"/>
  <c r="U976" i="8"/>
  <c r="W976" i="8" s="1"/>
  <c r="Y976" i="8" s="1"/>
  <c r="U975" i="8"/>
  <c r="W975" i="8" s="1"/>
  <c r="Y975" i="8" s="1"/>
  <c r="G975" i="8"/>
  <c r="K975" i="8" s="1"/>
  <c r="C975" i="8"/>
  <c r="G27" i="1" s="1"/>
  <c r="U974" i="8"/>
  <c r="W974" i="8" s="1"/>
  <c r="Y974" i="8" s="1"/>
  <c r="C974" i="8"/>
  <c r="F27" i="1" s="1"/>
  <c r="K973" i="8"/>
  <c r="J27" i="1" s="1"/>
  <c r="G973" i="8"/>
  <c r="M27" i="1" s="1"/>
  <c r="R972" i="8"/>
  <c r="R971" i="8"/>
  <c r="U970" i="8"/>
  <c r="W970" i="8" s="1"/>
  <c r="Y970" i="8" s="1"/>
  <c r="U971" i="8" s="1"/>
  <c r="W971" i="8" s="1"/>
  <c r="Y971" i="8" s="1"/>
  <c r="U972" i="8" s="1"/>
  <c r="W972" i="8" s="1"/>
  <c r="Y972" i="8" s="1"/>
  <c r="U973" i="8" s="1"/>
  <c r="W973" i="8" s="1"/>
  <c r="Y973" i="8" s="1"/>
  <c r="R970" i="8"/>
  <c r="Y969" i="8"/>
  <c r="W969" i="8"/>
  <c r="U969" i="8"/>
  <c r="Y968" i="8"/>
  <c r="W968" i="8"/>
  <c r="H967" i="8"/>
  <c r="G967" i="8"/>
  <c r="R963" i="8"/>
  <c r="R962" i="8"/>
  <c r="R960" i="8"/>
  <c r="R959" i="8"/>
  <c r="G959" i="8"/>
  <c r="O99" i="1" s="1"/>
  <c r="C959" i="8"/>
  <c r="G99" i="1" s="1"/>
  <c r="R958" i="8"/>
  <c r="C958" i="8"/>
  <c r="F99" i="1" s="1"/>
  <c r="R957" i="8"/>
  <c r="K957" i="8"/>
  <c r="J99" i="1" s="1"/>
  <c r="G957" i="8"/>
  <c r="M99" i="1" s="1"/>
  <c r="R956" i="8"/>
  <c r="R955" i="8"/>
  <c r="R953" i="8"/>
  <c r="W952" i="8"/>
  <c r="Y952" i="8" s="1"/>
  <c r="W953" i="8" s="1"/>
  <c r="Y953" i="8" s="1"/>
  <c r="H951" i="8"/>
  <c r="G951" i="8"/>
  <c r="U947" i="8"/>
  <c r="W947" i="8" s="1"/>
  <c r="Y947" i="8" s="1"/>
  <c r="R947" i="8"/>
  <c r="R946" i="8"/>
  <c r="U945" i="8"/>
  <c r="W945" i="8" s="1"/>
  <c r="Y945" i="8" s="1"/>
  <c r="U946" i="8" s="1"/>
  <c r="R945" i="8"/>
  <c r="U944" i="8"/>
  <c r="W944" i="8" s="1"/>
  <c r="Y944" i="8" s="1"/>
  <c r="R944" i="8"/>
  <c r="U943" i="8"/>
  <c r="W943" i="8" s="1"/>
  <c r="Y943" i="8" s="1"/>
  <c r="G943" i="8"/>
  <c r="C943" i="8"/>
  <c r="G68" i="1" s="1"/>
  <c r="U942" i="8"/>
  <c r="W942" i="8" s="1"/>
  <c r="Y942" i="8" s="1"/>
  <c r="C942" i="8"/>
  <c r="F68" i="1" s="1"/>
  <c r="R941" i="8"/>
  <c r="K941" i="8"/>
  <c r="J68" i="1" s="1"/>
  <c r="G941" i="8"/>
  <c r="M68" i="1" s="1"/>
  <c r="R940" i="8"/>
  <c r="R939" i="8"/>
  <c r="C944" i="8" s="1"/>
  <c r="U938" i="8"/>
  <c r="W938" i="8" s="1"/>
  <c r="Y938" i="8" s="1"/>
  <c r="U939" i="8" s="1"/>
  <c r="W939" i="8" s="1"/>
  <c r="Y939" i="8" s="1"/>
  <c r="U940" i="8" s="1"/>
  <c r="W940" i="8" s="1"/>
  <c r="Y940" i="8" s="1"/>
  <c r="U941" i="8" s="1"/>
  <c r="W941" i="8" s="1"/>
  <c r="Y941" i="8" s="1"/>
  <c r="R938" i="8"/>
  <c r="Y937" i="8"/>
  <c r="W937" i="8"/>
  <c r="U937" i="8"/>
  <c r="Y936" i="8"/>
  <c r="W936" i="8"/>
  <c r="H935" i="8"/>
  <c r="G935" i="8"/>
  <c r="U931" i="8"/>
  <c r="W931" i="8" s="1"/>
  <c r="Y931" i="8" s="1"/>
  <c r="R931" i="8"/>
  <c r="R930" i="8"/>
  <c r="U929" i="8"/>
  <c r="W929" i="8" s="1"/>
  <c r="Y929" i="8" s="1"/>
  <c r="U930" i="8" s="1"/>
  <c r="R929" i="8"/>
  <c r="U928" i="8"/>
  <c r="W928" i="8" s="1"/>
  <c r="Y928" i="8" s="1"/>
  <c r="R928" i="8"/>
  <c r="C928" i="8"/>
  <c r="U927" i="8"/>
  <c r="W927" i="8" s="1"/>
  <c r="Y927" i="8" s="1"/>
  <c r="R927" i="8"/>
  <c r="G927" i="8"/>
  <c r="O79" i="1" s="1"/>
  <c r="C927" i="8"/>
  <c r="G79" i="1" s="1"/>
  <c r="U926" i="8"/>
  <c r="W926" i="8" s="1"/>
  <c r="Y926" i="8" s="1"/>
  <c r="R926" i="8"/>
  <c r="C926" i="8"/>
  <c r="F79" i="1" s="1"/>
  <c r="R925" i="8"/>
  <c r="K925" i="8"/>
  <c r="J79" i="1" s="1"/>
  <c r="G925" i="8"/>
  <c r="M79" i="1" s="1"/>
  <c r="R924" i="8"/>
  <c r="K924" i="8"/>
  <c r="U922" i="8"/>
  <c r="W922" i="8" s="1"/>
  <c r="Y922" i="8" s="1"/>
  <c r="U923" i="8" s="1"/>
  <c r="W923" i="8" s="1"/>
  <c r="Y923" i="8" s="1"/>
  <c r="U924" i="8" s="1"/>
  <c r="W924" i="8" s="1"/>
  <c r="Y924" i="8" s="1"/>
  <c r="U925" i="8" s="1"/>
  <c r="W925" i="8" s="1"/>
  <c r="Y925" i="8" s="1"/>
  <c r="Y921" i="8"/>
  <c r="W921" i="8"/>
  <c r="U921" i="8"/>
  <c r="Y920" i="8"/>
  <c r="W920" i="8"/>
  <c r="H919" i="8"/>
  <c r="G919" i="8"/>
  <c r="U915" i="8"/>
  <c r="W915" i="8" s="1"/>
  <c r="Y915" i="8" s="1"/>
  <c r="R915" i="8"/>
  <c r="U914" i="8"/>
  <c r="R914" i="8"/>
  <c r="U913" i="8"/>
  <c r="W913" i="8" s="1"/>
  <c r="Y913" i="8" s="1"/>
  <c r="R913" i="8"/>
  <c r="U912" i="8"/>
  <c r="W912" i="8" s="1"/>
  <c r="Y912" i="8" s="1"/>
  <c r="R912" i="8"/>
  <c r="U911" i="8"/>
  <c r="W911" i="8" s="1"/>
  <c r="Y911" i="8" s="1"/>
  <c r="R911" i="8"/>
  <c r="G911" i="8"/>
  <c r="K911" i="8" s="1"/>
  <c r="C911" i="8"/>
  <c r="G23" i="1" s="1"/>
  <c r="U910" i="8"/>
  <c r="W910" i="8" s="1"/>
  <c r="Y910" i="8" s="1"/>
  <c r="R910" i="8"/>
  <c r="C910" i="8"/>
  <c r="F23" i="1" s="1"/>
  <c r="R909" i="8"/>
  <c r="K909" i="8"/>
  <c r="J23" i="1" s="1"/>
  <c r="G909" i="8"/>
  <c r="M23" i="1" s="1"/>
  <c r="R908" i="8"/>
  <c r="R907" i="8"/>
  <c r="U906" i="8"/>
  <c r="W906" i="8" s="1"/>
  <c r="Y906" i="8" s="1"/>
  <c r="U907" i="8" s="1"/>
  <c r="W907" i="8" s="1"/>
  <c r="Y907" i="8" s="1"/>
  <c r="U908" i="8" s="1"/>
  <c r="W908" i="8" s="1"/>
  <c r="Y908" i="8" s="1"/>
  <c r="U909" i="8" s="1"/>
  <c r="W909" i="8" s="1"/>
  <c r="Y909" i="8" s="1"/>
  <c r="R906" i="8"/>
  <c r="Y905" i="8"/>
  <c r="W905" i="8"/>
  <c r="U905" i="8"/>
  <c r="R905" i="8"/>
  <c r="Y904" i="8"/>
  <c r="W904" i="8"/>
  <c r="R904" i="8"/>
  <c r="H903" i="8"/>
  <c r="G903" i="8"/>
  <c r="U899" i="8"/>
  <c r="W899" i="8" s="1"/>
  <c r="Y899" i="8" s="1"/>
  <c r="U898" i="8"/>
  <c r="W898" i="8" s="1"/>
  <c r="R898" i="8"/>
  <c r="U897" i="8"/>
  <c r="W897" i="8" s="1"/>
  <c r="Y897" i="8" s="1"/>
  <c r="R897" i="8"/>
  <c r="U896" i="8"/>
  <c r="W896" i="8" s="1"/>
  <c r="Y896" i="8" s="1"/>
  <c r="C896" i="8"/>
  <c r="U895" i="8"/>
  <c r="W895" i="8" s="1"/>
  <c r="Y895" i="8" s="1"/>
  <c r="G895" i="8"/>
  <c r="C895" i="8"/>
  <c r="U894" i="8"/>
  <c r="W894" i="8" s="1"/>
  <c r="Y894" i="8" s="1"/>
  <c r="C894" i="8"/>
  <c r="K893" i="8"/>
  <c r="G893" i="8"/>
  <c r="R891" i="8"/>
  <c r="U890" i="8"/>
  <c r="W890" i="8" s="1"/>
  <c r="Y890" i="8" s="1"/>
  <c r="U891" i="8" s="1"/>
  <c r="W891" i="8" s="1"/>
  <c r="Y891" i="8" s="1"/>
  <c r="U892" i="8" s="1"/>
  <c r="W892" i="8" s="1"/>
  <c r="Y892" i="8" s="1"/>
  <c r="U893" i="8" s="1"/>
  <c r="W893" i="8" s="1"/>
  <c r="Y893" i="8" s="1"/>
  <c r="R890" i="8"/>
  <c r="Y889" i="8"/>
  <c r="W889" i="8"/>
  <c r="U889" i="8"/>
  <c r="R889" i="8"/>
  <c r="Y888" i="8"/>
  <c r="W888" i="8"/>
  <c r="H887" i="8"/>
  <c r="G887" i="8"/>
  <c r="U883" i="8"/>
  <c r="R882" i="8"/>
  <c r="R883" i="8" s="1"/>
  <c r="U881" i="8"/>
  <c r="W881" i="8" s="1"/>
  <c r="Y881" i="8" s="1"/>
  <c r="U882" i="8" s="1"/>
  <c r="W882" i="8" s="1"/>
  <c r="Y882" i="8" s="1"/>
  <c r="R881" i="8"/>
  <c r="U880" i="8"/>
  <c r="W880" i="8" s="1"/>
  <c r="Y880" i="8" s="1"/>
  <c r="R880" i="8"/>
  <c r="U879" i="8"/>
  <c r="W879" i="8" s="1"/>
  <c r="Y879" i="8" s="1"/>
  <c r="R879" i="8"/>
  <c r="G879" i="8"/>
  <c r="K879" i="8" s="1"/>
  <c r="C879" i="8"/>
  <c r="G32" i="1" s="1"/>
  <c r="U878" i="8"/>
  <c r="W878" i="8" s="1"/>
  <c r="Y878" i="8" s="1"/>
  <c r="R878" i="8"/>
  <c r="C878" i="8"/>
  <c r="F32" i="1" s="1"/>
  <c r="R877" i="8"/>
  <c r="K877" i="8"/>
  <c r="J32" i="1" s="1"/>
  <c r="G877" i="8"/>
  <c r="M32" i="1" s="1"/>
  <c r="R876" i="8"/>
  <c r="R875" i="8"/>
  <c r="U874" i="8"/>
  <c r="W874" i="8" s="1"/>
  <c r="Y874" i="8" s="1"/>
  <c r="U875" i="8" s="1"/>
  <c r="W875" i="8" s="1"/>
  <c r="Y875" i="8" s="1"/>
  <c r="U876" i="8" s="1"/>
  <c r="W876" i="8" s="1"/>
  <c r="Y876" i="8" s="1"/>
  <c r="U877" i="8" s="1"/>
  <c r="W877" i="8" s="1"/>
  <c r="Y877" i="8" s="1"/>
  <c r="R874" i="8"/>
  <c r="Y873" i="8"/>
  <c r="W873" i="8"/>
  <c r="U873" i="8"/>
  <c r="Y872" i="8"/>
  <c r="W872" i="8"/>
  <c r="H871" i="8"/>
  <c r="G871" i="8"/>
  <c r="R867" i="8"/>
  <c r="R866" i="8"/>
  <c r="R865" i="8"/>
  <c r="R864" i="8"/>
  <c r="R863" i="8"/>
  <c r="G863" i="8"/>
  <c r="K863" i="8" s="1"/>
  <c r="C863" i="8"/>
  <c r="G57" i="1" s="1"/>
  <c r="R862" i="8"/>
  <c r="C862" i="8"/>
  <c r="F57" i="1" s="1"/>
  <c r="R861" i="8"/>
  <c r="K861" i="8"/>
  <c r="J57" i="1" s="1"/>
  <c r="G861" i="8"/>
  <c r="M57" i="1" s="1"/>
  <c r="R860" i="8"/>
  <c r="R859" i="8"/>
  <c r="W858" i="8"/>
  <c r="Y858" i="8" s="1"/>
  <c r="W859" i="8" s="1"/>
  <c r="Y859" i="8" s="1"/>
  <c r="W860" i="8" s="1"/>
  <c r="Y860" i="8" s="1"/>
  <c r="W861" i="8" s="1"/>
  <c r="Y861" i="8" s="1"/>
  <c r="W862" i="8" s="1"/>
  <c r="Y862" i="8" s="1"/>
  <c r="W863" i="8" s="1"/>
  <c r="Y863" i="8" s="1"/>
  <c r="W864" i="8" s="1"/>
  <c r="Y864" i="8" s="1"/>
  <c r="W865" i="8" s="1"/>
  <c r="Y865" i="8" s="1"/>
  <c r="R858" i="8"/>
  <c r="Y857" i="8"/>
  <c r="W857" i="8"/>
  <c r="R857" i="8"/>
  <c r="Y856" i="8"/>
  <c r="W856" i="8"/>
  <c r="H855" i="8"/>
  <c r="G855" i="8"/>
  <c r="R851" i="8"/>
  <c r="R850" i="8"/>
  <c r="R849" i="8"/>
  <c r="R848" i="8"/>
  <c r="R847" i="8"/>
  <c r="G847" i="8"/>
  <c r="K847" i="8" s="1"/>
  <c r="C847" i="8"/>
  <c r="G58" i="1" s="1"/>
  <c r="R846" i="8"/>
  <c r="C846" i="8"/>
  <c r="F58" i="1" s="1"/>
  <c r="R845" i="8"/>
  <c r="K845" i="8"/>
  <c r="J58" i="1" s="1"/>
  <c r="G845" i="8"/>
  <c r="M58" i="1" s="1"/>
  <c r="R844" i="8"/>
  <c r="R843" i="8"/>
  <c r="R842" i="8"/>
  <c r="R841" i="8"/>
  <c r="W840" i="8"/>
  <c r="Y840" i="8" s="1"/>
  <c r="W841" i="8" s="1"/>
  <c r="Y841" i="8" s="1"/>
  <c r="W842" i="8" s="1"/>
  <c r="Y842" i="8" s="1"/>
  <c r="W843" i="8" s="1"/>
  <c r="Y843" i="8" s="1"/>
  <c r="W844" i="8" s="1"/>
  <c r="Y844" i="8" s="1"/>
  <c r="W845" i="8" s="1"/>
  <c r="Y845" i="8" s="1"/>
  <c r="W846" i="8" s="1"/>
  <c r="Y846" i="8" s="1"/>
  <c r="W847" i="8" s="1"/>
  <c r="Y847" i="8" s="1"/>
  <c r="W848" i="8" s="1"/>
  <c r="Y848" i="8" s="1"/>
  <c r="W849" i="8" s="1"/>
  <c r="Y849" i="8" s="1"/>
  <c r="R840" i="8"/>
  <c r="H839" i="8"/>
  <c r="G839" i="8"/>
  <c r="W833" i="8"/>
  <c r="Y833" i="8" s="1"/>
  <c r="U834" i="8" s="1"/>
  <c r="C832" i="8"/>
  <c r="G831" i="8"/>
  <c r="K831" i="8" s="1"/>
  <c r="C831" i="8"/>
  <c r="G78" i="1" s="1"/>
  <c r="C830" i="8"/>
  <c r="F78" i="1" s="1"/>
  <c r="R829" i="8"/>
  <c r="K829" i="8"/>
  <c r="J78" i="1" s="1"/>
  <c r="G829" i="8"/>
  <c r="M78" i="1" s="1"/>
  <c r="Y824" i="8"/>
  <c r="Y825" i="8" s="1"/>
  <c r="Y826" i="8" s="1"/>
  <c r="Y827" i="8" s="1"/>
  <c r="W828" i="8" s="1"/>
  <c r="Y828" i="8" s="1"/>
  <c r="W829" i="8" s="1"/>
  <c r="Y829" i="8" s="1"/>
  <c r="W830" i="8" s="1"/>
  <c r="Y830" i="8" s="1"/>
  <c r="U831" i="8" s="1"/>
  <c r="W831" i="8" s="1"/>
  <c r="Y831" i="8" s="1"/>
  <c r="U832" i="8" s="1"/>
  <c r="W832" i="8" s="1"/>
  <c r="Y832" i="8" s="1"/>
  <c r="W824" i="8"/>
  <c r="H823" i="8"/>
  <c r="G823" i="8"/>
  <c r="R819" i="8"/>
  <c r="R818" i="8"/>
  <c r="R817" i="8"/>
  <c r="R816" i="8"/>
  <c r="G815" i="8"/>
  <c r="C815" i="8"/>
  <c r="G59" i="1" s="1"/>
  <c r="C814" i="8"/>
  <c r="F59" i="1" s="1"/>
  <c r="R813" i="8"/>
  <c r="K813" i="8"/>
  <c r="J59" i="1" s="1"/>
  <c r="G813" i="8"/>
  <c r="M59" i="1" s="1"/>
  <c r="R812" i="8"/>
  <c r="R811" i="8"/>
  <c r="R810" i="8"/>
  <c r="R809" i="8"/>
  <c r="Y808" i="8"/>
  <c r="W809" i="8" s="1"/>
  <c r="Y809" i="8" s="1"/>
  <c r="W810" i="8" s="1"/>
  <c r="Y810" i="8" s="1"/>
  <c r="W811" i="8" s="1"/>
  <c r="Y811" i="8" s="1"/>
  <c r="W812" i="8" s="1"/>
  <c r="Y812" i="8" s="1"/>
  <c r="W813" i="8" s="1"/>
  <c r="Y813" i="8" s="1"/>
  <c r="W814" i="8" s="1"/>
  <c r="Y814" i="8" s="1"/>
  <c r="W815" i="8" s="1"/>
  <c r="Y815" i="8" s="1"/>
  <c r="W816" i="8" s="1"/>
  <c r="Y816" i="8" s="1"/>
  <c r="W817" i="8" s="1"/>
  <c r="Y817" i="8" s="1"/>
  <c r="W808" i="8"/>
  <c r="R808" i="8"/>
  <c r="H807" i="8"/>
  <c r="G807" i="8"/>
  <c r="U803" i="8"/>
  <c r="W803" i="8" s="1"/>
  <c r="Y803" i="8" s="1"/>
  <c r="U801" i="8"/>
  <c r="W801" i="8" s="1"/>
  <c r="Y801" i="8" s="1"/>
  <c r="U802" i="8" s="1"/>
  <c r="R801" i="8"/>
  <c r="U800" i="8"/>
  <c r="W800" i="8" s="1"/>
  <c r="Y800" i="8" s="1"/>
  <c r="R800" i="8"/>
  <c r="U799" i="8"/>
  <c r="W799" i="8" s="1"/>
  <c r="Y799" i="8" s="1"/>
  <c r="R799" i="8"/>
  <c r="G799" i="8"/>
  <c r="K799" i="8" s="1"/>
  <c r="C799" i="8"/>
  <c r="G34" i="1" s="1"/>
  <c r="U798" i="8"/>
  <c r="Y798" i="8" s="1"/>
  <c r="C798" i="8"/>
  <c r="F34" i="1" s="1"/>
  <c r="R797" i="8"/>
  <c r="K797" i="8"/>
  <c r="J34" i="1" s="1"/>
  <c r="G797" i="8"/>
  <c r="M34" i="1" s="1"/>
  <c r="U794" i="8"/>
  <c r="W794" i="8" s="1"/>
  <c r="Y794" i="8" s="1"/>
  <c r="U795" i="8" s="1"/>
  <c r="W795" i="8" s="1"/>
  <c r="Y795" i="8" s="1"/>
  <c r="U796" i="8" s="1"/>
  <c r="W796" i="8" s="1"/>
  <c r="Y796" i="8" s="1"/>
  <c r="W797" i="8" s="1"/>
  <c r="Y797" i="8" s="1"/>
  <c r="R794" i="8"/>
  <c r="Y793" i="8"/>
  <c r="W793" i="8"/>
  <c r="U793" i="8"/>
  <c r="R793" i="8"/>
  <c r="C800" i="8" s="1"/>
  <c r="Y792" i="8"/>
  <c r="W792" i="8"/>
  <c r="H791" i="8"/>
  <c r="G791" i="8"/>
  <c r="U787" i="8"/>
  <c r="W787" i="8" s="1"/>
  <c r="Y787" i="8" s="1"/>
  <c r="R787" i="8"/>
  <c r="U786" i="8"/>
  <c r="R786" i="8"/>
  <c r="U785" i="8"/>
  <c r="W785" i="8" s="1"/>
  <c r="Y785" i="8" s="1"/>
  <c r="R785" i="8"/>
  <c r="U784" i="8"/>
  <c r="W784" i="8" s="1"/>
  <c r="Y784" i="8" s="1"/>
  <c r="R784" i="8"/>
  <c r="C784" i="8"/>
  <c r="U783" i="8"/>
  <c r="W783" i="8" s="1"/>
  <c r="Y783" i="8" s="1"/>
  <c r="R783" i="8"/>
  <c r="G783" i="8"/>
  <c r="K783" i="8" s="1"/>
  <c r="C783" i="8"/>
  <c r="R782" i="8"/>
  <c r="C782" i="8"/>
  <c r="R781" i="8"/>
  <c r="G781" i="8"/>
  <c r="R780" i="8"/>
  <c r="K780" i="8"/>
  <c r="K782" i="8" s="1"/>
  <c r="R779" i="8"/>
  <c r="U778" i="8"/>
  <c r="W778" i="8" s="1"/>
  <c r="Y778" i="8" s="1"/>
  <c r="U779" i="8" s="1"/>
  <c r="W779" i="8" s="1"/>
  <c r="Y779" i="8" s="1"/>
  <c r="U780" i="8" s="1"/>
  <c r="W780" i="8" s="1"/>
  <c r="Y780" i="8" s="1"/>
  <c r="U781" i="8" s="1"/>
  <c r="W781" i="8" s="1"/>
  <c r="Y781" i="8" s="1"/>
  <c r="U782" i="8" s="1"/>
  <c r="W782" i="8" s="1"/>
  <c r="Y782" i="8" s="1"/>
  <c r="R778" i="8"/>
  <c r="Y777" i="8"/>
  <c r="W777" i="8"/>
  <c r="U777" i="8"/>
  <c r="R777" i="8"/>
  <c r="Y776" i="8"/>
  <c r="W776" i="8"/>
  <c r="R776" i="8"/>
  <c r="H775" i="8"/>
  <c r="G775" i="8"/>
  <c r="G767" i="8"/>
  <c r="K767" i="8" s="1"/>
  <c r="C767" i="8"/>
  <c r="G83" i="1" s="1"/>
  <c r="C766" i="8"/>
  <c r="F83" i="1" s="1"/>
  <c r="K765" i="8"/>
  <c r="J83" i="1" s="1"/>
  <c r="G765" i="8"/>
  <c r="M83" i="1" s="1"/>
  <c r="R764" i="8"/>
  <c r="R763" i="8"/>
  <c r="R762" i="8"/>
  <c r="R761" i="8"/>
  <c r="W760" i="8"/>
  <c r="Y760" i="8" s="1"/>
  <c r="W761" i="8" s="1"/>
  <c r="Y761" i="8" s="1"/>
  <c r="W762" i="8" s="1"/>
  <c r="Y762" i="8" s="1"/>
  <c r="W763" i="8" s="1"/>
  <c r="Y763" i="8" s="1"/>
  <c r="W764" i="8" s="1"/>
  <c r="Y764" i="8" s="1"/>
  <c r="W765" i="8" s="1"/>
  <c r="Y765" i="8" s="1"/>
  <c r="W766" i="8" s="1"/>
  <c r="Y766" i="8" s="1"/>
  <c r="W767" i="8" s="1"/>
  <c r="Y767" i="8" s="1"/>
  <c r="W768" i="8" s="1"/>
  <c r="Y768" i="8" s="1"/>
  <c r="W769" i="8" s="1"/>
  <c r="Y769" i="8" s="1"/>
  <c r="R760" i="8"/>
  <c r="H759" i="8"/>
  <c r="G759" i="8"/>
  <c r="U755" i="8"/>
  <c r="W755" i="8" s="1"/>
  <c r="Y755" i="8" s="1"/>
  <c r="R755" i="8"/>
  <c r="U754" i="8"/>
  <c r="R754" i="8"/>
  <c r="U753" i="8"/>
  <c r="W753" i="8" s="1"/>
  <c r="Y753" i="8" s="1"/>
  <c r="R753" i="8"/>
  <c r="U752" i="8"/>
  <c r="W752" i="8" s="1"/>
  <c r="Y752" i="8" s="1"/>
  <c r="R752" i="8"/>
  <c r="C752" i="8"/>
  <c r="U751" i="8"/>
  <c r="W751" i="8" s="1"/>
  <c r="Y751" i="8" s="1"/>
  <c r="R751" i="8"/>
  <c r="G751" i="8"/>
  <c r="K751" i="8" s="1"/>
  <c r="C751" i="8"/>
  <c r="G104" i="1" s="1"/>
  <c r="U750" i="8"/>
  <c r="W750" i="8" s="1"/>
  <c r="Y750" i="8" s="1"/>
  <c r="R750" i="8"/>
  <c r="C750" i="8"/>
  <c r="F104" i="1" s="1"/>
  <c r="R749" i="8"/>
  <c r="K749" i="8"/>
  <c r="J104" i="1" s="1"/>
  <c r="G749" i="8"/>
  <c r="M104" i="1" s="1"/>
  <c r="R747" i="8"/>
  <c r="U746" i="8"/>
  <c r="W746" i="8" s="1"/>
  <c r="Y746" i="8" s="1"/>
  <c r="U747" i="8" s="1"/>
  <c r="W747" i="8" s="1"/>
  <c r="Y747" i="8" s="1"/>
  <c r="U748" i="8" s="1"/>
  <c r="W748" i="8" s="1"/>
  <c r="Y748" i="8" s="1"/>
  <c r="U749" i="8" s="1"/>
  <c r="W749" i="8" s="1"/>
  <c r="Y749" i="8" s="1"/>
  <c r="Y745" i="8"/>
  <c r="W745" i="8"/>
  <c r="U745" i="8"/>
  <c r="Y744" i="8"/>
  <c r="W744" i="8"/>
  <c r="H743" i="8"/>
  <c r="G743" i="8"/>
  <c r="U739" i="8"/>
  <c r="W739" i="8" s="1"/>
  <c r="Y739" i="8" s="1"/>
  <c r="U737" i="8"/>
  <c r="W737" i="8" s="1"/>
  <c r="Y737" i="8" s="1"/>
  <c r="U738" i="8" s="1"/>
  <c r="R737" i="8"/>
  <c r="U736" i="8"/>
  <c r="W736" i="8" s="1"/>
  <c r="Y736" i="8" s="1"/>
  <c r="R736" i="8"/>
  <c r="U735" i="8"/>
  <c r="W735" i="8" s="1"/>
  <c r="Y735" i="8" s="1"/>
  <c r="G735" i="8"/>
  <c r="K735" i="8" s="1"/>
  <c r="C735" i="8"/>
  <c r="G98" i="1" s="1"/>
  <c r="U734" i="8"/>
  <c r="W734" i="8" s="1"/>
  <c r="Y734" i="8" s="1"/>
  <c r="R734" i="8"/>
  <c r="C734" i="8"/>
  <c r="J98" i="1"/>
  <c r="G733" i="8"/>
  <c r="M98" i="1" s="1"/>
  <c r="R731" i="8"/>
  <c r="U730" i="8"/>
  <c r="W730" i="8" s="1"/>
  <c r="Y730" i="8" s="1"/>
  <c r="U731" i="8" s="1"/>
  <c r="W731" i="8" s="1"/>
  <c r="Y731" i="8" s="1"/>
  <c r="Y729" i="8"/>
  <c r="W729" i="8"/>
  <c r="U729" i="8"/>
  <c r="C736" i="8"/>
  <c r="Y728" i="8"/>
  <c r="W728" i="8"/>
  <c r="H727" i="8"/>
  <c r="G727" i="8"/>
  <c r="U723" i="8"/>
  <c r="W723" i="8" s="1"/>
  <c r="Y723" i="8" s="1"/>
  <c r="R723" i="8"/>
  <c r="R722" i="8"/>
  <c r="U721" i="8"/>
  <c r="W721" i="8" s="1"/>
  <c r="Y721" i="8" s="1"/>
  <c r="U722" i="8" s="1"/>
  <c r="R721" i="8"/>
  <c r="U720" i="8"/>
  <c r="W720" i="8" s="1"/>
  <c r="Y720" i="8" s="1"/>
  <c r="R720" i="8"/>
  <c r="U719" i="8"/>
  <c r="W719" i="8" s="1"/>
  <c r="Y719" i="8" s="1"/>
  <c r="R719" i="8"/>
  <c r="G719" i="8"/>
  <c r="K719" i="8" s="1"/>
  <c r="C719" i="8"/>
  <c r="G103" i="1" s="1"/>
  <c r="U718" i="8"/>
  <c r="W718" i="8" s="1"/>
  <c r="Y718" i="8" s="1"/>
  <c r="R718" i="8"/>
  <c r="C718" i="8"/>
  <c r="F103" i="1" s="1"/>
  <c r="R717" i="8"/>
  <c r="K717" i="8"/>
  <c r="J103" i="1" s="1"/>
  <c r="G717" i="8"/>
  <c r="M103" i="1" s="1"/>
  <c r="R716" i="8"/>
  <c r="R715" i="8"/>
  <c r="U714" i="8"/>
  <c r="W714" i="8" s="1"/>
  <c r="Y714" i="8" s="1"/>
  <c r="U715" i="8" s="1"/>
  <c r="W715" i="8" s="1"/>
  <c r="Y715" i="8" s="1"/>
  <c r="U716" i="8" s="1"/>
  <c r="W716" i="8" s="1"/>
  <c r="Y716" i="8" s="1"/>
  <c r="U717" i="8" s="1"/>
  <c r="W717" i="8" s="1"/>
  <c r="Y717" i="8" s="1"/>
  <c r="R714" i="8"/>
  <c r="Y713" i="8"/>
  <c r="W713" i="8"/>
  <c r="U713" i="8"/>
  <c r="R713" i="8"/>
  <c r="Y712" i="8"/>
  <c r="W712" i="8"/>
  <c r="H711" i="8"/>
  <c r="G711" i="8"/>
  <c r="C704" i="8"/>
  <c r="I700" i="8" s="1"/>
  <c r="G703" i="8"/>
  <c r="K703" i="8" s="1"/>
  <c r="C703" i="8"/>
  <c r="G26" i="1" s="1"/>
  <c r="C702" i="8"/>
  <c r="F26" i="1" s="1"/>
  <c r="K701" i="8"/>
  <c r="J26" i="1" s="1"/>
  <c r="G701" i="8"/>
  <c r="M26" i="1" s="1"/>
  <c r="Y696" i="8"/>
  <c r="W697" i="8" s="1"/>
  <c r="Y697" i="8" s="1"/>
  <c r="W698" i="8" s="1"/>
  <c r="Y698" i="8" s="1"/>
  <c r="W699" i="8" s="1"/>
  <c r="Y699" i="8" s="1"/>
  <c r="W700" i="8" s="1"/>
  <c r="Y700" i="8" s="1"/>
  <c r="W701" i="8" s="1"/>
  <c r="Y701" i="8" s="1"/>
  <c r="W702" i="8" s="1"/>
  <c r="Y702" i="8" s="1"/>
  <c r="W703" i="8" s="1"/>
  <c r="Y703" i="8" s="1"/>
  <c r="W704" i="8" s="1"/>
  <c r="Y704" i="8" s="1"/>
  <c r="W705" i="8" s="1"/>
  <c r="Y705" i="8" s="1"/>
  <c r="W696" i="8"/>
  <c r="H695" i="8"/>
  <c r="G695" i="8"/>
  <c r="R691" i="8"/>
  <c r="R690" i="8"/>
  <c r="R689" i="8"/>
  <c r="R688" i="8"/>
  <c r="R687" i="8"/>
  <c r="G687" i="8"/>
  <c r="O66" i="1" s="1"/>
  <c r="C687" i="8"/>
  <c r="G66" i="1" s="1"/>
  <c r="R686" i="8"/>
  <c r="C686" i="8"/>
  <c r="F66" i="1" s="1"/>
  <c r="R685" i="8"/>
  <c r="K685" i="8"/>
  <c r="J66" i="1" s="1"/>
  <c r="G685" i="8"/>
  <c r="M66" i="1" s="1"/>
  <c r="R684" i="8"/>
  <c r="C688" i="8" s="1"/>
  <c r="I684" i="8" s="1"/>
  <c r="K684" i="8" s="1"/>
  <c r="R683" i="8"/>
  <c r="W682" i="8"/>
  <c r="Y682" i="8" s="1"/>
  <c r="W683" i="8" s="1"/>
  <c r="Y683" i="8" s="1"/>
  <c r="W684" i="8" s="1"/>
  <c r="Y684" i="8" s="1"/>
  <c r="W685" i="8" s="1"/>
  <c r="Y685" i="8" s="1"/>
  <c r="W686" i="8" s="1"/>
  <c r="Y686" i="8" s="1"/>
  <c r="W687" i="8" s="1"/>
  <c r="Y687" i="8" s="1"/>
  <c r="W688" i="8" s="1"/>
  <c r="Y688" i="8" s="1"/>
  <c r="W689" i="8" s="1"/>
  <c r="Y689" i="8" s="1"/>
  <c r="R682" i="8"/>
  <c r="W681" i="8"/>
  <c r="Y681" i="8" s="1"/>
  <c r="R681" i="8"/>
  <c r="Y680" i="8"/>
  <c r="W680" i="8"/>
  <c r="H679" i="8"/>
  <c r="G679" i="8"/>
  <c r="U675" i="8"/>
  <c r="W675" i="8" s="1"/>
  <c r="Y675" i="8" s="1"/>
  <c r="R674" i="8"/>
  <c r="U673" i="8"/>
  <c r="W673" i="8" s="1"/>
  <c r="Y673" i="8" s="1"/>
  <c r="U674" i="8" s="1"/>
  <c r="R673" i="8"/>
  <c r="U672" i="8"/>
  <c r="W672" i="8" s="1"/>
  <c r="Y672" i="8" s="1"/>
  <c r="R672" i="8"/>
  <c r="U671" i="8"/>
  <c r="W671" i="8" s="1"/>
  <c r="Y671" i="8" s="1"/>
  <c r="R671" i="8"/>
  <c r="G671" i="8"/>
  <c r="C671" i="8"/>
  <c r="G70" i="1" s="1"/>
  <c r="U670" i="8"/>
  <c r="W670" i="8" s="1"/>
  <c r="Y670" i="8" s="1"/>
  <c r="R670" i="8"/>
  <c r="C670" i="8"/>
  <c r="F70" i="1" s="1"/>
  <c r="R669" i="8"/>
  <c r="K669" i="8"/>
  <c r="J70" i="1" s="1"/>
  <c r="G669" i="8"/>
  <c r="M70" i="1" s="1"/>
  <c r="R667" i="8"/>
  <c r="R666" i="8"/>
  <c r="R665" i="8"/>
  <c r="W664" i="8"/>
  <c r="Y664" i="8" s="1"/>
  <c r="H663" i="8"/>
  <c r="G663" i="8"/>
  <c r="U659" i="8"/>
  <c r="W659" i="8" s="1"/>
  <c r="Y659" i="8" s="1"/>
  <c r="R659" i="8"/>
  <c r="R658" i="8"/>
  <c r="U657" i="8"/>
  <c r="W657" i="8" s="1"/>
  <c r="Y657" i="8" s="1"/>
  <c r="U658" i="8" s="1"/>
  <c r="R657" i="8"/>
  <c r="U656" i="8"/>
  <c r="W656" i="8" s="1"/>
  <c r="Y656" i="8" s="1"/>
  <c r="R656" i="8"/>
  <c r="U655" i="8"/>
  <c r="W655" i="8" s="1"/>
  <c r="Y655" i="8" s="1"/>
  <c r="G655" i="8"/>
  <c r="K655" i="8" s="1"/>
  <c r="C655" i="8"/>
  <c r="G50" i="1" s="1"/>
  <c r="R654" i="8"/>
  <c r="C654" i="8"/>
  <c r="F50" i="1" s="1"/>
  <c r="J50" i="1"/>
  <c r="G653" i="8"/>
  <c r="M50" i="1" s="1"/>
  <c r="R652" i="8"/>
  <c r="C656" i="8" s="1"/>
  <c r="K652" i="8" s="1"/>
  <c r="U650" i="8"/>
  <c r="W650" i="8" s="1"/>
  <c r="Y650" i="8" s="1"/>
  <c r="U651" i="8" s="1"/>
  <c r="W651" i="8" s="1"/>
  <c r="Y651" i="8" s="1"/>
  <c r="U652" i="8" s="1"/>
  <c r="W652" i="8" s="1"/>
  <c r="Y652" i="8" s="1"/>
  <c r="U653" i="8" s="1"/>
  <c r="W653" i="8" s="1"/>
  <c r="Y653" i="8" s="1"/>
  <c r="U654" i="8" s="1"/>
  <c r="W654" i="8" s="1"/>
  <c r="Y654" i="8" s="1"/>
  <c r="Y649" i="8"/>
  <c r="W649" i="8"/>
  <c r="U649" i="8"/>
  <c r="Y648" i="8"/>
  <c r="W648" i="8"/>
  <c r="H647" i="8"/>
  <c r="G647" i="8"/>
  <c r="R643" i="8"/>
  <c r="R641" i="8"/>
  <c r="R640" i="8"/>
  <c r="R639" i="8"/>
  <c r="G639" i="8"/>
  <c r="K639" i="8" s="1"/>
  <c r="C639" i="8"/>
  <c r="G67" i="1" s="1"/>
  <c r="R638" i="8"/>
  <c r="C638" i="8"/>
  <c r="F67" i="1" s="1"/>
  <c r="R637" i="8"/>
  <c r="K637" i="8"/>
  <c r="J67" i="1" s="1"/>
  <c r="G637" i="8"/>
  <c r="M67" i="1" s="1"/>
  <c r="R636" i="8"/>
  <c r="R635" i="8"/>
  <c r="C640" i="8" s="1"/>
  <c r="R634" i="8"/>
  <c r="W632" i="8"/>
  <c r="Y632" i="8" s="1"/>
  <c r="W633" i="8" s="1"/>
  <c r="Y633" i="8" s="1"/>
  <c r="W634" i="8" s="1"/>
  <c r="Y634" i="8" s="1"/>
  <c r="W635" i="8" s="1"/>
  <c r="Y635" i="8" s="1"/>
  <c r="W636" i="8" s="1"/>
  <c r="Y636" i="8" s="1"/>
  <c r="W637" i="8" s="1"/>
  <c r="Y637" i="8" s="1"/>
  <c r="W638" i="8" s="1"/>
  <c r="Y638" i="8" s="1"/>
  <c r="W639" i="8" s="1"/>
  <c r="Y639" i="8" s="1"/>
  <c r="W640" i="8" s="1"/>
  <c r="Y640" i="8" s="1"/>
  <c r="W641" i="8" s="1"/>
  <c r="Y641" i="8" s="1"/>
  <c r="H631" i="8"/>
  <c r="G631" i="8"/>
  <c r="U627" i="8"/>
  <c r="W627" i="8" s="1"/>
  <c r="Y627" i="8" s="1"/>
  <c r="R627" i="8"/>
  <c r="U625" i="8"/>
  <c r="W625" i="8" s="1"/>
  <c r="Y625" i="8" s="1"/>
  <c r="U626" i="8" s="1"/>
  <c r="W626" i="8" s="1"/>
  <c r="R625" i="8"/>
  <c r="Y624" i="8"/>
  <c r="W624" i="8"/>
  <c r="U623" i="8"/>
  <c r="W623" i="8" s="1"/>
  <c r="Y623" i="8" s="1"/>
  <c r="G623" i="8"/>
  <c r="C623" i="8"/>
  <c r="G35" i="1" s="1"/>
  <c r="Y622" i="8"/>
  <c r="W622" i="8"/>
  <c r="C622" i="8"/>
  <c r="F35" i="1" s="1"/>
  <c r="Y621" i="8"/>
  <c r="R621" i="8"/>
  <c r="K621" i="8"/>
  <c r="J35" i="1" s="1"/>
  <c r="G621" i="8"/>
  <c r="M35" i="1" s="1"/>
  <c r="Y620" i="8"/>
  <c r="W620" i="8"/>
  <c r="R620" i="8"/>
  <c r="G620" i="8"/>
  <c r="L35" i="1" s="1"/>
  <c r="Y619" i="8"/>
  <c r="W619" i="8"/>
  <c r="Y618" i="8"/>
  <c r="W618" i="8"/>
  <c r="R618" i="8"/>
  <c r="Y617" i="8"/>
  <c r="W617" i="8"/>
  <c r="R617" i="8"/>
  <c r="Y616" i="8"/>
  <c r="W616" i="8"/>
  <c r="R616" i="8"/>
  <c r="H615" i="8"/>
  <c r="G615" i="8"/>
  <c r="R609" i="8"/>
  <c r="G607" i="8"/>
  <c r="K607" i="8" s="1"/>
  <c r="C607" i="8"/>
  <c r="G45" i="1" s="1"/>
  <c r="R606" i="8"/>
  <c r="C606" i="8"/>
  <c r="F45" i="1" s="1"/>
  <c r="R605" i="8"/>
  <c r="C608" i="8" s="1"/>
  <c r="K605" i="8"/>
  <c r="J45" i="1" s="1"/>
  <c r="G605" i="8"/>
  <c r="M45" i="1" s="1"/>
  <c r="R601" i="8"/>
  <c r="W600" i="8"/>
  <c r="Y600" i="8" s="1"/>
  <c r="H599" i="8"/>
  <c r="G599" i="8"/>
  <c r="G591" i="8"/>
  <c r="K591" i="8" s="1"/>
  <c r="C591" i="8"/>
  <c r="G94" i="1" s="1"/>
  <c r="C590" i="8"/>
  <c r="F94" i="1" s="1"/>
  <c r="K589" i="8"/>
  <c r="J94" i="1" s="1"/>
  <c r="G589" i="8"/>
  <c r="M94" i="1" s="1"/>
  <c r="R585" i="8"/>
  <c r="R586" i="8" s="1"/>
  <c r="R587" i="8" s="1"/>
  <c r="R588" i="8" s="1"/>
  <c r="R589" i="8" s="1"/>
  <c r="R590" i="8" s="1"/>
  <c r="R591" i="8" s="1"/>
  <c r="R592" i="8" s="1"/>
  <c r="R593" i="8" s="1"/>
  <c r="R594" i="8" s="1"/>
  <c r="R595" i="8" s="1"/>
  <c r="C592" i="8" s="1"/>
  <c r="I588" i="8" s="1"/>
  <c r="W584" i="8"/>
  <c r="Y584" i="8" s="1"/>
  <c r="W585" i="8" s="1"/>
  <c r="Y585" i="8" s="1"/>
  <c r="W586" i="8" s="1"/>
  <c r="Y586" i="8" s="1"/>
  <c r="W587" i="8" s="1"/>
  <c r="Y587" i="8" s="1"/>
  <c r="Y588" i="8" s="1"/>
  <c r="W589" i="8" s="1"/>
  <c r="Y589" i="8" s="1"/>
  <c r="W590" i="8" s="1"/>
  <c r="Y590" i="8" s="1"/>
  <c r="W591" i="8" s="1"/>
  <c r="Y591" i="8" s="1"/>
  <c r="W592" i="8" s="1"/>
  <c r="Y592" i="8" s="1"/>
  <c r="W593" i="8" s="1"/>
  <c r="Y593" i="8" s="1"/>
  <c r="H583" i="8"/>
  <c r="G583" i="8"/>
  <c r="G575" i="8"/>
  <c r="K575" i="8" s="1"/>
  <c r="C575" i="8"/>
  <c r="G96" i="1" s="1"/>
  <c r="R574" i="8"/>
  <c r="C574" i="8"/>
  <c r="F96" i="1" s="1"/>
  <c r="R573" i="8"/>
  <c r="K573" i="8"/>
  <c r="J96" i="1" s="1"/>
  <c r="G573" i="8"/>
  <c r="M96" i="1" s="1"/>
  <c r="R572" i="8"/>
  <c r="R571" i="8"/>
  <c r="R570" i="8"/>
  <c r="W568" i="8"/>
  <c r="Y568" i="8" s="1"/>
  <c r="W569" i="8" s="1"/>
  <c r="Y569" i="8" s="1"/>
  <c r="W570" i="8" s="1"/>
  <c r="Y570" i="8" s="1"/>
  <c r="W571" i="8" s="1"/>
  <c r="Y571" i="8" s="1"/>
  <c r="W572" i="8" s="1"/>
  <c r="Y572" i="8" s="1"/>
  <c r="W573" i="8" s="1"/>
  <c r="Y573" i="8" s="1"/>
  <c r="W574" i="8" s="1"/>
  <c r="Y574" i="8" s="1"/>
  <c r="W575" i="8" s="1"/>
  <c r="Y575" i="8" s="1"/>
  <c r="W576" i="8" s="1"/>
  <c r="Y576" i="8" s="1"/>
  <c r="W577" i="8" s="1"/>
  <c r="Y577" i="8" s="1"/>
  <c r="H567" i="8"/>
  <c r="G567" i="8"/>
  <c r="R563" i="8"/>
  <c r="R562" i="8"/>
  <c r="R559" i="8"/>
  <c r="G559" i="8"/>
  <c r="K559" i="8" s="1"/>
  <c r="C559" i="8"/>
  <c r="G87" i="1" s="1"/>
  <c r="R558" i="8"/>
  <c r="C558" i="8"/>
  <c r="F87" i="1" s="1"/>
  <c r="R557" i="8"/>
  <c r="K557" i="8"/>
  <c r="J87" i="1" s="1"/>
  <c r="G557" i="8"/>
  <c r="M87" i="1" s="1"/>
  <c r="R556" i="8"/>
  <c r="R555" i="8"/>
  <c r="R554" i="8"/>
  <c r="R553" i="8"/>
  <c r="W552" i="8"/>
  <c r="Y552" i="8" s="1"/>
  <c r="W553" i="8" s="1"/>
  <c r="Y553" i="8" s="1"/>
  <c r="W554" i="8" s="1"/>
  <c r="Y554" i="8" s="1"/>
  <c r="W555" i="8" s="1"/>
  <c r="Y555" i="8" s="1"/>
  <c r="W556" i="8" s="1"/>
  <c r="Y556" i="8" s="1"/>
  <c r="W557" i="8" s="1"/>
  <c r="Y557" i="8" s="1"/>
  <c r="W558" i="8" s="1"/>
  <c r="Y558" i="8" s="1"/>
  <c r="W559" i="8" s="1"/>
  <c r="Y559" i="8" s="1"/>
  <c r="W560" i="8" s="1"/>
  <c r="Y560" i="8" s="1"/>
  <c r="W561" i="8" s="1"/>
  <c r="Y561" i="8" s="1"/>
  <c r="H551" i="8"/>
  <c r="G551" i="8"/>
  <c r="R546" i="8"/>
  <c r="R543" i="8"/>
  <c r="G543" i="8"/>
  <c r="K543" i="8" s="1"/>
  <c r="C543" i="8"/>
  <c r="G89" i="1" s="1"/>
  <c r="C542" i="8"/>
  <c r="F89" i="1" s="1"/>
  <c r="K541" i="8"/>
  <c r="J89" i="1" s="1"/>
  <c r="G541" i="8"/>
  <c r="M89" i="1" s="1"/>
  <c r="C544" i="8"/>
  <c r="W536" i="8"/>
  <c r="Y536" i="8" s="1"/>
  <c r="U537" i="8" s="1"/>
  <c r="W537" i="8" s="1"/>
  <c r="Y537" i="8" s="1"/>
  <c r="W538" i="8" s="1"/>
  <c r="Y538" i="8" s="1"/>
  <c r="W539" i="8" s="1"/>
  <c r="Y539" i="8" s="1"/>
  <c r="W540" i="8" s="1"/>
  <c r="Y540" i="8" s="1"/>
  <c r="W541" i="8" s="1"/>
  <c r="Y541" i="8" s="1"/>
  <c r="W542" i="8" s="1"/>
  <c r="Y542" i="8" s="1"/>
  <c r="W543" i="8" s="1"/>
  <c r="Y543" i="8" s="1"/>
  <c r="W544" i="8" s="1"/>
  <c r="Y544" i="8" s="1"/>
  <c r="W545" i="8" s="1"/>
  <c r="Y545" i="8" s="1"/>
  <c r="H535" i="8"/>
  <c r="G535" i="8"/>
  <c r="G527" i="8"/>
  <c r="K527" i="8" s="1"/>
  <c r="C527" i="8"/>
  <c r="G39" i="1" s="1"/>
  <c r="C526" i="8"/>
  <c r="F39" i="1" s="1"/>
  <c r="K525" i="8"/>
  <c r="J39" i="1" s="1"/>
  <c r="G525" i="8"/>
  <c r="M39" i="1" s="1"/>
  <c r="R521" i="8"/>
  <c r="R522" i="8" s="1"/>
  <c r="R523" i="8" s="1"/>
  <c r="R524" i="8" s="1"/>
  <c r="R525" i="8" s="1"/>
  <c r="R526" i="8" s="1"/>
  <c r="R527" i="8" s="1"/>
  <c r="R528" i="8" s="1"/>
  <c r="R529" i="8" s="1"/>
  <c r="R530" i="8" s="1"/>
  <c r="R531" i="8" s="1"/>
  <c r="W520" i="8"/>
  <c r="Y520" i="8" s="1"/>
  <c r="W521" i="8" s="1"/>
  <c r="Y521" i="8" s="1"/>
  <c r="W522" i="8" s="1"/>
  <c r="Y522" i="8" s="1"/>
  <c r="W523" i="8" s="1"/>
  <c r="Y523" i="8" s="1"/>
  <c r="W524" i="8" s="1"/>
  <c r="Y524" i="8" s="1"/>
  <c r="W525" i="8" s="1"/>
  <c r="Y525" i="8" s="1"/>
  <c r="W526" i="8" s="1"/>
  <c r="Y526" i="8" s="1"/>
  <c r="W527" i="8" s="1"/>
  <c r="Y527" i="8" s="1"/>
  <c r="W528" i="8" s="1"/>
  <c r="Y528" i="8" s="1"/>
  <c r="W529" i="8" s="1"/>
  <c r="Y529" i="8" s="1"/>
  <c r="H519" i="8"/>
  <c r="G519" i="8"/>
  <c r="G511" i="8"/>
  <c r="K511" i="8" s="1"/>
  <c r="C511" i="8"/>
  <c r="G85" i="1" s="1"/>
  <c r="C510" i="8"/>
  <c r="F85" i="1" s="1"/>
  <c r="K509" i="8"/>
  <c r="J85" i="1" s="1"/>
  <c r="G509" i="8"/>
  <c r="M85" i="1" s="1"/>
  <c r="R506" i="8"/>
  <c r="R507" i="8" s="1"/>
  <c r="R508" i="8" s="1"/>
  <c r="R510" i="8" s="1"/>
  <c r="R511" i="8" s="1"/>
  <c r="R505" i="8"/>
  <c r="Y504" i="8"/>
  <c r="W505" i="8" s="1"/>
  <c r="Y505" i="8" s="1"/>
  <c r="W506" i="8" s="1"/>
  <c r="Y506" i="8" s="1"/>
  <c r="W507" i="8" s="1"/>
  <c r="Y507" i="8" s="1"/>
  <c r="W508" i="8" s="1"/>
  <c r="Y508" i="8" s="1"/>
  <c r="W509" i="8" s="1"/>
  <c r="Y509" i="8" s="1"/>
  <c r="W510" i="8" s="1"/>
  <c r="Y510" i="8" s="1"/>
  <c r="W511" i="8" s="1"/>
  <c r="Y511" i="8" s="1"/>
  <c r="W512" i="8" s="1"/>
  <c r="Y512" i="8" s="1"/>
  <c r="W513" i="8" s="1"/>
  <c r="Y513" i="8" s="1"/>
  <c r="W514" i="8" s="1"/>
  <c r="W504" i="8"/>
  <c r="H503" i="8"/>
  <c r="G503" i="8"/>
  <c r="U499" i="8"/>
  <c r="W499" i="8" s="1"/>
  <c r="Y499" i="8" s="1"/>
  <c r="R499" i="8"/>
  <c r="U498" i="8"/>
  <c r="R498" i="8"/>
  <c r="U497" i="8"/>
  <c r="W497" i="8" s="1"/>
  <c r="Y497" i="8" s="1"/>
  <c r="R497" i="8"/>
  <c r="U496" i="8"/>
  <c r="W496" i="8" s="1"/>
  <c r="Y496" i="8" s="1"/>
  <c r="U495" i="8"/>
  <c r="W495" i="8" s="1"/>
  <c r="Y495" i="8" s="1"/>
  <c r="G495" i="8"/>
  <c r="K495" i="8" s="1"/>
  <c r="C495" i="8"/>
  <c r="G21" i="1" s="1"/>
  <c r="U494" i="8"/>
  <c r="W494" i="8" s="1"/>
  <c r="Y494" i="8" s="1"/>
  <c r="R494" i="8"/>
  <c r="C494" i="8"/>
  <c r="F21" i="1" s="1"/>
  <c r="K493" i="8"/>
  <c r="J21" i="1" s="1"/>
  <c r="G493" i="8"/>
  <c r="M21" i="1" s="1"/>
  <c r="U490" i="8"/>
  <c r="W490" i="8" s="1"/>
  <c r="Y490" i="8" s="1"/>
  <c r="U491" i="8" s="1"/>
  <c r="W491" i="8" s="1"/>
  <c r="Y491" i="8" s="1"/>
  <c r="U492" i="8" s="1"/>
  <c r="W492" i="8" s="1"/>
  <c r="Y492" i="8" s="1"/>
  <c r="U493" i="8" s="1"/>
  <c r="W493" i="8" s="1"/>
  <c r="Y493" i="8" s="1"/>
  <c r="Y489" i="8"/>
  <c r="W489" i="8"/>
  <c r="R489" i="8"/>
  <c r="Y488" i="8"/>
  <c r="W488" i="8"/>
  <c r="H487" i="8"/>
  <c r="G487" i="8"/>
  <c r="C480" i="8"/>
  <c r="G479" i="8"/>
  <c r="K479" i="8" s="1"/>
  <c r="C479" i="8"/>
  <c r="G46" i="1" s="1"/>
  <c r="C478" i="8"/>
  <c r="F46" i="1" s="1"/>
  <c r="K477" i="8"/>
  <c r="J46" i="1" s="1"/>
  <c r="G477" i="8"/>
  <c r="M46" i="1" s="1"/>
  <c r="Y474" i="8"/>
  <c r="W475" i="8" s="1"/>
  <c r="Y475" i="8" s="1"/>
  <c r="W476" i="8" s="1"/>
  <c r="Y476" i="8" s="1"/>
  <c r="Y477" i="8" s="1"/>
  <c r="W478" i="8" s="1"/>
  <c r="Y478" i="8" s="1"/>
  <c r="W479" i="8" s="1"/>
  <c r="Y479" i="8" s="1"/>
  <c r="W480" i="8" s="1"/>
  <c r="Y480" i="8" s="1"/>
  <c r="W481" i="8" s="1"/>
  <c r="Y481" i="8" s="1"/>
  <c r="U482" i="8" s="1"/>
  <c r="Y473" i="8"/>
  <c r="Y472" i="8"/>
  <c r="W472" i="8"/>
  <c r="R472" i="8"/>
  <c r="H471" i="8"/>
  <c r="G471" i="8"/>
  <c r="R467" i="8"/>
  <c r="R464" i="8"/>
  <c r="R463" i="8"/>
  <c r="G463" i="8"/>
  <c r="K463" i="8" s="1"/>
  <c r="C463" i="8"/>
  <c r="G74" i="1" s="1"/>
  <c r="R462" i="8"/>
  <c r="C462" i="8"/>
  <c r="F74" i="1" s="1"/>
  <c r="R461" i="8"/>
  <c r="K461" i="8"/>
  <c r="J74" i="1" s="1"/>
  <c r="G461" i="8"/>
  <c r="M74" i="1" s="1"/>
  <c r="R460" i="8"/>
  <c r="R459" i="8"/>
  <c r="R458" i="8"/>
  <c r="R457" i="8"/>
  <c r="W456" i="8"/>
  <c r="Y456" i="8" s="1"/>
  <c r="W457" i="8" s="1"/>
  <c r="Y457" i="8" s="1"/>
  <c r="W458" i="8" s="1"/>
  <c r="Y458" i="8" s="1"/>
  <c r="W459" i="8" s="1"/>
  <c r="Y459" i="8" s="1"/>
  <c r="W460" i="8" s="1"/>
  <c r="Y460" i="8" s="1"/>
  <c r="W461" i="8" s="1"/>
  <c r="Y461" i="8" s="1"/>
  <c r="W462" i="8" s="1"/>
  <c r="Y462" i="8" s="1"/>
  <c r="W463" i="8" s="1"/>
  <c r="Y463" i="8" s="1"/>
  <c r="W464" i="8" s="1"/>
  <c r="Y464" i="8" s="1"/>
  <c r="W465" i="8" s="1"/>
  <c r="Y465" i="8" s="1"/>
  <c r="H455" i="8"/>
  <c r="G455" i="8"/>
  <c r="U451" i="8"/>
  <c r="W451" i="8" s="1"/>
  <c r="Y451" i="8" s="1"/>
  <c r="R451" i="8"/>
  <c r="R450" i="8"/>
  <c r="U449" i="8"/>
  <c r="W449" i="8" s="1"/>
  <c r="Y449" i="8" s="1"/>
  <c r="U450" i="8" s="1"/>
  <c r="R449" i="8"/>
  <c r="R448" i="8"/>
  <c r="C448" i="8"/>
  <c r="R447" i="8"/>
  <c r="G447" i="8"/>
  <c r="C447" i="8"/>
  <c r="G63" i="1" s="1"/>
  <c r="C446" i="8"/>
  <c r="F63" i="1" s="1"/>
  <c r="R445" i="8"/>
  <c r="K445" i="8"/>
  <c r="J63" i="1" s="1"/>
  <c r="G445" i="8"/>
  <c r="M63" i="1" s="1"/>
  <c r="U442" i="8"/>
  <c r="W442" i="8" s="1"/>
  <c r="Y442" i="8" s="1"/>
  <c r="U443" i="8" s="1"/>
  <c r="W443" i="8" s="1"/>
  <c r="Y443" i="8" s="1"/>
  <c r="U444" i="8" s="1"/>
  <c r="W444" i="8" s="1"/>
  <c r="Y444" i="8" s="1"/>
  <c r="U445" i="8" s="1"/>
  <c r="W445" i="8" s="1"/>
  <c r="Y445" i="8" s="1"/>
  <c r="W446" i="8" s="1"/>
  <c r="Y446" i="8" s="1"/>
  <c r="W447" i="8" s="1"/>
  <c r="Y447" i="8" s="1"/>
  <c r="W448" i="8" s="1"/>
  <c r="Y448" i="8" s="1"/>
  <c r="Y441" i="8"/>
  <c r="W441" i="8"/>
  <c r="U441" i="8"/>
  <c r="Y440" i="8"/>
  <c r="W440" i="8"/>
  <c r="H439" i="8"/>
  <c r="G439" i="8"/>
  <c r="C432" i="8"/>
  <c r="G431" i="8"/>
  <c r="O54" i="1" s="1"/>
  <c r="C431" i="8"/>
  <c r="G54" i="1" s="1"/>
  <c r="R430" i="8"/>
  <c r="C430" i="8"/>
  <c r="F54" i="1" s="1"/>
  <c r="K429" i="8"/>
  <c r="J54" i="1" s="1"/>
  <c r="G429" i="8"/>
  <c r="M54" i="1" s="1"/>
  <c r="W424" i="8"/>
  <c r="Y424" i="8" s="1"/>
  <c r="W425" i="8" s="1"/>
  <c r="Y425" i="8" s="1"/>
  <c r="W426" i="8" s="1"/>
  <c r="Y426" i="8" s="1"/>
  <c r="W427" i="8" s="1"/>
  <c r="Y427" i="8" s="1"/>
  <c r="W428" i="8" s="1"/>
  <c r="Y428" i="8" s="1"/>
  <c r="W429" i="8" s="1"/>
  <c r="Y429" i="8" s="1"/>
  <c r="W430" i="8" s="1"/>
  <c r="Y430" i="8" s="1"/>
  <c r="W431" i="8" s="1"/>
  <c r="Y431" i="8" s="1"/>
  <c r="W432" i="8" s="1"/>
  <c r="Y432" i="8" s="1"/>
  <c r="W433" i="8" s="1"/>
  <c r="Y433" i="8" s="1"/>
  <c r="H423" i="8"/>
  <c r="G423" i="8"/>
  <c r="U419" i="8"/>
  <c r="W419" i="8" s="1"/>
  <c r="Y419" i="8" s="1"/>
  <c r="R419" i="8"/>
  <c r="R418" i="8"/>
  <c r="C416" i="8"/>
  <c r="G415" i="8"/>
  <c r="K415" i="8" s="1"/>
  <c r="C415" i="8"/>
  <c r="G88" i="1" s="1"/>
  <c r="R414" i="8"/>
  <c r="C414" i="8"/>
  <c r="F88" i="1" s="1"/>
  <c r="K413" i="8"/>
  <c r="J88" i="1" s="1"/>
  <c r="G413" i="8"/>
  <c r="M88" i="1" s="1"/>
  <c r="W409" i="8"/>
  <c r="Y409" i="8" s="1"/>
  <c r="W410" i="8" s="1"/>
  <c r="Y410" i="8" s="1"/>
  <c r="U411" i="8" s="1"/>
  <c r="W411" i="8" s="1"/>
  <c r="Y411" i="8" s="1"/>
  <c r="W412" i="8" s="1"/>
  <c r="Y412" i="8" s="1"/>
  <c r="Y413" i="8" s="1"/>
  <c r="W414" i="8" s="1"/>
  <c r="Y414" i="8" s="1"/>
  <c r="W415" i="8" s="1"/>
  <c r="Y415" i="8" s="1"/>
  <c r="W416" i="8" s="1"/>
  <c r="Y416" i="8" s="1"/>
  <c r="W417" i="8" s="1"/>
  <c r="Y417" i="8" s="1"/>
  <c r="U418" i="8" s="1"/>
  <c r="U409" i="8"/>
  <c r="Y408" i="8"/>
  <c r="W408" i="8"/>
  <c r="H407" i="8"/>
  <c r="G407" i="8"/>
  <c r="U403" i="8"/>
  <c r="W403" i="8" s="1"/>
  <c r="Y403" i="8" s="1"/>
  <c r="G399" i="8"/>
  <c r="K399" i="8" s="1"/>
  <c r="C399" i="8"/>
  <c r="G15" i="1" s="1"/>
  <c r="C398" i="8"/>
  <c r="F15" i="1" s="1"/>
  <c r="R397" i="8"/>
  <c r="C400" i="8" s="1"/>
  <c r="K397" i="8"/>
  <c r="J15" i="1" s="1"/>
  <c r="G397" i="8"/>
  <c r="M15" i="1" s="1"/>
  <c r="R396" i="8"/>
  <c r="R394" i="8"/>
  <c r="R395" i="8" s="1"/>
  <c r="Y392" i="8"/>
  <c r="U393" i="8" s="1"/>
  <c r="W393" i="8" s="1"/>
  <c r="Y393" i="8" s="1"/>
  <c r="U394" i="8" s="1"/>
  <c r="W394" i="8" s="1"/>
  <c r="Y394" i="8" s="1"/>
  <c r="U395" i="8" s="1"/>
  <c r="W395" i="8" s="1"/>
  <c r="Y395" i="8" s="1"/>
  <c r="U396" i="8" s="1"/>
  <c r="W396" i="8" s="1"/>
  <c r="Y396" i="8" s="1"/>
  <c r="W397" i="8" s="1"/>
  <c r="Y397" i="8" s="1"/>
  <c r="W398" i="8" s="1"/>
  <c r="Y398" i="8" s="1"/>
  <c r="W399" i="8" s="1"/>
  <c r="Y399" i="8" s="1"/>
  <c r="W400" i="8" s="1"/>
  <c r="Y400" i="8" s="1"/>
  <c r="W401" i="8" s="1"/>
  <c r="Y401" i="8" s="1"/>
  <c r="W392" i="8"/>
  <c r="H391" i="8"/>
  <c r="G391" i="8"/>
  <c r="R386" i="8"/>
  <c r="C384" i="8"/>
  <c r="G383" i="8"/>
  <c r="K383" i="8" s="1"/>
  <c r="C383" i="8"/>
  <c r="G48" i="1" s="1"/>
  <c r="C382" i="8"/>
  <c r="F48" i="1" s="1"/>
  <c r="K381" i="8"/>
  <c r="J48" i="1" s="1"/>
  <c r="G381" i="8"/>
  <c r="M48" i="1" s="1"/>
  <c r="W376" i="8"/>
  <c r="Y376" i="8" s="1"/>
  <c r="Y377" i="8" s="1"/>
  <c r="H375" i="8"/>
  <c r="G375" i="8"/>
  <c r="U371" i="8"/>
  <c r="W371" i="8" s="1"/>
  <c r="Y371" i="8" s="1"/>
  <c r="R371" i="8"/>
  <c r="R370" i="8"/>
  <c r="U369" i="8"/>
  <c r="W369" i="8" s="1"/>
  <c r="Y369" i="8" s="1"/>
  <c r="U370" i="8" s="1"/>
  <c r="R369" i="8"/>
  <c r="U368" i="8"/>
  <c r="W368" i="8" s="1"/>
  <c r="Y368" i="8" s="1"/>
  <c r="R368" i="8"/>
  <c r="C368" i="8"/>
  <c r="U367" i="8"/>
  <c r="W367" i="8" s="1"/>
  <c r="Y367" i="8" s="1"/>
  <c r="R367" i="8"/>
  <c r="G367" i="8"/>
  <c r="K367" i="8" s="1"/>
  <c r="C367" i="8"/>
  <c r="U366" i="8"/>
  <c r="W366" i="8" s="1"/>
  <c r="Y366" i="8" s="1"/>
  <c r="R366" i="8"/>
  <c r="C366" i="8"/>
  <c r="R365" i="8"/>
  <c r="K365" i="8"/>
  <c r="G365" i="8"/>
  <c r="R364" i="8"/>
  <c r="K364" i="8"/>
  <c r="R363" i="8"/>
  <c r="U362" i="8"/>
  <c r="W362" i="8" s="1"/>
  <c r="Y362" i="8" s="1"/>
  <c r="U363" i="8" s="1"/>
  <c r="W363" i="8" s="1"/>
  <c r="Y363" i="8" s="1"/>
  <c r="U364" i="8" s="1"/>
  <c r="W364" i="8" s="1"/>
  <c r="Y364" i="8" s="1"/>
  <c r="U365" i="8" s="1"/>
  <c r="W365" i="8" s="1"/>
  <c r="Y365" i="8" s="1"/>
  <c r="R362" i="8"/>
  <c r="Y361" i="8"/>
  <c r="W361" i="8"/>
  <c r="U361" i="8"/>
  <c r="R361" i="8"/>
  <c r="Y360" i="8"/>
  <c r="W360" i="8"/>
  <c r="H359" i="8"/>
  <c r="G359" i="8"/>
  <c r="U355" i="8"/>
  <c r="W355" i="8" s="1"/>
  <c r="Y355" i="8" s="1"/>
  <c r="C352" i="8"/>
  <c r="U353" i="8"/>
  <c r="W353" i="8" s="1"/>
  <c r="Y353" i="8" s="1"/>
  <c r="U354" i="8" s="1"/>
  <c r="U352" i="8"/>
  <c r="W352" i="8" s="1"/>
  <c r="Y352" i="8" s="1"/>
  <c r="U351" i="8"/>
  <c r="W351" i="8" s="1"/>
  <c r="Y351" i="8" s="1"/>
  <c r="R351" i="8"/>
  <c r="G351" i="8"/>
  <c r="C351" i="8"/>
  <c r="G53" i="1" s="1"/>
  <c r="C350" i="8"/>
  <c r="F53" i="1" s="1"/>
  <c r="K349" i="8"/>
  <c r="J53" i="1" s="1"/>
  <c r="G349" i="8"/>
  <c r="M53" i="1" s="1"/>
  <c r="R348" i="8"/>
  <c r="U346" i="8"/>
  <c r="W346" i="8" s="1"/>
  <c r="Y346" i="8" s="1"/>
  <c r="U347" i="8" s="1"/>
  <c r="W347" i="8" s="1"/>
  <c r="Y347" i="8" s="1"/>
  <c r="U348" i="8" s="1"/>
  <c r="W348" i="8" s="1"/>
  <c r="Y348" i="8" s="1"/>
  <c r="U349" i="8" s="1"/>
  <c r="W349" i="8" s="1"/>
  <c r="Y349" i="8" s="1"/>
  <c r="U350" i="8" s="1"/>
  <c r="W350" i="8" s="1"/>
  <c r="Y350" i="8" s="1"/>
  <c r="Y345" i="8"/>
  <c r="W345" i="8"/>
  <c r="U345" i="8"/>
  <c r="Y344" i="8"/>
  <c r="W344" i="8"/>
  <c r="H343" i="8"/>
  <c r="G343" i="8"/>
  <c r="R339" i="8"/>
  <c r="R338" i="8"/>
  <c r="C336" i="8" s="1"/>
  <c r="I332" i="8" s="1"/>
  <c r="R337" i="8"/>
  <c r="R336" i="8"/>
  <c r="R335" i="8"/>
  <c r="G335" i="8"/>
  <c r="K335" i="8" s="1"/>
  <c r="C335" i="8"/>
  <c r="G86" i="1" s="1"/>
  <c r="R334" i="8"/>
  <c r="C334" i="8"/>
  <c r="F86" i="1" s="1"/>
  <c r="R333" i="8"/>
  <c r="K333" i="8"/>
  <c r="J86" i="1" s="1"/>
  <c r="G333" i="8"/>
  <c r="M86" i="1" s="1"/>
  <c r="R332" i="8"/>
  <c r="R331" i="8"/>
  <c r="R330" i="8"/>
  <c r="R329" i="8"/>
  <c r="W328" i="8"/>
  <c r="Y328" i="8" s="1"/>
  <c r="W329" i="8" s="1"/>
  <c r="Y329" i="8" s="1"/>
  <c r="W330" i="8" s="1"/>
  <c r="Y330" i="8" s="1"/>
  <c r="H327" i="8"/>
  <c r="G327" i="8"/>
  <c r="C320" i="8"/>
  <c r="G319" i="8"/>
  <c r="K319" i="8" s="1"/>
  <c r="C319" i="8"/>
  <c r="G61" i="1" s="1"/>
  <c r="C318" i="8"/>
  <c r="F61" i="1" s="1"/>
  <c r="K317" i="8"/>
  <c r="J61" i="1" s="1"/>
  <c r="G317" i="8"/>
  <c r="M61" i="1" s="1"/>
  <c r="W312" i="8"/>
  <c r="Y312" i="8" s="1"/>
  <c r="Y313" i="8" s="1"/>
  <c r="Y314" i="8" s="1"/>
  <c r="H311" i="8"/>
  <c r="G311" i="8"/>
  <c r="R307" i="8"/>
  <c r="R306" i="8"/>
  <c r="R305" i="8"/>
  <c r="R304" i="8"/>
  <c r="R303" i="8"/>
  <c r="G303" i="8"/>
  <c r="K303" i="8" s="1"/>
  <c r="C303" i="8"/>
  <c r="R302" i="8"/>
  <c r="C302" i="8"/>
  <c r="F43" i="1" s="1"/>
  <c r="R301" i="8"/>
  <c r="K301" i="8"/>
  <c r="J43" i="1" s="1"/>
  <c r="G301" i="8"/>
  <c r="M43" i="1" s="1"/>
  <c r="R300" i="8"/>
  <c r="R299" i="8"/>
  <c r="R298" i="8"/>
  <c r="R297" i="8"/>
  <c r="W296" i="8"/>
  <c r="Y296" i="8" s="1"/>
  <c r="Y297" i="8" s="1"/>
  <c r="Y298" i="8" s="1"/>
  <c r="W299" i="8" s="1"/>
  <c r="Y299" i="8" s="1"/>
  <c r="W300" i="8" s="1"/>
  <c r="Y300" i="8" s="1"/>
  <c r="W301" i="8" s="1"/>
  <c r="Y301" i="8" s="1"/>
  <c r="W302" i="8" s="1"/>
  <c r="Y302" i="8" s="1"/>
  <c r="W303" i="8" s="1"/>
  <c r="Y303" i="8" s="1"/>
  <c r="W304" i="8" s="1"/>
  <c r="Y304" i="8" s="1"/>
  <c r="W305" i="8" s="1"/>
  <c r="Y305" i="8" s="1"/>
  <c r="W306" i="8" s="1"/>
  <c r="H295" i="8"/>
  <c r="G295" i="8"/>
  <c r="U291" i="8"/>
  <c r="W291" i="8" s="1"/>
  <c r="Y291" i="8" s="1"/>
  <c r="U290" i="8"/>
  <c r="W290" i="8" s="1"/>
  <c r="U289" i="8"/>
  <c r="W289" i="8" s="1"/>
  <c r="Y289" i="8" s="1"/>
  <c r="U288" i="8"/>
  <c r="W288" i="8" s="1"/>
  <c r="Y288" i="8" s="1"/>
  <c r="C288" i="8"/>
  <c r="U287" i="8"/>
  <c r="W287" i="8" s="1"/>
  <c r="Y287" i="8" s="1"/>
  <c r="G287" i="8"/>
  <c r="K287" i="8" s="1"/>
  <c r="C287" i="8"/>
  <c r="G42" i="1" s="1"/>
  <c r="U286" i="8"/>
  <c r="W286" i="8" s="1"/>
  <c r="Y286" i="8" s="1"/>
  <c r="C286" i="8"/>
  <c r="F42" i="1" s="1"/>
  <c r="K285" i="8"/>
  <c r="J42" i="1" s="1"/>
  <c r="G285" i="8"/>
  <c r="U281" i="8"/>
  <c r="W281" i="8" s="1"/>
  <c r="Y281" i="8" s="1"/>
  <c r="U282" i="8" s="1"/>
  <c r="W282" i="8" s="1"/>
  <c r="Y282" i="8" s="1"/>
  <c r="U283" i="8" s="1"/>
  <c r="W283" i="8" s="1"/>
  <c r="Y283" i="8" s="1"/>
  <c r="U284" i="8" s="1"/>
  <c r="W284" i="8" s="1"/>
  <c r="Y284" i="8" s="1"/>
  <c r="U285" i="8" s="1"/>
  <c r="W285" i="8" s="1"/>
  <c r="Y285" i="8" s="1"/>
  <c r="Y280" i="8"/>
  <c r="W280" i="8"/>
  <c r="H279" i="8"/>
  <c r="G279" i="8"/>
  <c r="R275" i="8"/>
  <c r="G271" i="8"/>
  <c r="K271" i="8" s="1"/>
  <c r="C271" i="8"/>
  <c r="G41" i="1" s="1"/>
  <c r="R270" i="8"/>
  <c r="C270" i="8"/>
  <c r="K269" i="8"/>
  <c r="J41" i="1" s="1"/>
  <c r="G269" i="8"/>
  <c r="M41" i="1" s="1"/>
  <c r="R268" i="8"/>
  <c r="C272" i="8"/>
  <c r="Y264" i="8"/>
  <c r="W265" i="8" s="1"/>
  <c r="Y265" i="8" s="1"/>
  <c r="W266" i="8" s="1"/>
  <c r="Y266" i="8" s="1"/>
  <c r="W267" i="8" s="1"/>
  <c r="Y267" i="8" s="1"/>
  <c r="W268" i="8" s="1"/>
  <c r="Y268" i="8" s="1"/>
  <c r="W269" i="8" s="1"/>
  <c r="Y269" i="8" s="1"/>
  <c r="W270" i="8" s="1"/>
  <c r="Y270" i="8" s="1"/>
  <c r="W271" i="8" s="1"/>
  <c r="Y271" i="8" s="1"/>
  <c r="W272" i="8" s="1"/>
  <c r="Y272" i="8" s="1"/>
  <c r="W273" i="8" s="1"/>
  <c r="Y273" i="8" s="1"/>
  <c r="W264" i="8"/>
  <c r="H263" i="8"/>
  <c r="G263" i="8"/>
  <c r="U259" i="8"/>
  <c r="W259" i="8" s="1"/>
  <c r="Y259" i="8" s="1"/>
  <c r="R259" i="8"/>
  <c r="U257" i="8"/>
  <c r="W257" i="8" s="1"/>
  <c r="Y257" i="8" s="1"/>
  <c r="U258" i="8" s="1"/>
  <c r="U256" i="8"/>
  <c r="W256" i="8" s="1"/>
  <c r="Y256" i="8" s="1"/>
  <c r="R256" i="8"/>
  <c r="C256" i="8"/>
  <c r="U255" i="8"/>
  <c r="W255" i="8" s="1"/>
  <c r="Y255" i="8" s="1"/>
  <c r="R255" i="8"/>
  <c r="G255" i="8"/>
  <c r="K255" i="8" s="1"/>
  <c r="C255" i="8"/>
  <c r="U254" i="8"/>
  <c r="W254" i="8" s="1"/>
  <c r="Y254" i="8" s="1"/>
  <c r="C254" i="8"/>
  <c r="R253" i="8"/>
  <c r="G253" i="8"/>
  <c r="R252" i="8"/>
  <c r="K252" i="8"/>
  <c r="K254" i="8" s="1"/>
  <c r="R251" i="8"/>
  <c r="U249" i="8"/>
  <c r="W249" i="8" s="1"/>
  <c r="Y249" i="8" s="1"/>
  <c r="U250" i="8" s="1"/>
  <c r="W250" i="8" s="1"/>
  <c r="Y250" i="8" s="1"/>
  <c r="U251" i="8" s="1"/>
  <c r="W251" i="8" s="1"/>
  <c r="Y251" i="8" s="1"/>
  <c r="U252" i="8" s="1"/>
  <c r="W252" i="8" s="1"/>
  <c r="Y252" i="8" s="1"/>
  <c r="U253" i="8" s="1"/>
  <c r="W253" i="8" s="1"/>
  <c r="Y253" i="8" s="1"/>
  <c r="R249" i="8"/>
  <c r="Y248" i="8"/>
  <c r="W248" i="8"/>
  <c r="H247" i="8"/>
  <c r="G247" i="8"/>
  <c r="C240" i="8"/>
  <c r="G239" i="8"/>
  <c r="K239" i="8" s="1"/>
  <c r="C239" i="8"/>
  <c r="G40" i="1" s="1"/>
  <c r="C238" i="8"/>
  <c r="F40" i="1" s="1"/>
  <c r="K237" i="8"/>
  <c r="J40" i="1" s="1"/>
  <c r="G237" i="8"/>
  <c r="M40" i="1" s="1"/>
  <c r="W232" i="8"/>
  <c r="Y232" i="8" s="1"/>
  <c r="W233" i="8" s="1"/>
  <c r="Y233" i="8" s="1"/>
  <c r="W234" i="8" s="1"/>
  <c r="Y234" i="8" s="1"/>
  <c r="W235" i="8" s="1"/>
  <c r="Y235" i="8" s="1"/>
  <c r="W236" i="8" s="1"/>
  <c r="Y236" i="8" s="1"/>
  <c r="W237" i="8" s="1"/>
  <c r="Y237" i="8" s="1"/>
  <c r="W238" i="8" s="1"/>
  <c r="Y238" i="8" s="1"/>
  <c r="W239" i="8" s="1"/>
  <c r="Y239" i="8" s="1"/>
  <c r="W240" i="8" s="1"/>
  <c r="Y240" i="8" s="1"/>
  <c r="W241" i="8" s="1"/>
  <c r="Y241" i="8" s="1"/>
  <c r="R232" i="8"/>
  <c r="H231" i="8"/>
  <c r="G231" i="8"/>
  <c r="R227" i="8"/>
  <c r="R226" i="8"/>
  <c r="R225" i="8"/>
  <c r="R224" i="8"/>
  <c r="C224" i="8"/>
  <c r="R223" i="8"/>
  <c r="G223" i="8"/>
  <c r="K223" i="8" s="1"/>
  <c r="C223" i="8"/>
  <c r="G17" i="1" s="1"/>
  <c r="R222" i="8"/>
  <c r="C222" i="8"/>
  <c r="F17" i="1" s="1"/>
  <c r="K221" i="8"/>
  <c r="J17" i="1" s="1"/>
  <c r="G221" i="8"/>
  <c r="M17" i="1" s="1"/>
  <c r="R220" i="8"/>
  <c r="R219" i="8"/>
  <c r="R218" i="8"/>
  <c r="W216" i="8"/>
  <c r="Y216" i="8" s="1"/>
  <c r="Y217" i="8" s="1"/>
  <c r="Y218" i="8" s="1"/>
  <c r="W219" i="8" s="1"/>
  <c r="Y219" i="8" s="1"/>
  <c r="W220" i="8" s="1"/>
  <c r="Y220" i="8" s="1"/>
  <c r="W221" i="8" s="1"/>
  <c r="Y221" i="8" s="1"/>
  <c r="W222" i="8" s="1"/>
  <c r="Y222" i="8" s="1"/>
  <c r="W223" i="8" s="1"/>
  <c r="Y223" i="8" s="1"/>
  <c r="W224" i="8" s="1"/>
  <c r="Y224" i="8" s="1"/>
  <c r="W225" i="8" s="1"/>
  <c r="Y225" i="8" s="1"/>
  <c r="W226" i="8" s="1"/>
  <c r="H215" i="8"/>
  <c r="G215" i="8"/>
  <c r="R207" i="8"/>
  <c r="G207" i="8"/>
  <c r="C207" i="8"/>
  <c r="G13" i="1" s="1"/>
  <c r="R206" i="8"/>
  <c r="C206" i="8"/>
  <c r="F13" i="1" s="1"/>
  <c r="R205" i="8"/>
  <c r="K205" i="8"/>
  <c r="J13" i="1" s="1"/>
  <c r="G205" i="8"/>
  <c r="M13" i="1" s="1"/>
  <c r="R204" i="8"/>
  <c r="R203" i="8"/>
  <c r="R202" i="8"/>
  <c r="R201" i="8"/>
  <c r="W200" i="8"/>
  <c r="Y200" i="8" s="1"/>
  <c r="W201" i="8" s="1"/>
  <c r="Y201" i="8" s="1"/>
  <c r="W202" i="8" s="1"/>
  <c r="Y202" i="8" s="1"/>
  <c r="W203" i="8" s="1"/>
  <c r="Y203" i="8" s="1"/>
  <c r="W204" i="8" s="1"/>
  <c r="Y204" i="8" s="1"/>
  <c r="W205" i="8" s="1"/>
  <c r="Y205" i="8" s="1"/>
  <c r="W206" i="8" s="1"/>
  <c r="Y206" i="8" s="1"/>
  <c r="W207" i="8" s="1"/>
  <c r="Y207" i="8" s="1"/>
  <c r="W208" i="8" s="1"/>
  <c r="Y208" i="8" s="1"/>
  <c r="W209" i="8" s="1"/>
  <c r="Y209" i="8" s="1"/>
  <c r="R200" i="8"/>
  <c r="H199" i="8"/>
  <c r="G199" i="8"/>
  <c r="C192" i="8"/>
  <c r="G191" i="8"/>
  <c r="O84" i="1" s="1"/>
  <c r="C191" i="8"/>
  <c r="G84" i="1" s="1"/>
  <c r="C190" i="8"/>
  <c r="F84" i="1" s="1"/>
  <c r="K189" i="8"/>
  <c r="J84" i="1" s="1"/>
  <c r="G189" i="8"/>
  <c r="M84" i="1" s="1"/>
  <c r="W184" i="8"/>
  <c r="Y184" i="8" s="1"/>
  <c r="W185" i="8" s="1"/>
  <c r="Y185" i="8" s="1"/>
  <c r="W186" i="8" s="1"/>
  <c r="Y186" i="8" s="1"/>
  <c r="W187" i="8" s="1"/>
  <c r="Y187" i="8" s="1"/>
  <c r="Y188" i="8" s="1"/>
  <c r="W189" i="8" s="1"/>
  <c r="Y189" i="8" s="1"/>
  <c r="W190" i="8" s="1"/>
  <c r="Y190" i="8" s="1"/>
  <c r="W191" i="8" s="1"/>
  <c r="Y191" i="8" s="1"/>
  <c r="W192" i="8" s="1"/>
  <c r="Y192" i="8" s="1"/>
  <c r="W193" i="8" s="1"/>
  <c r="Y193" i="8" s="1"/>
  <c r="H183" i="8"/>
  <c r="G183" i="8"/>
  <c r="U179" i="8"/>
  <c r="W179" i="8" s="1"/>
  <c r="Y179" i="8" s="1"/>
  <c r="U177" i="8"/>
  <c r="W177" i="8" s="1"/>
  <c r="Y177" i="8" s="1"/>
  <c r="U178" i="8" s="1"/>
  <c r="R177" i="8"/>
  <c r="U176" i="8"/>
  <c r="W176" i="8" s="1"/>
  <c r="Y176" i="8" s="1"/>
  <c r="R176" i="8"/>
  <c r="C176" i="8"/>
  <c r="U175" i="8"/>
  <c r="W175" i="8" s="1"/>
  <c r="Y175" i="8" s="1"/>
  <c r="R175" i="8"/>
  <c r="G175" i="8"/>
  <c r="K175" i="8" s="1"/>
  <c r="C175" i="8"/>
  <c r="I172" i="8" s="1"/>
  <c r="K172" i="8" s="1"/>
  <c r="K174" i="8" s="1"/>
  <c r="U174" i="8"/>
  <c r="W174" i="8" s="1"/>
  <c r="Y174" i="8" s="1"/>
  <c r="R174" i="8"/>
  <c r="C174" i="8"/>
  <c r="R173" i="8"/>
  <c r="G173" i="8"/>
  <c r="U172" i="8"/>
  <c r="W172" i="8" s="1"/>
  <c r="Y172" i="8" s="1"/>
  <c r="U173" i="8" s="1"/>
  <c r="W173" i="8" s="1"/>
  <c r="Y173" i="8" s="1"/>
  <c r="R172" i="8"/>
  <c r="U171" i="8"/>
  <c r="W171" i="8" s="1"/>
  <c r="Y171" i="8" s="1"/>
  <c r="Y170" i="8"/>
  <c r="W170" i="8"/>
  <c r="R170" i="8"/>
  <c r="Y169" i="8"/>
  <c r="W169" i="8"/>
  <c r="Y168" i="8"/>
  <c r="W168" i="8"/>
  <c r="H167" i="8"/>
  <c r="G167" i="8"/>
  <c r="R163" i="8"/>
  <c r="G159" i="8"/>
  <c r="K159" i="8" s="1"/>
  <c r="C159" i="8"/>
  <c r="G97" i="1" s="1"/>
  <c r="W158" i="8"/>
  <c r="Y158" i="8" s="1"/>
  <c r="U159" i="8" s="1"/>
  <c r="W159" i="8" s="1"/>
  <c r="Y159" i="8" s="1"/>
  <c r="U160" i="8" s="1"/>
  <c r="W160" i="8" s="1"/>
  <c r="Y160" i="8" s="1"/>
  <c r="U161" i="8" s="1"/>
  <c r="W161" i="8" s="1"/>
  <c r="Y161" i="8" s="1"/>
  <c r="U162" i="8" s="1"/>
  <c r="U158" i="8"/>
  <c r="C158" i="8"/>
  <c r="F97" i="1" s="1"/>
  <c r="U157" i="8"/>
  <c r="W157" i="8" s="1"/>
  <c r="Y157" i="8" s="1"/>
  <c r="J97" i="1"/>
  <c r="G157" i="8"/>
  <c r="W156" i="8"/>
  <c r="Y156" i="8" s="1"/>
  <c r="C160" i="8"/>
  <c r="R154" i="8"/>
  <c r="Y152" i="8"/>
  <c r="H151" i="8"/>
  <c r="G151" i="8"/>
  <c r="U147" i="8"/>
  <c r="W147" i="8" s="1"/>
  <c r="Y147" i="8" s="1"/>
  <c r="R147" i="8"/>
  <c r="C144" i="8"/>
  <c r="Y143" i="8"/>
  <c r="W144" i="8" s="1"/>
  <c r="Y144" i="8" s="1"/>
  <c r="W145" i="8" s="1"/>
  <c r="Y145" i="8" s="1"/>
  <c r="U146" i="8" s="1"/>
  <c r="W143" i="8"/>
  <c r="G143" i="8"/>
  <c r="K143" i="8" s="1"/>
  <c r="C143" i="8"/>
  <c r="G102" i="1" s="1"/>
  <c r="Y142" i="8"/>
  <c r="W142" i="8"/>
  <c r="C142" i="8"/>
  <c r="F102" i="1" s="1"/>
  <c r="W141" i="8"/>
  <c r="Y141" i="8" s="1"/>
  <c r="K141" i="8"/>
  <c r="J102" i="1" s="1"/>
  <c r="G141" i="8"/>
  <c r="W140" i="8"/>
  <c r="Y140" i="8" s="1"/>
  <c r="R139" i="8"/>
  <c r="W137" i="8"/>
  <c r="Y137" i="8" s="1"/>
  <c r="W138" i="8" s="1"/>
  <c r="Y138" i="8" s="1"/>
  <c r="W139" i="8" s="1"/>
  <c r="Y139" i="8" s="1"/>
  <c r="R137" i="8"/>
  <c r="W136" i="8"/>
  <c r="Y136" i="8" s="1"/>
  <c r="H135" i="8"/>
  <c r="G135" i="8"/>
  <c r="U130" i="8"/>
  <c r="U129" i="8"/>
  <c r="W129" i="8" s="1"/>
  <c r="Y129" i="8" s="1"/>
  <c r="U128" i="8"/>
  <c r="W128" i="8" s="1"/>
  <c r="Y128" i="8" s="1"/>
  <c r="C128" i="8"/>
  <c r="U127" i="8"/>
  <c r="W127" i="8" s="1"/>
  <c r="Y127" i="8" s="1"/>
  <c r="R127" i="8"/>
  <c r="G127" i="8"/>
  <c r="K127" i="8" s="1"/>
  <c r="C127" i="8"/>
  <c r="G8" i="1" s="1"/>
  <c r="U126" i="8"/>
  <c r="W126" i="8" s="1"/>
  <c r="Y126" i="8" s="1"/>
  <c r="R126" i="8"/>
  <c r="C126" i="8"/>
  <c r="F8" i="1" s="1"/>
  <c r="R125" i="8"/>
  <c r="K125" i="8"/>
  <c r="J8" i="1" s="1"/>
  <c r="G125" i="8"/>
  <c r="M8" i="1" s="1"/>
  <c r="U124" i="8"/>
  <c r="W124" i="8" s="1"/>
  <c r="Y124" i="8" s="1"/>
  <c r="U125" i="8" s="1"/>
  <c r="W125" i="8" s="1"/>
  <c r="Y125" i="8" s="1"/>
  <c r="R124" i="8"/>
  <c r="K124" i="8"/>
  <c r="K126" i="8" s="1"/>
  <c r="U122" i="8"/>
  <c r="W122" i="8" s="1"/>
  <c r="Y122" i="8" s="1"/>
  <c r="U123" i="8" s="1"/>
  <c r="W123" i="8" s="1"/>
  <c r="Y123" i="8" s="1"/>
  <c r="U121" i="8"/>
  <c r="W121" i="8" s="1"/>
  <c r="Y121" i="8" s="1"/>
  <c r="W120" i="8"/>
  <c r="Y120" i="8" s="1"/>
  <c r="H119" i="8"/>
  <c r="G119" i="8"/>
  <c r="R115" i="8"/>
  <c r="U114" i="8"/>
  <c r="R114" i="8"/>
  <c r="U113" i="8"/>
  <c r="W113" i="8" s="1"/>
  <c r="Y113" i="8" s="1"/>
  <c r="R113" i="8"/>
  <c r="U112" i="8"/>
  <c r="W112" i="8" s="1"/>
  <c r="Y112" i="8" s="1"/>
  <c r="R112" i="8"/>
  <c r="C112" i="8"/>
  <c r="U111" i="8"/>
  <c r="W111" i="8" s="1"/>
  <c r="Y111" i="8" s="1"/>
  <c r="R111" i="8"/>
  <c r="G111" i="8"/>
  <c r="K111" i="8" s="1"/>
  <c r="C111" i="8"/>
  <c r="U110" i="8"/>
  <c r="W110" i="8" s="1"/>
  <c r="Y110" i="8" s="1"/>
  <c r="R110" i="8"/>
  <c r="C110" i="8"/>
  <c r="U109" i="8"/>
  <c r="W109" i="8" s="1"/>
  <c r="Y109" i="8" s="1"/>
  <c r="R109" i="8"/>
  <c r="K109" i="8"/>
  <c r="G109" i="8"/>
  <c r="R108" i="8"/>
  <c r="U107" i="8"/>
  <c r="W107" i="8" s="1"/>
  <c r="Y107" i="8" s="1"/>
  <c r="U108" i="8" s="1"/>
  <c r="W108" i="8" s="1"/>
  <c r="Y108" i="8" s="1"/>
  <c r="R107" i="8"/>
  <c r="U105" i="8"/>
  <c r="W105" i="8" s="1"/>
  <c r="Y105" i="8" s="1"/>
  <c r="U106" i="8" s="1"/>
  <c r="W106" i="8" s="1"/>
  <c r="Y106" i="8" s="1"/>
  <c r="Y104" i="8"/>
  <c r="W104" i="8"/>
  <c r="H103" i="8"/>
  <c r="G103" i="8"/>
  <c r="R99" i="8"/>
  <c r="U98" i="8"/>
  <c r="R98" i="8"/>
  <c r="U97" i="8"/>
  <c r="W97" i="8" s="1"/>
  <c r="Y97" i="8" s="1"/>
  <c r="R97" i="8"/>
  <c r="U96" i="8"/>
  <c r="W96" i="8" s="1"/>
  <c r="Y96" i="8" s="1"/>
  <c r="R96" i="8"/>
  <c r="C96" i="8"/>
  <c r="U95" i="8"/>
  <c r="W95" i="8" s="1"/>
  <c r="Y95" i="8" s="1"/>
  <c r="R95" i="8"/>
  <c r="G95" i="8"/>
  <c r="K95" i="8" s="1"/>
  <c r="C95" i="8"/>
  <c r="U94" i="8"/>
  <c r="W94" i="8" s="1"/>
  <c r="Y94" i="8" s="1"/>
  <c r="R94" i="8"/>
  <c r="C94" i="8"/>
  <c r="R93" i="8"/>
  <c r="K93" i="8"/>
  <c r="G93" i="8"/>
  <c r="R92" i="8"/>
  <c r="U91" i="8"/>
  <c r="W91" i="8" s="1"/>
  <c r="Y91" i="8" s="1"/>
  <c r="U92" i="8" s="1"/>
  <c r="W92" i="8" s="1"/>
  <c r="Y92" i="8" s="1"/>
  <c r="U93" i="8" s="1"/>
  <c r="W93" i="8" s="1"/>
  <c r="Y93" i="8" s="1"/>
  <c r="R91" i="8"/>
  <c r="U90" i="8"/>
  <c r="W90" i="8" s="1"/>
  <c r="Y90" i="8" s="1"/>
  <c r="R90" i="8"/>
  <c r="U89" i="8"/>
  <c r="W89" i="8" s="1"/>
  <c r="Y89" i="8" s="1"/>
  <c r="Y88" i="8"/>
  <c r="W88" i="8"/>
  <c r="H87" i="8"/>
  <c r="G87" i="8"/>
  <c r="R83" i="8"/>
  <c r="R82" i="8"/>
  <c r="U81" i="8"/>
  <c r="W81" i="8" s="1"/>
  <c r="Y81" i="8" s="1"/>
  <c r="U82" i="8" s="1"/>
  <c r="R81" i="8"/>
  <c r="U80" i="8"/>
  <c r="W80" i="8" s="1"/>
  <c r="Y80" i="8" s="1"/>
  <c r="R80" i="8"/>
  <c r="C80" i="8"/>
  <c r="U79" i="8"/>
  <c r="W79" i="8" s="1"/>
  <c r="Y79" i="8" s="1"/>
  <c r="R79" i="8"/>
  <c r="G79" i="8"/>
  <c r="K79" i="8" s="1"/>
  <c r="C79" i="8"/>
  <c r="U78" i="8"/>
  <c r="W78" i="8" s="1"/>
  <c r="Y78" i="8" s="1"/>
  <c r="R78" i="8"/>
  <c r="C78" i="8"/>
  <c r="U77" i="8"/>
  <c r="W77" i="8" s="1"/>
  <c r="Y77" i="8" s="1"/>
  <c r="R77" i="8"/>
  <c r="K77" i="8"/>
  <c r="G77" i="8"/>
  <c r="R76" i="8"/>
  <c r="R75" i="8"/>
  <c r="R74" i="8"/>
  <c r="U73" i="8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R73" i="8"/>
  <c r="Y72" i="8"/>
  <c r="W72" i="8"/>
  <c r="H71" i="8"/>
  <c r="G71" i="8"/>
  <c r="U67" i="8"/>
  <c r="W67" i="8" s="1"/>
  <c r="Y67" i="8" s="1"/>
  <c r="R67" i="8"/>
  <c r="R66" i="8"/>
  <c r="R65" i="8"/>
  <c r="R64" i="8"/>
  <c r="C64" i="8"/>
  <c r="W63" i="8"/>
  <c r="Y63" i="8" s="1"/>
  <c r="U64" i="8" s="1"/>
  <c r="W64" i="8" s="1"/>
  <c r="Y64" i="8" s="1"/>
  <c r="U65" i="8" s="1"/>
  <c r="W65" i="8" s="1"/>
  <c r="Y65" i="8" s="1"/>
  <c r="U66" i="8" s="1"/>
  <c r="W66" i="8" s="1"/>
  <c r="U63" i="8"/>
  <c r="R63" i="8"/>
  <c r="G63" i="8"/>
  <c r="O16" i="1" s="1"/>
  <c r="C63" i="8"/>
  <c r="G16" i="1" s="1"/>
  <c r="Y62" i="8"/>
  <c r="W62" i="8"/>
  <c r="R62" i="8"/>
  <c r="C62" i="8"/>
  <c r="F16" i="1" s="1"/>
  <c r="U61" i="8"/>
  <c r="W61" i="8" s="1"/>
  <c r="Y61" i="8" s="1"/>
  <c r="R61" i="8"/>
  <c r="K61" i="8"/>
  <c r="K62" i="8" s="1"/>
  <c r="K64" i="8" s="1"/>
  <c r="G61" i="8"/>
  <c r="M16" i="1" s="1"/>
  <c r="R60" i="8"/>
  <c r="Y59" i="8"/>
  <c r="W60" i="8" s="1"/>
  <c r="Y60" i="8" s="1"/>
  <c r="R59" i="8"/>
  <c r="W58" i="8"/>
  <c r="Y58" i="8" s="1"/>
  <c r="R58" i="8"/>
  <c r="U57" i="8"/>
  <c r="W57" i="8" s="1"/>
  <c r="Y57" i="8" s="1"/>
  <c r="W56" i="8"/>
  <c r="Y56" i="8" s="1"/>
  <c r="H55" i="8"/>
  <c r="G55" i="8"/>
  <c r="R51" i="8"/>
  <c r="U49" i="8"/>
  <c r="W49" i="8" s="1"/>
  <c r="Y49" i="8" s="1"/>
  <c r="U50" i="8" s="1"/>
  <c r="U48" i="8"/>
  <c r="W48" i="8" s="1"/>
  <c r="Y48" i="8" s="1"/>
  <c r="R48" i="8"/>
  <c r="C48" i="8"/>
  <c r="U47" i="8"/>
  <c r="W47" i="8" s="1"/>
  <c r="Y47" i="8" s="1"/>
  <c r="R47" i="8"/>
  <c r="G47" i="8"/>
  <c r="K47" i="8" s="1"/>
  <c r="C47" i="8"/>
  <c r="G14" i="1" s="1"/>
  <c r="U46" i="8"/>
  <c r="W46" i="8" s="1"/>
  <c r="Y46" i="8" s="1"/>
  <c r="R46" i="8"/>
  <c r="C46" i="8"/>
  <c r="F14" i="1" s="1"/>
  <c r="R45" i="8"/>
  <c r="K45" i="8"/>
  <c r="J14" i="1" s="1"/>
  <c r="G45" i="8"/>
  <c r="R44" i="8"/>
  <c r="K44" i="8"/>
  <c r="R43" i="8"/>
  <c r="U42" i="8"/>
  <c r="W42" i="8" s="1"/>
  <c r="Y42" i="8" s="1"/>
  <c r="U43" i="8" s="1"/>
  <c r="W43" i="8" s="1"/>
  <c r="Y43" i="8" s="1"/>
  <c r="U44" i="8" s="1"/>
  <c r="W44" i="8" s="1"/>
  <c r="Y44" i="8" s="1"/>
  <c r="U45" i="8" s="1"/>
  <c r="W45" i="8" s="1"/>
  <c r="Y45" i="8" s="1"/>
  <c r="R42" i="8"/>
  <c r="U41" i="8"/>
  <c r="W41" i="8" s="1"/>
  <c r="Y41" i="8" s="1"/>
  <c r="R41" i="8"/>
  <c r="Y40" i="8"/>
  <c r="W40" i="8"/>
  <c r="R40" i="8"/>
  <c r="H39" i="8"/>
  <c r="G39" i="8"/>
  <c r="R35" i="8"/>
  <c r="R34" i="8"/>
  <c r="U33" i="8"/>
  <c r="W33" i="8" s="1"/>
  <c r="Y33" i="8" s="1"/>
  <c r="U34" i="8" s="1"/>
  <c r="R33" i="8"/>
  <c r="U32" i="8"/>
  <c r="W32" i="8" s="1"/>
  <c r="Y32" i="8" s="1"/>
  <c r="R32" i="8"/>
  <c r="C32" i="8"/>
  <c r="U31" i="8"/>
  <c r="W31" i="8" s="1"/>
  <c r="Y31" i="8" s="1"/>
  <c r="R31" i="8"/>
  <c r="G31" i="8"/>
  <c r="K31" i="8" s="1"/>
  <c r="C31" i="8"/>
  <c r="U30" i="8"/>
  <c r="W30" i="8" s="1"/>
  <c r="Y30" i="8" s="1"/>
  <c r="R30" i="8"/>
  <c r="C30" i="8"/>
  <c r="U29" i="8"/>
  <c r="W29" i="8" s="1"/>
  <c r="Y29" i="8" s="1"/>
  <c r="R29" i="8"/>
  <c r="K29" i="8"/>
  <c r="G29" i="8"/>
  <c r="R28" i="8"/>
  <c r="R27" i="8"/>
  <c r="R26" i="8"/>
  <c r="U25" i="8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R25" i="8"/>
  <c r="Y24" i="8"/>
  <c r="W24" i="8"/>
  <c r="R24" i="8"/>
  <c r="H23" i="8"/>
  <c r="G23" i="8"/>
  <c r="R19" i="8"/>
  <c r="R18" i="8"/>
  <c r="U17" i="8"/>
  <c r="W17" i="8" s="1"/>
  <c r="Y17" i="8" s="1"/>
  <c r="U18" i="8" s="1"/>
  <c r="R17" i="8"/>
  <c r="U16" i="8"/>
  <c r="W16" i="8" s="1"/>
  <c r="Y16" i="8" s="1"/>
  <c r="R16" i="8"/>
  <c r="C16" i="8"/>
  <c r="U15" i="8"/>
  <c r="W15" i="8" s="1"/>
  <c r="Y15" i="8" s="1"/>
  <c r="R15" i="8"/>
  <c r="G15" i="8"/>
  <c r="K15" i="8" s="1"/>
  <c r="C15" i="8"/>
  <c r="U14" i="8"/>
  <c r="W14" i="8" s="1"/>
  <c r="Y14" i="8" s="1"/>
  <c r="R14" i="8"/>
  <c r="C14" i="8"/>
  <c r="U13" i="8"/>
  <c r="W13" i="8" s="1"/>
  <c r="Y13" i="8" s="1"/>
  <c r="R13" i="8"/>
  <c r="K13" i="8"/>
  <c r="G13" i="8"/>
  <c r="R12" i="8"/>
  <c r="U11" i="8"/>
  <c r="W11" i="8" s="1"/>
  <c r="Y11" i="8" s="1"/>
  <c r="U12" i="8" s="1"/>
  <c r="W12" i="8" s="1"/>
  <c r="Y12" i="8" s="1"/>
  <c r="R11" i="8"/>
  <c r="R10" i="8"/>
  <c r="U9" i="8"/>
  <c r="W9" i="8" s="1"/>
  <c r="Y9" i="8" s="1"/>
  <c r="U10" i="8" s="1"/>
  <c r="W10" i="8" s="1"/>
  <c r="Y10" i="8" s="1"/>
  <c r="R9" i="8"/>
  <c r="Y8" i="8"/>
  <c r="W8" i="8"/>
  <c r="R8" i="8"/>
  <c r="H7" i="8"/>
  <c r="G7" i="8"/>
  <c r="H91" i="1"/>
  <c r="E91" i="1"/>
  <c r="B91" i="1"/>
  <c r="H99" i="1"/>
  <c r="E99" i="1"/>
  <c r="B99" i="1"/>
  <c r="H88" i="1"/>
  <c r="E88" i="1"/>
  <c r="B88" i="1"/>
  <c r="H87" i="1"/>
  <c r="E87" i="1"/>
  <c r="M44" i="1"/>
  <c r="H44" i="1"/>
  <c r="E44" i="1"/>
  <c r="B44" i="1"/>
  <c r="H85" i="1"/>
  <c r="E85" i="1"/>
  <c r="O101" i="1"/>
  <c r="M101" i="1"/>
  <c r="H101" i="1"/>
  <c r="E101" i="1"/>
  <c r="D101" i="1" s="1"/>
  <c r="B101" i="1"/>
  <c r="H83" i="1"/>
  <c r="E83" i="1"/>
  <c r="J82" i="1"/>
  <c r="H82" i="1"/>
  <c r="E82" i="1"/>
  <c r="B82" i="1"/>
  <c r="H94" i="1"/>
  <c r="E94" i="1"/>
  <c r="I79" i="1"/>
  <c r="H79" i="1"/>
  <c r="E79" i="1"/>
  <c r="B79" i="1"/>
  <c r="H76" i="1"/>
  <c r="E76" i="1"/>
  <c r="B76" i="1"/>
  <c r="H78" i="1"/>
  <c r="E78" i="1"/>
  <c r="B78" i="1"/>
  <c r="H24" i="1"/>
  <c r="E24" i="1"/>
  <c r="H69" i="1"/>
  <c r="E69" i="1"/>
  <c r="H96" i="1"/>
  <c r="E96" i="1"/>
  <c r="H74" i="1"/>
  <c r="E74" i="1"/>
  <c r="H70" i="1"/>
  <c r="E70" i="1"/>
  <c r="B70" i="1"/>
  <c r="H53" i="1"/>
  <c r="E53" i="1"/>
  <c r="B53" i="1"/>
  <c r="H68" i="1"/>
  <c r="E68" i="1"/>
  <c r="B68" i="1"/>
  <c r="H67" i="1"/>
  <c r="E67" i="1"/>
  <c r="H66" i="1"/>
  <c r="E66" i="1"/>
  <c r="H58" i="1"/>
  <c r="E58" i="1"/>
  <c r="H98" i="1"/>
  <c r="E98" i="1"/>
  <c r="B98" i="1"/>
  <c r="H26" i="1"/>
  <c r="E26" i="1"/>
  <c r="B26" i="1"/>
  <c r="H35" i="1"/>
  <c r="E35" i="1"/>
  <c r="B35" i="1"/>
  <c r="O104" i="1"/>
  <c r="H104" i="1"/>
  <c r="E104" i="1"/>
  <c r="B104" i="1"/>
  <c r="H50" i="1"/>
  <c r="E50" i="1"/>
  <c r="B50" i="1"/>
  <c r="H103" i="1"/>
  <c r="E103" i="1"/>
  <c r="H63" i="1"/>
  <c r="E63" i="1"/>
  <c r="B63" i="1"/>
  <c r="H62" i="1"/>
  <c r="E62" i="1"/>
  <c r="B62" i="1"/>
  <c r="H60" i="1"/>
  <c r="E60" i="1"/>
  <c r="B60" i="1"/>
  <c r="H59" i="1"/>
  <c r="E59" i="1"/>
  <c r="H23" i="1"/>
  <c r="E23" i="1"/>
  <c r="H57" i="1"/>
  <c r="E57" i="1"/>
  <c r="H54" i="1"/>
  <c r="E54" i="1"/>
  <c r="B54" i="1"/>
  <c r="H89" i="1"/>
  <c r="E89" i="1"/>
  <c r="B89" i="1"/>
  <c r="H48" i="1"/>
  <c r="E48" i="1"/>
  <c r="B48" i="1"/>
  <c r="H47" i="1"/>
  <c r="E47" i="1"/>
  <c r="B47" i="1"/>
  <c r="H46" i="1"/>
  <c r="E46" i="1"/>
  <c r="H86" i="1"/>
  <c r="E86" i="1"/>
  <c r="H45" i="1"/>
  <c r="E45" i="1"/>
  <c r="B45" i="1"/>
  <c r="H61" i="1"/>
  <c r="E61" i="1"/>
  <c r="B61" i="1"/>
  <c r="H75" i="1"/>
  <c r="E75" i="1"/>
  <c r="B75" i="1"/>
  <c r="H43" i="1"/>
  <c r="E43" i="1"/>
  <c r="H95" i="1"/>
  <c r="E95" i="1"/>
  <c r="M42" i="1"/>
  <c r="H42" i="1"/>
  <c r="E42" i="1"/>
  <c r="H41" i="1"/>
  <c r="E41" i="1"/>
  <c r="B41" i="1"/>
  <c r="H40" i="1"/>
  <c r="E40" i="1"/>
  <c r="H39" i="1"/>
  <c r="E39" i="1"/>
  <c r="H49" i="1"/>
  <c r="E49" i="1"/>
  <c r="B49" i="1"/>
  <c r="H52" i="1"/>
  <c r="E52" i="1"/>
  <c r="B52" i="1"/>
  <c r="H90" i="1"/>
  <c r="E90" i="1"/>
  <c r="B90" i="1"/>
  <c r="H33" i="1"/>
  <c r="E33" i="1"/>
  <c r="B33" i="1"/>
  <c r="H36" i="1"/>
  <c r="E36" i="1"/>
  <c r="B36" i="1"/>
  <c r="H105" i="1"/>
  <c r="E105" i="1"/>
  <c r="B105" i="1"/>
  <c r="H77" i="1"/>
  <c r="E77" i="1"/>
  <c r="B77" i="1"/>
  <c r="H73" i="1"/>
  <c r="E73" i="1"/>
  <c r="B73" i="1"/>
  <c r="H34" i="1"/>
  <c r="E34" i="1"/>
  <c r="B34" i="1"/>
  <c r="H31" i="1"/>
  <c r="E31" i="1"/>
  <c r="B31" i="1"/>
  <c r="H30" i="1"/>
  <c r="E30" i="1"/>
  <c r="H106" i="1"/>
  <c r="E106" i="1"/>
  <c r="B106" i="1"/>
  <c r="H27" i="1"/>
  <c r="E27" i="1"/>
  <c r="B27" i="1"/>
  <c r="H25" i="1"/>
  <c r="E25" i="1"/>
  <c r="B25" i="1"/>
  <c r="M22" i="1"/>
  <c r="H22" i="1"/>
  <c r="E22" i="1"/>
  <c r="B22" i="1"/>
  <c r="H21" i="1"/>
  <c r="E21" i="1"/>
  <c r="B21" i="1"/>
  <c r="H32" i="1"/>
  <c r="E32" i="1"/>
  <c r="B32" i="1"/>
  <c r="H20" i="1"/>
  <c r="E20" i="1"/>
  <c r="B20" i="1"/>
  <c r="H17" i="1"/>
  <c r="E17" i="1"/>
  <c r="B17" i="1"/>
  <c r="I16" i="1"/>
  <c r="E16" i="1"/>
  <c r="B16" i="1"/>
  <c r="H15" i="1"/>
  <c r="E15" i="1"/>
  <c r="B15" i="1"/>
  <c r="V51" i="1"/>
  <c r="H51" i="1"/>
  <c r="E51" i="1"/>
  <c r="B51" i="1"/>
  <c r="H84" i="1"/>
  <c r="E84" i="1"/>
  <c r="B84" i="1"/>
  <c r="H97" i="1"/>
  <c r="E97" i="1"/>
  <c r="B97" i="1"/>
  <c r="M102" i="1"/>
  <c r="H102" i="1"/>
  <c r="E102" i="1"/>
  <c r="P14" i="1"/>
  <c r="O14" i="1"/>
  <c r="N14" i="1"/>
  <c r="M14" i="1"/>
  <c r="L14" i="1"/>
  <c r="I14" i="1"/>
  <c r="H14" i="1"/>
  <c r="E14" i="1"/>
  <c r="H13" i="1"/>
  <c r="E13" i="1"/>
  <c r="I8" i="1"/>
  <c r="H8" i="1"/>
  <c r="E8" i="1"/>
  <c r="B8" i="1"/>
  <c r="D5" i="1"/>
  <c r="D4" i="1"/>
  <c r="P1" i="1"/>
  <c r="N1" i="1"/>
  <c r="I1421" i="8" l="1"/>
  <c r="C720" i="8"/>
  <c r="C1136" i="8"/>
  <c r="I1132" i="8" s="1"/>
  <c r="K1132" i="8" s="1"/>
  <c r="K1134" i="8" s="1"/>
  <c r="K22" i="1" s="1"/>
  <c r="F25" i="1"/>
  <c r="I1148" i="8"/>
  <c r="U1466" i="8"/>
  <c r="W1466" i="8" s="1"/>
  <c r="Y1466" i="8" s="1"/>
  <c r="C576" i="8"/>
  <c r="I572" i="8" s="1"/>
  <c r="K572" i="8" s="1"/>
  <c r="K574" i="8" s="1"/>
  <c r="G908" i="8"/>
  <c r="L23" i="1" s="1"/>
  <c r="F77" i="1"/>
  <c r="K1437" i="8"/>
  <c r="K1439" i="8" s="1"/>
  <c r="U1469" i="8"/>
  <c r="W1469" i="8" s="1"/>
  <c r="Y1469" i="8" s="1"/>
  <c r="W1470" i="8" s="1"/>
  <c r="Y1470" i="8" s="1"/>
  <c r="U315" i="8"/>
  <c r="W315" i="8" s="1"/>
  <c r="Y315" i="8" s="1"/>
  <c r="C864" i="8"/>
  <c r="I860" i="8" s="1"/>
  <c r="K860" i="8" s="1"/>
  <c r="K862" i="8" s="1"/>
  <c r="I444" i="8"/>
  <c r="I63" i="1" s="1"/>
  <c r="F98" i="1"/>
  <c r="I732" i="8"/>
  <c r="K732" i="8" s="1"/>
  <c r="U732" i="8"/>
  <c r="W732" i="8" s="1"/>
  <c r="Y732" i="8" s="1"/>
  <c r="U733" i="8" s="1"/>
  <c r="W733" i="8" s="1"/>
  <c r="Y733" i="8" s="1"/>
  <c r="C464" i="8"/>
  <c r="I460" i="8" s="1"/>
  <c r="K460" i="8" s="1"/>
  <c r="K462" i="8" s="1"/>
  <c r="K1405" i="8"/>
  <c r="K1407" i="8" s="1"/>
  <c r="U601" i="8"/>
  <c r="W601" i="8" s="1"/>
  <c r="Y601" i="8" s="1"/>
  <c r="K46" i="8"/>
  <c r="K14" i="1" s="1"/>
  <c r="U1035" i="8"/>
  <c r="W1035" i="8" s="1"/>
  <c r="Y1035" i="8" s="1"/>
  <c r="W1229" i="8"/>
  <c r="Y1229" i="8" s="1"/>
  <c r="K176" i="8"/>
  <c r="I220" i="8"/>
  <c r="K220" i="8" s="1"/>
  <c r="K222" i="8" s="1"/>
  <c r="K476" i="8"/>
  <c r="K478" i="8" s="1"/>
  <c r="I140" i="8"/>
  <c r="I102" i="1" s="1"/>
  <c r="I284" i="8"/>
  <c r="K284" i="8" s="1"/>
  <c r="K286" i="8" s="1"/>
  <c r="K42" i="1" s="1"/>
  <c r="M107" i="1"/>
  <c r="C1393" i="8"/>
  <c r="K1213" i="8"/>
  <c r="K1215" i="8" s="1"/>
  <c r="K51" i="1" s="1"/>
  <c r="C768" i="8"/>
  <c r="I764" i="8" s="1"/>
  <c r="K764" i="8" s="1"/>
  <c r="K766" i="8" s="1"/>
  <c r="C880" i="8"/>
  <c r="C672" i="8"/>
  <c r="I668" i="8" s="1"/>
  <c r="K668" i="8" s="1"/>
  <c r="K670" i="8" s="1"/>
  <c r="I1229" i="8"/>
  <c r="K1229" i="8" s="1"/>
  <c r="K1231" i="8" s="1"/>
  <c r="U331" i="8"/>
  <c r="W331" i="8" s="1"/>
  <c r="Y331" i="8" s="1"/>
  <c r="W332" i="8" s="1"/>
  <c r="Y332" i="8" s="1"/>
  <c r="W333" i="8" s="1"/>
  <c r="Y333" i="8" s="1"/>
  <c r="W334" i="8" s="1"/>
  <c r="Y334" i="8" s="1"/>
  <c r="W335" i="8" s="1"/>
  <c r="Y335" i="8" s="1"/>
  <c r="W336" i="8" s="1"/>
  <c r="Y336" i="8" s="1"/>
  <c r="W337" i="8" s="1"/>
  <c r="Y337" i="8" s="1"/>
  <c r="K926" i="8"/>
  <c r="K79" i="1" s="1"/>
  <c r="Q8" i="1"/>
  <c r="O103" i="1"/>
  <c r="O27" i="1"/>
  <c r="O23" i="1"/>
  <c r="G892" i="8"/>
  <c r="W914" i="8"/>
  <c r="Y914" i="8" s="1"/>
  <c r="G912" i="8" s="1"/>
  <c r="P23" i="1" s="1"/>
  <c r="O22" i="1"/>
  <c r="O34" i="1"/>
  <c r="O62" i="1"/>
  <c r="K927" i="8"/>
  <c r="C1313" i="8"/>
  <c r="I1309" i="8" s="1"/>
  <c r="K1309" i="8" s="1"/>
  <c r="K1311" i="8" s="1"/>
  <c r="C208" i="8"/>
  <c r="I204" i="8" s="1"/>
  <c r="C1361" i="8"/>
  <c r="I1357" i="8" s="1"/>
  <c r="I30" i="1" s="1"/>
  <c r="C1249" i="8"/>
  <c r="I1245" i="8" s="1"/>
  <c r="I75" i="1" s="1"/>
  <c r="W1371" i="8"/>
  <c r="Y1371" i="8" s="1"/>
  <c r="C304" i="8"/>
  <c r="I300" i="8" s="1"/>
  <c r="F60" i="1"/>
  <c r="I1036" i="8"/>
  <c r="K1036" i="8" s="1"/>
  <c r="K1038" i="8" s="1"/>
  <c r="C848" i="8"/>
  <c r="I844" i="8" s="1"/>
  <c r="K844" i="8" s="1"/>
  <c r="K846" i="8" s="1"/>
  <c r="K58" i="1" s="1"/>
  <c r="C512" i="8"/>
  <c r="I85" i="1" s="1"/>
  <c r="U378" i="8"/>
  <c r="W378" i="8" s="1"/>
  <c r="Y378" i="8" s="1"/>
  <c r="U954" i="8"/>
  <c r="W954" i="8" s="1"/>
  <c r="Y954" i="8" s="1"/>
  <c r="Y955" i="8" s="1"/>
  <c r="W956" i="8" s="1"/>
  <c r="Y956" i="8" s="1"/>
  <c r="W957" i="8" s="1"/>
  <c r="Y957" i="8" s="1"/>
  <c r="W958" i="8" s="1"/>
  <c r="Y958" i="8" s="1"/>
  <c r="W959" i="8" s="1"/>
  <c r="Y959" i="8" s="1"/>
  <c r="W960" i="8" s="1"/>
  <c r="Y960" i="8" s="1"/>
  <c r="W961" i="8" s="1"/>
  <c r="Y961" i="8" s="1"/>
  <c r="Y153" i="8"/>
  <c r="O77" i="1"/>
  <c r="O105" i="1"/>
  <c r="G1006" i="8"/>
  <c r="N95" i="1" s="1"/>
  <c r="I12" i="8"/>
  <c r="K12" i="8" s="1"/>
  <c r="K14" i="8" s="1"/>
  <c r="I1373" i="8"/>
  <c r="K1373" i="8" s="1"/>
  <c r="K1375" i="8" s="1"/>
  <c r="C528" i="8"/>
  <c r="I524" i="8" s="1"/>
  <c r="K524" i="8" s="1"/>
  <c r="K526" i="8" s="1"/>
  <c r="K528" i="8" s="1"/>
  <c r="Q39" i="1" s="1"/>
  <c r="I1277" i="8"/>
  <c r="K1277" i="8" s="1"/>
  <c r="K1279" i="8" s="1"/>
  <c r="C496" i="8"/>
  <c r="I492" i="8" s="1"/>
  <c r="K492" i="8" s="1"/>
  <c r="K494" i="8" s="1"/>
  <c r="C1088" i="8"/>
  <c r="C976" i="8"/>
  <c r="I972" i="8" s="1"/>
  <c r="I27" i="1" s="1"/>
  <c r="F41" i="1"/>
  <c r="K268" i="8"/>
  <c r="K270" i="8" s="1"/>
  <c r="F36" i="1"/>
  <c r="F30" i="1"/>
  <c r="C1008" i="8"/>
  <c r="I1004" i="8" s="1"/>
  <c r="K1004" i="8" s="1"/>
  <c r="K1006" i="8" s="1"/>
  <c r="I940" i="8"/>
  <c r="K940" i="8" s="1"/>
  <c r="K942" i="8" s="1"/>
  <c r="C560" i="8"/>
  <c r="I556" i="8" s="1"/>
  <c r="I87" i="1" s="1"/>
  <c r="I636" i="8"/>
  <c r="I67" i="1" s="1"/>
  <c r="W665" i="8"/>
  <c r="K366" i="8"/>
  <c r="K368" i="8" s="1"/>
  <c r="K1118" i="8"/>
  <c r="K1120" i="8" s="1"/>
  <c r="O95" i="1"/>
  <c r="G284" i="8"/>
  <c r="L42" i="1" s="1"/>
  <c r="I412" i="8"/>
  <c r="K412" i="8" s="1"/>
  <c r="K414" i="8" s="1"/>
  <c r="I380" i="8"/>
  <c r="K380" i="8" s="1"/>
  <c r="K382" i="8" s="1"/>
  <c r="C624" i="8"/>
  <c r="I620" i="8" s="1"/>
  <c r="I892" i="8"/>
  <c r="K1020" i="8"/>
  <c r="K1022" i="8" s="1"/>
  <c r="K1148" i="8"/>
  <c r="K1150" i="8" s="1"/>
  <c r="I73" i="1"/>
  <c r="I1293" i="8"/>
  <c r="K1293" i="8" s="1"/>
  <c r="K1295" i="8" s="1"/>
  <c r="K91" i="1" s="1"/>
  <c r="I1261" i="8"/>
  <c r="I44" i="1" s="1"/>
  <c r="I876" i="8"/>
  <c r="K876" i="8" s="1"/>
  <c r="K878" i="8" s="1"/>
  <c r="K32" i="1" s="1"/>
  <c r="I796" i="8"/>
  <c r="K796" i="8" s="1"/>
  <c r="K798" i="8" s="1"/>
  <c r="K34" i="1" s="1"/>
  <c r="I66" i="1"/>
  <c r="I604" i="8"/>
  <c r="K604" i="8" s="1"/>
  <c r="K606" i="8" s="1"/>
  <c r="I540" i="8"/>
  <c r="K540" i="8" s="1"/>
  <c r="K542" i="8" s="1"/>
  <c r="I428" i="8"/>
  <c r="K428" i="8" s="1"/>
  <c r="K430" i="8" s="1"/>
  <c r="K54" i="1" s="1"/>
  <c r="I236" i="8"/>
  <c r="O82" i="1"/>
  <c r="O24" i="1"/>
  <c r="O26" i="1"/>
  <c r="O78" i="1"/>
  <c r="O8" i="1"/>
  <c r="K943" i="8"/>
  <c r="O68" i="1"/>
  <c r="K1087" i="8"/>
  <c r="O20" i="1"/>
  <c r="K1264" i="8"/>
  <c r="O44" i="1"/>
  <c r="O90" i="1"/>
  <c r="K1376" i="8"/>
  <c r="K1408" i="8"/>
  <c r="O49" i="1"/>
  <c r="K1360" i="8"/>
  <c r="O30" i="1"/>
  <c r="O42" i="1"/>
  <c r="K1344" i="8"/>
  <c r="O33" i="1"/>
  <c r="O32" i="1"/>
  <c r="K348" i="8"/>
  <c r="K350" i="8" s="1"/>
  <c r="K815" i="8"/>
  <c r="O59" i="1"/>
  <c r="K1328" i="8"/>
  <c r="O31" i="1"/>
  <c r="I92" i="8"/>
  <c r="K92" i="8" s="1"/>
  <c r="K94" i="8" s="1"/>
  <c r="K96" i="8" s="1"/>
  <c r="Q9" i="1" s="1"/>
  <c r="K671" i="8"/>
  <c r="O70" i="1"/>
  <c r="I1100" i="8"/>
  <c r="K1100" i="8" s="1"/>
  <c r="K1102" i="8" s="1"/>
  <c r="K82" i="1" s="1"/>
  <c r="K1312" i="8"/>
  <c r="O106" i="1"/>
  <c r="O15" i="1"/>
  <c r="O25" i="1"/>
  <c r="O73" i="1"/>
  <c r="O41" i="1"/>
  <c r="O57" i="1"/>
  <c r="O98" i="1"/>
  <c r="O88" i="1"/>
  <c r="I316" i="8"/>
  <c r="K316" i="8" s="1"/>
  <c r="K318" i="8" s="1"/>
  <c r="K61" i="1" s="1"/>
  <c r="I396" i="8"/>
  <c r="I15" i="1" s="1"/>
  <c r="K748" i="8"/>
  <c r="K750" i="8" s="1"/>
  <c r="K104" i="1" s="1"/>
  <c r="I828" i="8"/>
  <c r="K828" i="8" s="1"/>
  <c r="K830" i="8" s="1"/>
  <c r="K78" i="1" s="1"/>
  <c r="I1180" i="8"/>
  <c r="K1180" i="8" s="1"/>
  <c r="K1182" i="8" s="1"/>
  <c r="K62" i="1" s="1"/>
  <c r="K1280" i="8"/>
  <c r="O76" i="1"/>
  <c r="I108" i="8"/>
  <c r="K108" i="8" s="1"/>
  <c r="K110" i="8" s="1"/>
  <c r="K112" i="8" s="1"/>
  <c r="Q10" i="1" s="1"/>
  <c r="K332" i="8"/>
  <c r="K334" i="8" s="1"/>
  <c r="I94" i="1"/>
  <c r="I1325" i="8"/>
  <c r="K1325" i="8" s="1"/>
  <c r="K1327" i="8" s="1"/>
  <c r="I1453" i="8"/>
  <c r="K988" i="8"/>
  <c r="K990" i="8" s="1"/>
  <c r="K992" i="8" s="1"/>
  <c r="Q24" i="1" s="1"/>
  <c r="F24" i="1"/>
  <c r="O89" i="1"/>
  <c r="O17" i="1"/>
  <c r="I1196" i="8"/>
  <c r="K1196" i="8" s="1"/>
  <c r="K1198" i="8" s="1"/>
  <c r="K47" i="1" s="1"/>
  <c r="C816" i="8"/>
  <c r="I812" i="8" s="1"/>
  <c r="I59" i="1" s="1"/>
  <c r="C912" i="8"/>
  <c r="I908" i="8" s="1"/>
  <c r="K908" i="8" s="1"/>
  <c r="K910" i="8" s="1"/>
  <c r="K23" i="1" s="1"/>
  <c r="K700" i="8"/>
  <c r="K702" i="8" s="1"/>
  <c r="K26" i="1" s="1"/>
  <c r="O67" i="1"/>
  <c r="O58" i="1"/>
  <c r="C1473" i="8"/>
  <c r="O86" i="1"/>
  <c r="O61" i="1"/>
  <c r="O85" i="1"/>
  <c r="C960" i="8"/>
  <c r="I956" i="8" s="1"/>
  <c r="I99" i="1" s="1"/>
  <c r="I101" i="1"/>
  <c r="K686" i="8"/>
  <c r="K66" i="1" s="1"/>
  <c r="K1054" i="8"/>
  <c r="K1056" i="8" s="1"/>
  <c r="K1166" i="8"/>
  <c r="K1168" i="8" s="1"/>
  <c r="O13" i="1"/>
  <c r="K207" i="8"/>
  <c r="K1199" i="8"/>
  <c r="O47" i="1"/>
  <c r="K1392" i="8"/>
  <c r="O52" i="1"/>
  <c r="W515" i="8"/>
  <c r="Y515" i="8" s="1"/>
  <c r="G508" i="8"/>
  <c r="L85" i="1" s="1"/>
  <c r="G1166" i="8"/>
  <c r="Y1171" i="8"/>
  <c r="O74" i="1"/>
  <c r="K895" i="8"/>
  <c r="Y1010" i="8"/>
  <c r="G1008" i="8" s="1"/>
  <c r="P95" i="1" s="1"/>
  <c r="G1168" i="8"/>
  <c r="O83" i="1"/>
  <c r="I28" i="8"/>
  <c r="K28" i="8" s="1"/>
  <c r="K30" i="8" s="1"/>
  <c r="K32" i="8" s="1"/>
  <c r="O53" i="1"/>
  <c r="K351" i="8"/>
  <c r="K1039" i="8"/>
  <c r="O60" i="1"/>
  <c r="W883" i="8"/>
  <c r="G876" i="8"/>
  <c r="L32" i="1" s="1"/>
  <c r="O94" i="1"/>
  <c r="O87" i="1"/>
  <c r="G140" i="8"/>
  <c r="L102" i="1" s="1"/>
  <c r="G300" i="8"/>
  <c r="L43" i="1" s="1"/>
  <c r="G1164" i="8"/>
  <c r="O21" i="1"/>
  <c r="O36" i="1"/>
  <c r="O45" i="1"/>
  <c r="O46" i="1"/>
  <c r="O50" i="1"/>
  <c r="L101" i="1"/>
  <c r="G1277" i="8"/>
  <c r="L76" i="1" s="1"/>
  <c r="K716" i="8"/>
  <c r="K718" i="8" s="1"/>
  <c r="O97" i="1"/>
  <c r="O96" i="1"/>
  <c r="K191" i="8"/>
  <c r="O40" i="1"/>
  <c r="K959" i="8"/>
  <c r="O43" i="1"/>
  <c r="O39" i="1"/>
  <c r="O51" i="1"/>
  <c r="J62" i="1"/>
  <c r="J107" i="1" s="1"/>
  <c r="K1232" i="8"/>
  <c r="K687" i="8"/>
  <c r="E107" i="1"/>
  <c r="O48" i="1"/>
  <c r="O91" i="1"/>
  <c r="O75" i="1"/>
  <c r="G1245" i="8"/>
  <c r="L75" i="1" s="1"/>
  <c r="G1068" i="8"/>
  <c r="W1074" i="8"/>
  <c r="Y1074" i="8" s="1"/>
  <c r="G684" i="8"/>
  <c r="L66" i="1" s="1"/>
  <c r="W690" i="8"/>
  <c r="Y690" i="8" s="1"/>
  <c r="G636" i="8"/>
  <c r="L67" i="1" s="1"/>
  <c r="Y514" i="8"/>
  <c r="G510" i="8"/>
  <c r="N85" i="1" s="1"/>
  <c r="G428" i="8"/>
  <c r="L54" i="1" s="1"/>
  <c r="G412" i="8"/>
  <c r="L88" i="1" s="1"/>
  <c r="W418" i="8"/>
  <c r="Y418" i="8" s="1"/>
  <c r="G416" i="8" s="1"/>
  <c r="P88" i="1" s="1"/>
  <c r="K8" i="1"/>
  <c r="Q16" i="1"/>
  <c r="K16" i="1"/>
  <c r="K256" i="8"/>
  <c r="I24" i="1"/>
  <c r="K784" i="8"/>
  <c r="W274" i="8"/>
  <c r="G220" i="8"/>
  <c r="L17" i="1" s="1"/>
  <c r="W34" i="8"/>
  <c r="G60" i="8"/>
  <c r="L16" i="1" s="1"/>
  <c r="W82" i="8"/>
  <c r="W130" i="8"/>
  <c r="W178" i="8"/>
  <c r="G172" i="8"/>
  <c r="G188" i="8"/>
  <c r="L84" i="1" s="1"/>
  <c r="W194" i="8"/>
  <c r="W258" i="8"/>
  <c r="G252" i="8"/>
  <c r="G364" i="8"/>
  <c r="W370" i="8"/>
  <c r="W450" i="8"/>
  <c r="G444" i="8"/>
  <c r="L63" i="1" s="1"/>
  <c r="G476" i="8"/>
  <c r="L46" i="1" s="1"/>
  <c r="W482" i="8"/>
  <c r="W18" i="8"/>
  <c r="W50" i="8"/>
  <c r="Y306" i="8"/>
  <c r="W338" i="8"/>
  <c r="G348" i="8"/>
  <c r="L53" i="1" s="1"/>
  <c r="W354" i="8"/>
  <c r="G780" i="8"/>
  <c r="W786" i="8"/>
  <c r="W866" i="8"/>
  <c r="G860" i="8"/>
  <c r="L57" i="1" s="1"/>
  <c r="W1475" i="8"/>
  <c r="G1469" i="8"/>
  <c r="L36" i="1" s="1"/>
  <c r="O102" i="1"/>
  <c r="W162" i="8"/>
  <c r="W242" i="8"/>
  <c r="G236" i="8"/>
  <c r="L40" i="1" s="1"/>
  <c r="G43" i="1"/>
  <c r="W322" i="8"/>
  <c r="K447" i="8"/>
  <c r="O63" i="1"/>
  <c r="W498" i="8"/>
  <c r="G492" i="8"/>
  <c r="L21" i="1" s="1"/>
  <c r="G572" i="8"/>
  <c r="L96" i="1" s="1"/>
  <c r="W578" i="8"/>
  <c r="W594" i="8"/>
  <c r="G588" i="8"/>
  <c r="L94" i="1" s="1"/>
  <c r="G62" i="8"/>
  <c r="N16" i="1" s="1"/>
  <c r="Y66" i="8"/>
  <c r="G64" i="8" s="1"/>
  <c r="P16" i="1" s="1"/>
  <c r="I76" i="8"/>
  <c r="K76" i="8" s="1"/>
  <c r="K78" i="8" s="1"/>
  <c r="K80" i="8" s="1"/>
  <c r="Q7" i="1" s="1"/>
  <c r="W402" i="8"/>
  <c r="G396" i="8"/>
  <c r="L15" i="1" s="1"/>
  <c r="G1070" i="8"/>
  <c r="G1116" i="8"/>
  <c r="W1122" i="8"/>
  <c r="W210" i="8"/>
  <c r="G204" i="8"/>
  <c r="L13" i="1" s="1"/>
  <c r="G460" i="8"/>
  <c r="L74" i="1" s="1"/>
  <c r="W466" i="8"/>
  <c r="G540" i="8"/>
  <c r="L89" i="1" s="1"/>
  <c r="W546" i="8"/>
  <c r="K654" i="8"/>
  <c r="I50" i="1"/>
  <c r="G652" i="8"/>
  <c r="L50" i="1" s="1"/>
  <c r="W658" i="8"/>
  <c r="G686" i="8"/>
  <c r="N66" i="1" s="1"/>
  <c r="G956" i="8"/>
  <c r="L99" i="1" s="1"/>
  <c r="W962" i="8"/>
  <c r="I188" i="8"/>
  <c r="K431" i="8"/>
  <c r="W610" i="8"/>
  <c r="W770" i="8"/>
  <c r="G764" i="8"/>
  <c r="L83" i="1" s="1"/>
  <c r="W946" i="8"/>
  <c r="G940" i="8"/>
  <c r="L68" i="1" s="1"/>
  <c r="Y1020" i="8"/>
  <c r="N101" i="1"/>
  <c r="W1090" i="8"/>
  <c r="G1084" i="8"/>
  <c r="L20" i="1" s="1"/>
  <c r="W98" i="8"/>
  <c r="W114" i="8"/>
  <c r="Y290" i="8"/>
  <c r="G288" i="8" s="1"/>
  <c r="P42" i="1" s="1"/>
  <c r="G286" i="8"/>
  <c r="N42" i="1" s="1"/>
  <c r="W530" i="8"/>
  <c r="G524" i="8"/>
  <c r="L39" i="1" s="1"/>
  <c r="W562" i="8"/>
  <c r="G556" i="8"/>
  <c r="L87" i="1" s="1"/>
  <c r="K623" i="8"/>
  <c r="O35" i="1"/>
  <c r="Y626" i="8"/>
  <c r="G624" i="8" s="1"/>
  <c r="P35" i="1" s="1"/>
  <c r="G622" i="8"/>
  <c r="N35" i="1" s="1"/>
  <c r="W674" i="8"/>
  <c r="G668" i="8"/>
  <c r="L70" i="1" s="1"/>
  <c r="G716" i="8"/>
  <c r="L103" i="1" s="1"/>
  <c r="W722" i="8"/>
  <c r="G748" i="8"/>
  <c r="L104" i="1" s="1"/>
  <c r="W754" i="8"/>
  <c r="W850" i="8"/>
  <c r="G844" i="8"/>
  <c r="L58" i="1" s="1"/>
  <c r="G1229" i="8"/>
  <c r="L69" i="1" s="1"/>
  <c r="W706" i="8"/>
  <c r="G700" i="8"/>
  <c r="L26" i="1" s="1"/>
  <c r="G1004" i="8"/>
  <c r="L95" i="1" s="1"/>
  <c r="W1219" i="8"/>
  <c r="G1213" i="8"/>
  <c r="L51" i="1" s="1"/>
  <c r="G812" i="8"/>
  <c r="L59" i="1" s="1"/>
  <c r="W818" i="8"/>
  <c r="G910" i="8"/>
  <c r="N23" i="1" s="1"/>
  <c r="G1421" i="8"/>
  <c r="L73" i="1" s="1"/>
  <c r="W1427" i="8"/>
  <c r="W930" i="8"/>
  <c r="G924" i="8"/>
  <c r="L79" i="1" s="1"/>
  <c r="W978" i="8"/>
  <c r="G972" i="8"/>
  <c r="L27" i="1" s="1"/>
  <c r="W994" i="8"/>
  <c r="G988" i="8"/>
  <c r="L24" i="1" s="1"/>
  <c r="W1042" i="8"/>
  <c r="G1036" i="8"/>
  <c r="L60" i="1" s="1"/>
  <c r="W1058" i="8"/>
  <c r="G1052" i="8"/>
  <c r="G1148" i="8"/>
  <c r="L25" i="1" s="1"/>
  <c r="W1154" i="8"/>
  <c r="W738" i="8"/>
  <c r="G732" i="8"/>
  <c r="L98" i="1" s="1"/>
  <c r="W802" i="8"/>
  <c r="G796" i="8"/>
  <c r="L34" i="1" s="1"/>
  <c r="G828" i="8"/>
  <c r="L78" i="1" s="1"/>
  <c r="W834" i="8"/>
  <c r="Y898" i="8"/>
  <c r="G896" i="8" s="1"/>
  <c r="G894" i="8"/>
  <c r="G1180" i="8"/>
  <c r="L62" i="1" s="1"/>
  <c r="W1186" i="8"/>
  <c r="W1202" i="8"/>
  <c r="G1196" i="8"/>
  <c r="L47" i="1" s="1"/>
  <c r="W1267" i="8"/>
  <c r="G1261" i="8"/>
  <c r="L44" i="1" s="1"/>
  <c r="Y1283" i="8"/>
  <c r="W1284" i="8" s="1"/>
  <c r="Y1284" i="8" s="1"/>
  <c r="W1138" i="8"/>
  <c r="G1132" i="8"/>
  <c r="L22" i="1" s="1"/>
  <c r="W1331" i="8"/>
  <c r="G1325" i="8"/>
  <c r="L31" i="1" s="1"/>
  <c r="W1106" i="8"/>
  <c r="G1100" i="8"/>
  <c r="L82" i="1" s="1"/>
  <c r="G1293" i="8"/>
  <c r="L91" i="1" s="1"/>
  <c r="W1299" i="8"/>
  <c r="G1341" i="8"/>
  <c r="L33" i="1" s="1"/>
  <c r="W1347" i="8"/>
  <c r="W1411" i="8"/>
  <c r="G1405" i="8"/>
  <c r="L49" i="1" s="1"/>
  <c r="G1357" i="8"/>
  <c r="L30" i="1" s="1"/>
  <c r="W1363" i="8"/>
  <c r="W1379" i="8"/>
  <c r="W1395" i="8"/>
  <c r="G1389" i="8"/>
  <c r="L52" i="1" s="1"/>
  <c r="G1437" i="8"/>
  <c r="L77" i="1" s="1"/>
  <c r="W1443" i="8"/>
  <c r="W1459" i="8"/>
  <c r="G1453" i="8"/>
  <c r="L105" i="1" s="1"/>
  <c r="W1315" i="8"/>
  <c r="G1309" i="8"/>
  <c r="L106" i="1" s="1"/>
  <c r="U1467" i="8" l="1"/>
  <c r="W1467" i="8" s="1"/>
  <c r="Y1467" i="8" s="1"/>
  <c r="K444" i="8"/>
  <c r="K446" i="8" s="1"/>
  <c r="K1084" i="8"/>
  <c r="K1086" i="8" s="1"/>
  <c r="K17" i="1"/>
  <c r="K224" i="8"/>
  <c r="I98" i="1"/>
  <c r="I49" i="1"/>
  <c r="W1036" i="8"/>
  <c r="Y1036" i="8" s="1"/>
  <c r="W1037" i="8" s="1"/>
  <c r="Y1037" i="8" s="1"/>
  <c r="W1038" i="8" s="1"/>
  <c r="Y1038" i="8" s="1"/>
  <c r="W1039" i="8" s="1"/>
  <c r="Y1039" i="8" s="1"/>
  <c r="W1040" i="8" s="1"/>
  <c r="Y1040" i="8" s="1"/>
  <c r="W1041" i="8" s="1"/>
  <c r="Y1041" i="8" s="1"/>
  <c r="U1036" i="8"/>
  <c r="U316" i="8"/>
  <c r="G316" i="8" s="1"/>
  <c r="L61" i="1" s="1"/>
  <c r="I46" i="1"/>
  <c r="U602" i="8"/>
  <c r="W602" i="8" s="1"/>
  <c r="Y602" i="8" s="1"/>
  <c r="K48" i="8"/>
  <c r="Q14" i="1" s="1"/>
  <c r="I83" i="1"/>
  <c r="W1230" i="8"/>
  <c r="Y1230" i="8" s="1"/>
  <c r="W1231" i="8" s="1"/>
  <c r="Y1231" i="8" s="1"/>
  <c r="W1232" i="8" s="1"/>
  <c r="Y1232" i="8" s="1"/>
  <c r="W1233" i="8" s="1"/>
  <c r="Y1233" i="8" s="1"/>
  <c r="I69" i="1"/>
  <c r="K1389" i="8"/>
  <c r="K1391" i="8" s="1"/>
  <c r="K52" i="1" s="1"/>
  <c r="I52" i="1"/>
  <c r="I51" i="1"/>
  <c r="I17" i="1"/>
  <c r="K140" i="8"/>
  <c r="K142" i="8" s="1"/>
  <c r="K102" i="1" s="1"/>
  <c r="U379" i="8"/>
  <c r="W379" i="8" s="1"/>
  <c r="Y379" i="8" s="1"/>
  <c r="Y380" i="8" s="1"/>
  <c r="W381" i="8" s="1"/>
  <c r="Y381" i="8" s="1"/>
  <c r="W382" i="8" s="1"/>
  <c r="Y382" i="8" s="1"/>
  <c r="U383" i="8" s="1"/>
  <c r="W383" i="8" s="1"/>
  <c r="Y383" i="8" s="1"/>
  <c r="U384" i="8" s="1"/>
  <c r="W384" i="8" s="1"/>
  <c r="Y384" i="8" s="1"/>
  <c r="U385" i="8" s="1"/>
  <c r="W385" i="8" s="1"/>
  <c r="Y385" i="8" s="1"/>
  <c r="U386" i="8" s="1"/>
  <c r="G380" i="8" s="1"/>
  <c r="L48" i="1" s="1"/>
  <c r="O107" i="1"/>
  <c r="K1245" i="8"/>
  <c r="K1247" i="8" s="1"/>
  <c r="K75" i="1" s="1"/>
  <c r="U1372" i="8"/>
  <c r="W1372" i="8" s="1"/>
  <c r="K1040" i="8"/>
  <c r="Q60" i="1" s="1"/>
  <c r="G332" i="8"/>
  <c r="L86" i="1" s="1"/>
  <c r="K1421" i="8"/>
  <c r="K1423" i="8" s="1"/>
  <c r="K556" i="8"/>
  <c r="K558" i="8" s="1"/>
  <c r="K87" i="1" s="1"/>
  <c r="K928" i="8"/>
  <c r="Q79" i="1" s="1"/>
  <c r="K508" i="8"/>
  <c r="K510" i="8" s="1"/>
  <c r="K85" i="1" s="1"/>
  <c r="I106" i="1"/>
  <c r="I58" i="1"/>
  <c r="Q11" i="1"/>
  <c r="I45" i="1"/>
  <c r="U154" i="8"/>
  <c r="W154" i="8" s="1"/>
  <c r="Y154" i="8" s="1"/>
  <c r="U155" i="8" s="1"/>
  <c r="W155" i="8" s="1"/>
  <c r="Y155" i="8" s="1"/>
  <c r="U156" i="8" s="1"/>
  <c r="G156" i="8" s="1"/>
  <c r="L97" i="1" s="1"/>
  <c r="K156" i="8"/>
  <c r="K158" i="8" s="1"/>
  <c r="I76" i="1"/>
  <c r="I88" i="1"/>
  <c r="I96" i="1"/>
  <c r="K1233" i="8"/>
  <c r="Q69" i="1" s="1"/>
  <c r="K396" i="8"/>
  <c r="K398" i="8" s="1"/>
  <c r="K352" i="8"/>
  <c r="Q53" i="1" s="1"/>
  <c r="I68" i="1"/>
  <c r="I90" i="1"/>
  <c r="K1261" i="8"/>
  <c r="K1263" i="8" s="1"/>
  <c r="K44" i="1" s="1"/>
  <c r="K972" i="8"/>
  <c r="K974" i="8" s="1"/>
  <c r="K976" i="8" s="1"/>
  <c r="Q27" i="1" s="1"/>
  <c r="I41" i="1"/>
  <c r="K1469" i="8"/>
  <c r="K1471" i="8" s="1"/>
  <c r="K1473" i="8" s="1"/>
  <c r="Q36" i="1" s="1"/>
  <c r="I95" i="1"/>
  <c r="W666" i="8"/>
  <c r="Y666" i="8" s="1"/>
  <c r="W667" i="8" s="1"/>
  <c r="Y667" i="8" s="1"/>
  <c r="Y665" i="8"/>
  <c r="I70" i="1"/>
  <c r="I42" i="1"/>
  <c r="I91" i="1"/>
  <c r="I48" i="1"/>
  <c r="I89" i="1"/>
  <c r="K892" i="8"/>
  <c r="K894" i="8" s="1"/>
  <c r="I25" i="1"/>
  <c r="K90" i="1"/>
  <c r="K1377" i="8"/>
  <c r="Q90" i="1" s="1"/>
  <c r="I54" i="1"/>
  <c r="I77" i="1"/>
  <c r="I53" i="1"/>
  <c r="K16" i="8"/>
  <c r="Q5" i="1" s="1"/>
  <c r="K734" i="8"/>
  <c r="K98" i="1" s="1"/>
  <c r="I57" i="1"/>
  <c r="I32" i="1"/>
  <c r="K944" i="8"/>
  <c r="Q68" i="1" s="1"/>
  <c r="K620" i="8"/>
  <c r="K622" i="8" s="1"/>
  <c r="K35" i="1" s="1"/>
  <c r="I35" i="1"/>
  <c r="I26" i="1"/>
  <c r="I86" i="1"/>
  <c r="I22" i="1"/>
  <c r="I21" i="1"/>
  <c r="I62" i="1"/>
  <c r="K812" i="8"/>
  <c r="K814" i="8" s="1"/>
  <c r="K816" i="8" s="1"/>
  <c r="Q59" i="1" s="1"/>
  <c r="D59" i="1" s="1"/>
  <c r="K1357" i="8"/>
  <c r="K1359" i="8" s="1"/>
  <c r="K30" i="1" s="1"/>
  <c r="I34" i="1"/>
  <c r="K588" i="8"/>
  <c r="K590" i="8" s="1"/>
  <c r="K592" i="8" s="1"/>
  <c r="Q94" i="1" s="1"/>
  <c r="I78" i="1"/>
  <c r="I33" i="1"/>
  <c r="K1341" i="8"/>
  <c r="K1343" i="8" s="1"/>
  <c r="K33" i="1" s="1"/>
  <c r="I82" i="1"/>
  <c r="K956" i="8"/>
  <c r="K958" i="8" s="1"/>
  <c r="K99" i="1" s="1"/>
  <c r="I61" i="1"/>
  <c r="K272" i="8"/>
  <c r="Q41" i="1" s="1"/>
  <c r="W1251" i="8"/>
  <c r="G1247" i="8" s="1"/>
  <c r="N75" i="1" s="1"/>
  <c r="K31" i="1"/>
  <c r="K1329" i="8"/>
  <c r="Q31" i="1" s="1"/>
  <c r="G1072" i="8"/>
  <c r="W1075" i="8"/>
  <c r="Y1075" i="8" s="1"/>
  <c r="I23" i="1"/>
  <c r="I104" i="1"/>
  <c r="K880" i="8"/>
  <c r="Q32" i="1" s="1"/>
  <c r="G688" i="8"/>
  <c r="P66" i="1" s="1"/>
  <c r="W691" i="8"/>
  <c r="Y691" i="8" s="1"/>
  <c r="G304" i="8"/>
  <c r="P43" i="1" s="1"/>
  <c r="W307" i="8"/>
  <c r="Y307" i="8" s="1"/>
  <c r="I39" i="1"/>
  <c r="I60" i="1"/>
  <c r="I105" i="1"/>
  <c r="K1453" i="8"/>
  <c r="K1455" i="8" s="1"/>
  <c r="I47" i="1"/>
  <c r="I31" i="1"/>
  <c r="K432" i="8"/>
  <c r="Q54" i="1" s="1"/>
  <c r="K1200" i="8"/>
  <c r="Q47" i="1" s="1"/>
  <c r="K39" i="1"/>
  <c r="K912" i="8"/>
  <c r="Q23" i="1" s="1"/>
  <c r="Q104" i="1"/>
  <c r="K68" i="1"/>
  <c r="K636" i="8"/>
  <c r="K638" i="8" s="1"/>
  <c r="K640" i="8" s="1"/>
  <c r="Q67" i="1" s="1"/>
  <c r="K688" i="8"/>
  <c r="Q66" i="1" s="1"/>
  <c r="K848" i="8"/>
  <c r="Q58" i="1" s="1"/>
  <c r="I36" i="1"/>
  <c r="K77" i="1"/>
  <c r="K1441" i="8"/>
  <c r="Q77" i="1" s="1"/>
  <c r="K800" i="8"/>
  <c r="Q34" i="1" s="1"/>
  <c r="G1279" i="8"/>
  <c r="N76" i="1" s="1"/>
  <c r="G1281" i="8"/>
  <c r="P76" i="1" s="1"/>
  <c r="G302" i="8"/>
  <c r="N43" i="1" s="1"/>
  <c r="K1217" i="8"/>
  <c r="Q51" i="1" s="1"/>
  <c r="K832" i="8"/>
  <c r="K1184" i="8"/>
  <c r="Q62" i="1" s="1"/>
  <c r="D62" i="1" s="1"/>
  <c r="K704" i="8"/>
  <c r="Q26" i="1" s="1"/>
  <c r="K720" i="8"/>
  <c r="Q103" i="1" s="1"/>
  <c r="K103" i="1"/>
  <c r="G512" i="8"/>
  <c r="P85" i="1" s="1"/>
  <c r="I103" i="1"/>
  <c r="Y883" i="8"/>
  <c r="G880" i="8" s="1"/>
  <c r="P32" i="1" s="1"/>
  <c r="G878" i="8"/>
  <c r="N32" i="1" s="1"/>
  <c r="K53" i="1"/>
  <c r="K69" i="1"/>
  <c r="Y1251" i="8"/>
  <c r="I74" i="1"/>
  <c r="K41" i="1"/>
  <c r="I13" i="1"/>
  <c r="K204" i="8"/>
  <c r="K206" i="8" s="1"/>
  <c r="K208" i="8" s="1"/>
  <c r="Q13" i="1" s="1"/>
  <c r="K1136" i="8"/>
  <c r="Q22" i="1" s="1"/>
  <c r="K544" i="8"/>
  <c r="Q89" i="1" s="1"/>
  <c r="K89" i="1"/>
  <c r="K320" i="8"/>
  <c r="Q61" i="1" s="1"/>
  <c r="K288" i="8"/>
  <c r="Q42" i="1" s="1"/>
  <c r="I97" i="1"/>
  <c r="K24" i="1"/>
  <c r="K1104" i="8"/>
  <c r="Q82" i="1" s="1"/>
  <c r="K83" i="1"/>
  <c r="K768" i="8"/>
  <c r="Q83" i="1" s="1"/>
  <c r="D83" i="1" s="1"/>
  <c r="K1297" i="8"/>
  <c r="Q91" i="1" s="1"/>
  <c r="K672" i="8"/>
  <c r="Q70" i="1" s="1"/>
  <c r="K70" i="1"/>
  <c r="D7" i="1"/>
  <c r="W642" i="8"/>
  <c r="W434" i="8"/>
  <c r="G414" i="8"/>
  <c r="N88" i="1" s="1"/>
  <c r="G382" i="8"/>
  <c r="N48" i="1" s="1"/>
  <c r="K1024" i="8"/>
  <c r="Q101" i="1" s="1"/>
  <c r="K101" i="1"/>
  <c r="K864" i="8"/>
  <c r="Q57" i="1" s="1"/>
  <c r="K57" i="1"/>
  <c r="K464" i="8"/>
  <c r="Q74" i="1" s="1"/>
  <c r="K74" i="1"/>
  <c r="K384" i="8"/>
  <c r="Q48" i="1" s="1"/>
  <c r="K48" i="1"/>
  <c r="K1152" i="8"/>
  <c r="Q25" i="1" s="1"/>
  <c r="K25" i="1"/>
  <c r="K60" i="1"/>
  <c r="K1313" i="8"/>
  <c r="Q106" i="1" s="1"/>
  <c r="K106" i="1"/>
  <c r="K1281" i="8"/>
  <c r="Q76" i="1" s="1"/>
  <c r="K76" i="1"/>
  <c r="K95" i="1"/>
  <c r="K1008" i="8"/>
  <c r="Q95" i="1" s="1"/>
  <c r="K45" i="1"/>
  <c r="K608" i="8"/>
  <c r="Q45" i="1" s="1"/>
  <c r="K86" i="1"/>
  <c r="K336" i="8"/>
  <c r="Q86" i="1" s="1"/>
  <c r="K496" i="8"/>
  <c r="Q21" i="1" s="1"/>
  <c r="K21" i="1"/>
  <c r="K1409" i="8"/>
  <c r="Q49" i="1" s="1"/>
  <c r="K49" i="1"/>
  <c r="Y1475" i="8"/>
  <c r="G1473" i="8" s="1"/>
  <c r="P36" i="1" s="1"/>
  <c r="G1471" i="8"/>
  <c r="N36" i="1" s="1"/>
  <c r="K480" i="8"/>
  <c r="Q46" i="1" s="1"/>
  <c r="K46" i="1"/>
  <c r="Y338" i="8"/>
  <c r="G334" i="8"/>
  <c r="N86" i="1" s="1"/>
  <c r="G446" i="8"/>
  <c r="N63" i="1" s="1"/>
  <c r="Y450" i="8"/>
  <c r="G448" i="8" s="1"/>
  <c r="P63" i="1" s="1"/>
  <c r="Y130" i="8"/>
  <c r="Y1459" i="8"/>
  <c r="G1457" i="8" s="1"/>
  <c r="P105" i="1" s="1"/>
  <c r="G1455" i="8"/>
  <c r="N105" i="1" s="1"/>
  <c r="Y1395" i="8"/>
  <c r="G1393" i="8" s="1"/>
  <c r="P52" i="1" s="1"/>
  <c r="G1391" i="8"/>
  <c r="N52" i="1" s="1"/>
  <c r="Y1299" i="8"/>
  <c r="G1295" i="8"/>
  <c r="N91" i="1" s="1"/>
  <c r="Y1331" i="8"/>
  <c r="G1329" i="8" s="1"/>
  <c r="P31" i="1" s="1"/>
  <c r="G1327" i="8"/>
  <c r="N31" i="1" s="1"/>
  <c r="Y1202" i="8"/>
  <c r="G1198" i="8"/>
  <c r="N47" i="1" s="1"/>
  <c r="Y1154" i="8"/>
  <c r="G1152" i="8" s="1"/>
  <c r="P25" i="1" s="1"/>
  <c r="G1150" i="8"/>
  <c r="N25" i="1" s="1"/>
  <c r="G702" i="8"/>
  <c r="N26" i="1" s="1"/>
  <c r="Y706" i="8"/>
  <c r="G718" i="8"/>
  <c r="N103" i="1" s="1"/>
  <c r="Y722" i="8"/>
  <c r="G720" i="8" s="1"/>
  <c r="P103" i="1" s="1"/>
  <c r="G526" i="8"/>
  <c r="N39" i="1" s="1"/>
  <c r="Y530" i="8"/>
  <c r="Y114" i="8"/>
  <c r="G1086" i="8"/>
  <c r="N20" i="1" s="1"/>
  <c r="Y1090" i="8"/>
  <c r="G1088" i="8" s="1"/>
  <c r="P20" i="1" s="1"/>
  <c r="G942" i="8"/>
  <c r="N68" i="1" s="1"/>
  <c r="Y946" i="8"/>
  <c r="G944" i="8" s="1"/>
  <c r="P68" i="1" s="1"/>
  <c r="G142" i="8"/>
  <c r="N102" i="1" s="1"/>
  <c r="Y146" i="8"/>
  <c r="G144" i="8" s="1"/>
  <c r="P102" i="1" s="1"/>
  <c r="K656" i="8"/>
  <c r="Q50" i="1" s="1"/>
  <c r="K50" i="1"/>
  <c r="Y210" i="8"/>
  <c r="G206" i="8"/>
  <c r="N13" i="1" s="1"/>
  <c r="G574" i="8"/>
  <c r="N96" i="1" s="1"/>
  <c r="Y578" i="8"/>
  <c r="G494" i="8"/>
  <c r="N21" i="1" s="1"/>
  <c r="Y498" i="8"/>
  <c r="G496" i="8" s="1"/>
  <c r="P21" i="1" s="1"/>
  <c r="Y322" i="8"/>
  <c r="G238" i="8"/>
  <c r="N40" i="1" s="1"/>
  <c r="Y242" i="8"/>
  <c r="G782" i="8"/>
  <c r="Y786" i="8"/>
  <c r="G784" i="8" s="1"/>
  <c r="Y50" i="8"/>
  <c r="G366" i="8"/>
  <c r="Y370" i="8"/>
  <c r="G368" i="8" s="1"/>
  <c r="Y194" i="8"/>
  <c r="G190" i="8"/>
  <c r="N84" i="1" s="1"/>
  <c r="Y34" i="8"/>
  <c r="G1311" i="8"/>
  <c r="N106" i="1" s="1"/>
  <c r="Y1315" i="8"/>
  <c r="G1313" i="8" s="1"/>
  <c r="P106" i="1" s="1"/>
  <c r="Y1443" i="8"/>
  <c r="G1441" i="8" s="1"/>
  <c r="P77" i="1" s="1"/>
  <c r="G1439" i="8"/>
  <c r="N77" i="1" s="1"/>
  <c r="Y1379" i="8"/>
  <c r="Y1106" i="8"/>
  <c r="G1102" i="8"/>
  <c r="N82" i="1" s="1"/>
  <c r="Y1186" i="8"/>
  <c r="G1184" i="8" s="1"/>
  <c r="P62" i="1" s="1"/>
  <c r="G1182" i="8"/>
  <c r="N62" i="1" s="1"/>
  <c r="G798" i="8"/>
  <c r="N34" i="1" s="1"/>
  <c r="Y802" i="8"/>
  <c r="G800" i="8" s="1"/>
  <c r="P34" i="1" s="1"/>
  <c r="G1038" i="8"/>
  <c r="N60" i="1" s="1"/>
  <c r="Y1042" i="8"/>
  <c r="Y978" i="8"/>
  <c r="G976" i="8" s="1"/>
  <c r="P27" i="1" s="1"/>
  <c r="G974" i="8"/>
  <c r="N27" i="1" s="1"/>
  <c r="Y1427" i="8"/>
  <c r="G1425" i="8" s="1"/>
  <c r="P73" i="1" s="1"/>
  <c r="G1423" i="8"/>
  <c r="N73" i="1" s="1"/>
  <c r="G1215" i="8"/>
  <c r="N51" i="1" s="1"/>
  <c r="Y1219" i="8"/>
  <c r="G1217" i="8" s="1"/>
  <c r="P51" i="1" s="1"/>
  <c r="Y850" i="8"/>
  <c r="G846" i="8"/>
  <c r="N58" i="1" s="1"/>
  <c r="Y610" i="8"/>
  <c r="Y962" i="8"/>
  <c r="G958" i="8"/>
  <c r="N99" i="1" s="1"/>
  <c r="Y658" i="8"/>
  <c r="G656" i="8" s="1"/>
  <c r="P50" i="1" s="1"/>
  <c r="G654" i="8"/>
  <c r="N50" i="1" s="1"/>
  <c r="Y546" i="8"/>
  <c r="G542" i="8"/>
  <c r="N89" i="1" s="1"/>
  <c r="G1118" i="8"/>
  <c r="Y1122" i="8"/>
  <c r="G1120" i="8" s="1"/>
  <c r="Y1411" i="8"/>
  <c r="G1409" i="8" s="1"/>
  <c r="P49" i="1" s="1"/>
  <c r="G1407" i="8"/>
  <c r="N49" i="1" s="1"/>
  <c r="G1134" i="8"/>
  <c r="N22" i="1" s="1"/>
  <c r="Y1138" i="8"/>
  <c r="G1136" i="8" s="1"/>
  <c r="P22" i="1" s="1"/>
  <c r="Y1267" i="8"/>
  <c r="G1265" i="8" s="1"/>
  <c r="P44" i="1" s="1"/>
  <c r="G1263" i="8"/>
  <c r="N44" i="1" s="1"/>
  <c r="Y834" i="8"/>
  <c r="G830" i="8"/>
  <c r="N78" i="1" s="1"/>
  <c r="G814" i="8"/>
  <c r="N59" i="1" s="1"/>
  <c r="Y818" i="8"/>
  <c r="Y754" i="8"/>
  <c r="G752" i="8" s="1"/>
  <c r="P104" i="1" s="1"/>
  <c r="G750" i="8"/>
  <c r="N104" i="1" s="1"/>
  <c r="Y562" i="8"/>
  <c r="G558" i="8"/>
  <c r="N87" i="1" s="1"/>
  <c r="K416" i="8"/>
  <c r="Q88" i="1" s="1"/>
  <c r="K88" i="1"/>
  <c r="K236" i="8"/>
  <c r="K238" i="8" s="1"/>
  <c r="I40" i="1"/>
  <c r="Y98" i="8"/>
  <c r="U1021" i="8"/>
  <c r="P101" i="1"/>
  <c r="G766" i="8"/>
  <c r="N83" i="1" s="1"/>
  <c r="Y770" i="8"/>
  <c r="Y402" i="8"/>
  <c r="G400" i="8" s="1"/>
  <c r="P15" i="1" s="1"/>
  <c r="G398" i="8"/>
  <c r="N15" i="1" s="1"/>
  <c r="K300" i="8"/>
  <c r="K302" i="8" s="1"/>
  <c r="I43" i="1"/>
  <c r="Y162" i="8"/>
  <c r="Y354" i="8"/>
  <c r="G352" i="8" s="1"/>
  <c r="P53" i="1" s="1"/>
  <c r="G350" i="8"/>
  <c r="N53" i="1" s="1"/>
  <c r="Q17" i="1"/>
  <c r="Y482" i="8"/>
  <c r="G478" i="8"/>
  <c r="N46" i="1" s="1"/>
  <c r="K448" i="8"/>
  <c r="Q63" i="1" s="1"/>
  <c r="K63" i="1"/>
  <c r="Y226" i="8"/>
  <c r="G222" i="8"/>
  <c r="N17" i="1" s="1"/>
  <c r="Y1363" i="8"/>
  <c r="G1359" i="8"/>
  <c r="N30" i="1" s="1"/>
  <c r="Y1347" i="8"/>
  <c r="G1345" i="8" s="1"/>
  <c r="P33" i="1" s="1"/>
  <c r="G1343" i="8"/>
  <c r="N33" i="1" s="1"/>
  <c r="G734" i="8"/>
  <c r="N98" i="1" s="1"/>
  <c r="Y738" i="8"/>
  <c r="G736" i="8" s="1"/>
  <c r="P98" i="1" s="1"/>
  <c r="Y1058" i="8"/>
  <c r="G1056" i="8" s="1"/>
  <c r="G1054" i="8"/>
  <c r="Y994" i="8"/>
  <c r="G990" i="8"/>
  <c r="N24" i="1" s="1"/>
  <c r="Y930" i="8"/>
  <c r="G928" i="8" s="1"/>
  <c r="P79" i="1" s="1"/>
  <c r="G926" i="8"/>
  <c r="N79" i="1" s="1"/>
  <c r="Y1235" i="8"/>
  <c r="G1231" i="8"/>
  <c r="N69" i="1" s="1"/>
  <c r="Y674" i="8"/>
  <c r="K188" i="8"/>
  <c r="K190" i="8" s="1"/>
  <c r="I84" i="1"/>
  <c r="Y466" i="8"/>
  <c r="G462" i="8"/>
  <c r="N74" i="1" s="1"/>
  <c r="Y594" i="8"/>
  <c r="G590" i="8"/>
  <c r="N94" i="1" s="1"/>
  <c r="G862" i="8"/>
  <c r="N57" i="1" s="1"/>
  <c r="Y866" i="8"/>
  <c r="K576" i="8"/>
  <c r="Q96" i="1" s="1"/>
  <c r="K96" i="1"/>
  <c r="Y18" i="8"/>
  <c r="Y258" i="8"/>
  <c r="G256" i="8" s="1"/>
  <c r="G254" i="8"/>
  <c r="G174" i="8"/>
  <c r="Y178" i="8"/>
  <c r="G176" i="8" s="1"/>
  <c r="Y82" i="8"/>
  <c r="Y274" i="8"/>
  <c r="K73" i="1" l="1"/>
  <c r="K1425" i="8"/>
  <c r="Q73" i="1" s="1"/>
  <c r="I20" i="1"/>
  <c r="U1468" i="8"/>
  <c r="W1468" i="8" s="1"/>
  <c r="Y1468" i="8" s="1"/>
  <c r="Q71" i="1"/>
  <c r="K20" i="1"/>
  <c r="K1088" i="8"/>
  <c r="Q20" i="1" s="1"/>
  <c r="Q28" i="1" s="1"/>
  <c r="W1021" i="8"/>
  <c r="G1020" i="8"/>
  <c r="W316" i="8"/>
  <c r="U603" i="8"/>
  <c r="W603" i="8" s="1"/>
  <c r="Y603" i="8" s="1"/>
  <c r="R54" i="1"/>
  <c r="K144" i="8"/>
  <c r="Q102" i="1" s="1"/>
  <c r="K15" i="1"/>
  <c r="K400" i="8"/>
  <c r="Q15" i="1" s="1"/>
  <c r="Q18" i="1" s="1"/>
  <c r="W386" i="8"/>
  <c r="Y386" i="8" s="1"/>
  <c r="U387" i="8" s="1"/>
  <c r="W387" i="8" s="1"/>
  <c r="Y387" i="8" s="1"/>
  <c r="K1393" i="8"/>
  <c r="Q52" i="1" s="1"/>
  <c r="K1249" i="8"/>
  <c r="Q75" i="1" s="1"/>
  <c r="Y1372" i="8"/>
  <c r="K512" i="8"/>
  <c r="Q85" i="1" s="1"/>
  <c r="D85" i="1" s="1"/>
  <c r="K560" i="8"/>
  <c r="Q87" i="1" s="1"/>
  <c r="K896" i="8"/>
  <c r="Q64" i="1"/>
  <c r="K97" i="1"/>
  <c r="K160" i="8"/>
  <c r="Q97" i="1" s="1"/>
  <c r="G158" i="8"/>
  <c r="N97" i="1" s="1"/>
  <c r="K1265" i="8"/>
  <c r="Q44" i="1" s="1"/>
  <c r="M114" i="1"/>
  <c r="N114" i="1" s="1"/>
  <c r="K27" i="1"/>
  <c r="K36" i="1"/>
  <c r="W668" i="8"/>
  <c r="Y668" i="8" s="1"/>
  <c r="M113" i="1"/>
  <c r="N113" i="1" s="1"/>
  <c r="E7" i="9"/>
  <c r="K624" i="8"/>
  <c r="Q35" i="1" s="1"/>
  <c r="K736" i="8"/>
  <c r="Q98" i="1" s="1"/>
  <c r="K94" i="1"/>
  <c r="K13" i="1"/>
  <c r="K59" i="1"/>
  <c r="K1361" i="8"/>
  <c r="Q30" i="1" s="1"/>
  <c r="K1345" i="8"/>
  <c r="Q33" i="1" s="1"/>
  <c r="K960" i="8"/>
  <c r="Q99" i="1" s="1"/>
  <c r="G1233" i="8"/>
  <c r="P69" i="1" s="1"/>
  <c r="U1236" i="8"/>
  <c r="W1236" i="8" s="1"/>
  <c r="Y1236" i="8" s="1"/>
  <c r="G160" i="8"/>
  <c r="P97" i="1" s="1"/>
  <c r="U163" i="8"/>
  <c r="W163" i="8" s="1"/>
  <c r="Y163" i="8" s="1"/>
  <c r="G864" i="8"/>
  <c r="P57" i="1" s="1"/>
  <c r="W867" i="8"/>
  <c r="Y867" i="8" s="1"/>
  <c r="G816" i="8"/>
  <c r="P59" i="1" s="1"/>
  <c r="W819" i="8"/>
  <c r="Y819" i="8" s="1"/>
  <c r="G1040" i="8"/>
  <c r="P60" i="1" s="1"/>
  <c r="W1043" i="8"/>
  <c r="Y1043" i="8" s="1"/>
  <c r="G192" i="8"/>
  <c r="P84" i="1" s="1"/>
  <c r="W195" i="8"/>
  <c r="Y195" i="8" s="1"/>
  <c r="G576" i="8"/>
  <c r="P96" i="1" s="1"/>
  <c r="W579" i="8"/>
  <c r="Y579" i="8" s="1"/>
  <c r="G464" i="8"/>
  <c r="P74" i="1" s="1"/>
  <c r="W467" i="8"/>
  <c r="Y467" i="8" s="1"/>
  <c r="G224" i="8"/>
  <c r="P17" i="1" s="1"/>
  <c r="W227" i="8"/>
  <c r="Y227" i="8" s="1"/>
  <c r="G480" i="8"/>
  <c r="P46" i="1" s="1"/>
  <c r="U483" i="8"/>
  <c r="W483" i="8" s="1"/>
  <c r="Y483" i="8" s="1"/>
  <c r="G560" i="8"/>
  <c r="P87" i="1" s="1"/>
  <c r="W563" i="8"/>
  <c r="Y563" i="8" s="1"/>
  <c r="G544" i="8"/>
  <c r="P89" i="1" s="1"/>
  <c r="W547" i="8"/>
  <c r="Y547" i="8" s="1"/>
  <c r="G960" i="8"/>
  <c r="P99" i="1" s="1"/>
  <c r="W963" i="8"/>
  <c r="Y963" i="8" s="1"/>
  <c r="G848" i="8"/>
  <c r="P58" i="1" s="1"/>
  <c r="W851" i="8"/>
  <c r="Y851" i="8" s="1"/>
  <c r="W323" i="8"/>
  <c r="Y323" i="8" s="1"/>
  <c r="G528" i="8"/>
  <c r="P39" i="1" s="1"/>
  <c r="W531" i="8"/>
  <c r="Y531" i="8" s="1"/>
  <c r="G704" i="8"/>
  <c r="P26" i="1" s="1"/>
  <c r="W707" i="8"/>
  <c r="Y707" i="8" s="1"/>
  <c r="G240" i="8"/>
  <c r="P40" i="1" s="1"/>
  <c r="W243" i="8"/>
  <c r="Y243" i="8" s="1"/>
  <c r="G1200" i="8"/>
  <c r="P47" i="1" s="1"/>
  <c r="W1203" i="8"/>
  <c r="Y1203" i="8" s="1"/>
  <c r="G1297" i="8"/>
  <c r="P91" i="1" s="1"/>
  <c r="W1300" i="8"/>
  <c r="Y1300" i="8" s="1"/>
  <c r="G384" i="8"/>
  <c r="P48" i="1" s="1"/>
  <c r="K1457" i="8"/>
  <c r="Q105" i="1" s="1"/>
  <c r="K105" i="1"/>
  <c r="G592" i="8"/>
  <c r="P94" i="1" s="1"/>
  <c r="W595" i="8"/>
  <c r="Y595" i="8" s="1"/>
  <c r="G992" i="8"/>
  <c r="P24" i="1" s="1"/>
  <c r="W995" i="8"/>
  <c r="Y995" i="8" s="1"/>
  <c r="G1361" i="8"/>
  <c r="P30" i="1" s="1"/>
  <c r="U1364" i="8"/>
  <c r="W1364" i="8" s="1"/>
  <c r="Y1364" i="8" s="1"/>
  <c r="G768" i="8"/>
  <c r="P83" i="1" s="1"/>
  <c r="W771" i="8"/>
  <c r="Y771" i="8" s="1"/>
  <c r="G832" i="8"/>
  <c r="P78" i="1" s="1"/>
  <c r="U835" i="8"/>
  <c r="W835" i="8" s="1"/>
  <c r="Y835" i="8" s="1"/>
  <c r="W611" i="8"/>
  <c r="Y611" i="8" s="1"/>
  <c r="G1104" i="8"/>
  <c r="P82" i="1" s="1"/>
  <c r="W1107" i="8"/>
  <c r="Y1107" i="8" s="1"/>
  <c r="G208" i="8"/>
  <c r="P13" i="1" s="1"/>
  <c r="W211" i="8"/>
  <c r="Y211" i="8" s="1"/>
  <c r="G336" i="8"/>
  <c r="P86" i="1" s="1"/>
  <c r="W339" i="8"/>
  <c r="Y339" i="8" s="1"/>
  <c r="G1249" i="8"/>
  <c r="P75" i="1" s="1"/>
  <c r="W1252" i="8"/>
  <c r="Y1252" i="8" s="1"/>
  <c r="Q78" i="1"/>
  <c r="E8" i="9"/>
  <c r="K40" i="1"/>
  <c r="K240" i="8"/>
  <c r="Q40" i="1" s="1"/>
  <c r="K67" i="1"/>
  <c r="U51" i="8"/>
  <c r="U83" i="8"/>
  <c r="U19" i="8"/>
  <c r="U99" i="8"/>
  <c r="U35" i="8"/>
  <c r="U115" i="8"/>
  <c r="U131" i="8"/>
  <c r="Y642" i="8"/>
  <c r="G638" i="8"/>
  <c r="N67" i="1" s="1"/>
  <c r="G430" i="8"/>
  <c r="N54" i="1" s="1"/>
  <c r="Y434" i="8"/>
  <c r="K304" i="8"/>
  <c r="Q43" i="1" s="1"/>
  <c r="K43" i="1"/>
  <c r="K192" i="8"/>
  <c r="Q84" i="1" s="1"/>
  <c r="K84" i="1"/>
  <c r="Q100" i="1" l="1"/>
  <c r="Q55" i="1"/>
  <c r="Y1021" i="8"/>
  <c r="G1024" i="8" s="1"/>
  <c r="G1022" i="8"/>
  <c r="Y316" i="8"/>
  <c r="G318" i="8"/>
  <c r="N61" i="1" s="1"/>
  <c r="U604" i="8"/>
  <c r="G604" i="8" s="1"/>
  <c r="L45" i="1" s="1"/>
  <c r="Q92" i="1"/>
  <c r="Q80" i="1"/>
  <c r="U1373" i="8"/>
  <c r="Q37" i="1"/>
  <c r="M119" i="1"/>
  <c r="N119" i="1" s="1"/>
  <c r="D103" i="1"/>
  <c r="W669" i="8"/>
  <c r="Y669" i="8" s="1"/>
  <c r="G672" i="8" s="1"/>
  <c r="P70" i="1" s="1"/>
  <c r="M120" i="1"/>
  <c r="N120" i="1" s="1"/>
  <c r="G640" i="8"/>
  <c r="P67" i="1" s="1"/>
  <c r="W643" i="8"/>
  <c r="Y643" i="8" s="1"/>
  <c r="G432" i="8"/>
  <c r="P54" i="1" s="1"/>
  <c r="W435" i="8"/>
  <c r="Y435" i="8" s="1"/>
  <c r="E13" i="9"/>
  <c r="P149" i="1"/>
  <c r="E15" i="9"/>
  <c r="W275" i="8"/>
  <c r="G268" i="8"/>
  <c r="L41" i="1" s="1"/>
  <c r="W35" i="8"/>
  <c r="G28" i="8"/>
  <c r="W19" i="8"/>
  <c r="G12" i="8"/>
  <c r="W51" i="8"/>
  <c r="G44" i="8"/>
  <c r="W115" i="8"/>
  <c r="G108" i="8"/>
  <c r="W99" i="8"/>
  <c r="G92" i="8"/>
  <c r="W83" i="8"/>
  <c r="G76" i="8"/>
  <c r="W131" i="8"/>
  <c r="G124" i="8"/>
  <c r="L8" i="1" s="1"/>
  <c r="R1" i="8"/>
  <c r="M115" i="1"/>
  <c r="N115" i="1" s="1"/>
  <c r="Q107" i="1" l="1"/>
  <c r="G670" i="8"/>
  <c r="N70" i="1" s="1"/>
  <c r="W317" i="8"/>
  <c r="Y317" i="8" s="1"/>
  <c r="W318" i="8" s="1"/>
  <c r="Y318" i="8" s="1"/>
  <c r="W319" i="8" s="1"/>
  <c r="Y319" i="8" s="1"/>
  <c r="W320" i="8" s="1"/>
  <c r="Y320" i="8" s="1"/>
  <c r="W321" i="8" s="1"/>
  <c r="Y321" i="8" s="1"/>
  <c r="G320" i="8"/>
  <c r="P61" i="1" s="1"/>
  <c r="W604" i="8"/>
  <c r="W1373" i="8"/>
  <c r="M118" i="1"/>
  <c r="N118" i="1" s="1"/>
  <c r="M117" i="1"/>
  <c r="D23" i="1"/>
  <c r="E17" i="9"/>
  <c r="E14" i="9"/>
  <c r="M122" i="1"/>
  <c r="E11" i="9"/>
  <c r="E9" i="9"/>
  <c r="R137" i="1"/>
  <c r="R140" i="1" s="1"/>
  <c r="R142" i="1" s="1"/>
  <c r="E12" i="9"/>
  <c r="Y275" i="8"/>
  <c r="G272" i="8" s="1"/>
  <c r="P41" i="1" s="1"/>
  <c r="G270" i="8"/>
  <c r="N41" i="1" s="1"/>
  <c r="Y131" i="8"/>
  <c r="G128" i="8" s="1"/>
  <c r="P8" i="1" s="1"/>
  <c r="G126" i="8"/>
  <c r="N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D40" i="1"/>
  <c r="N117" i="1" l="1"/>
  <c r="Y604" i="8"/>
  <c r="Y1373" i="8"/>
  <c r="N122" i="1"/>
  <c r="D58" i="1"/>
  <c r="M121" i="1"/>
  <c r="E16" i="9"/>
  <c r="W605" i="8" l="1"/>
  <c r="U1374" i="8"/>
  <c r="N121" i="1"/>
  <c r="Y605" i="8" l="1"/>
  <c r="G606" i="8"/>
  <c r="N45" i="1" s="1"/>
  <c r="W1374" i="8"/>
  <c r="G1373" i="8"/>
  <c r="L90" i="1" s="1"/>
  <c r="L107" i="1" s="1"/>
  <c r="W606" i="8" l="1"/>
  <c r="Y606" i="8" s="1"/>
  <c r="W607" i="8" s="1"/>
  <c r="Y607" i="8" s="1"/>
  <c r="W608" i="8" s="1"/>
  <c r="Y608" i="8" s="1"/>
  <c r="W609" i="8" s="1"/>
  <c r="Y609" i="8" s="1"/>
  <c r="G608" i="8"/>
  <c r="P45" i="1" s="1"/>
  <c r="Y1374" i="8"/>
  <c r="G1375" i="8"/>
  <c r="N90" i="1" s="1"/>
  <c r="N107" i="1" s="1"/>
  <c r="U1375" i="8" l="1"/>
  <c r="W1375" i="8" s="1"/>
  <c r="Y1375" i="8" s="1"/>
  <c r="W1376" i="8" s="1"/>
  <c r="Y1376" i="8" s="1"/>
  <c r="W1377" i="8" s="1"/>
  <c r="Y1377" i="8" s="1"/>
  <c r="W1378" i="8" s="1"/>
  <c r="Y1378" i="8" s="1"/>
  <c r="G1377" i="8"/>
  <c r="P90" i="1" s="1"/>
  <c r="P107" i="1" s="1"/>
  <c r="Q109" i="1" l="1"/>
  <c r="D74" i="1"/>
  <c r="D35" i="1"/>
  <c r="M116" i="1"/>
  <c r="D14" i="1"/>
  <c r="E10" i="9"/>
  <c r="E18" i="9"/>
  <c r="F18" i="9" s="1"/>
  <c r="R114" i="1" l="1"/>
  <c r="N116" i="1"/>
  <c r="N124" i="1" s="1"/>
  <c r="M124" i="1"/>
  <c r="D107" i="1"/>
</calcChain>
</file>

<file path=xl/comments1.xml><?xml version="1.0" encoding="utf-8"?>
<comments xmlns="http://schemas.openxmlformats.org/spreadsheetml/2006/main">
  <authors>
    <author>cc</author>
  </authors>
  <commentList>
    <comment ref="V13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V15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15000 from nadeem
14/4 2000 imran</t>
        </r>
      </text>
    </comment>
    <comment ref="W15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6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 /5 1000 imran
2/5  5000 nadeem</t>
        </r>
      </text>
    </comment>
    <comment ref="U27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misyakenly deduct</t>
        </r>
      </text>
    </comment>
    <comment ref="V31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
huza  1000
</t>
        </r>
      </text>
    </comment>
    <comment ref="V31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20/4 5000 imran</t>
        </r>
      </text>
    </comment>
    <comment ref="V33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from saim bros</t>
        </r>
      </text>
    </comment>
    <comment ref="X35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V378" authorId="0" shapeId="0">
      <text>
        <r>
          <rPr>
            <sz val="9"/>
            <color indexed="81"/>
            <rFont val="Tahoma"/>
            <family val="2"/>
          </rPr>
          <t xml:space="preserve">
office   5000
raheel  1000
</t>
        </r>
      </text>
    </comment>
    <comment ref="V37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14/4 5000 imran
1 /5  2000 imran</t>
        </r>
      </text>
    </comment>
    <comment ref="V38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  5000
imran  5000  22/5</t>
        </r>
      </text>
    </comment>
    <comment ref="U42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42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3000 imran
20/4 2500 imran
1 / 5  2500 imran</t>
        </r>
      </text>
    </comment>
    <comment ref="V42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22 / 5  4500 imran</t>
        </r>
      </text>
    </comment>
    <comment ref="V50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</t>
        </r>
      </text>
    </comment>
    <comment ref="X559" authorId="0" shapeId="0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60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  3000
imran  2000  22/5</t>
        </r>
      </text>
    </comment>
    <comment ref="V73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5000 imran</t>
        </r>
      </text>
    </comment>
    <comment ref="V82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azeem</t>
        </r>
      </text>
    </comment>
    <comment ref="V95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 3000</t>
        </r>
      </text>
    </comment>
    <comment ref="V98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nadeem bhai</t>
        </r>
      </text>
    </comment>
    <comment ref="V98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imran 22/5</t>
        </r>
      </text>
    </comment>
    <comment ref="V1194" authorId="0" shapeId="0">
      <text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imran 1000
huza  5500   15/3
huza  1000   15/3
imran 1500   23/3
imran  1000  02/4
huzaifa 500  8/4</t>
        </r>
      </text>
    </comment>
    <comment ref="V119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14/4 5000 imran
20/4 2000 imran
1 /5  2000 imran</t>
        </r>
      </text>
    </comment>
    <comment ref="V119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  3000
imran  7500  22/5</t>
        </r>
      </text>
    </comment>
    <comment ref="V121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20/4 3000 imran
1 /5  2000 imran</t>
        </r>
      </text>
    </comment>
    <comment ref="V121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 5000
imran 2000 22/5</t>
        </r>
      </text>
    </comment>
    <comment ref="V127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from nadeem bhai</t>
        </r>
      </text>
    </comment>
    <comment ref="V1387" authorId="0" shapeId="0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138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  <comment ref="V138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 22/5</t>
        </r>
      </text>
    </comment>
  </commentList>
</comments>
</file>

<file path=xl/sharedStrings.xml><?xml version="1.0" encoding="utf-8"?>
<sst xmlns="http://schemas.openxmlformats.org/spreadsheetml/2006/main" count="5520" uniqueCount="197">
  <si>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</si>
  <si>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</si>
  <si>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</si>
  <si>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</si>
  <si>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</si>
  <si>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</si>
  <si>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</si>
  <si>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</si>
  <si>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</si>
  <si>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</si>
  <si>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</si>
  <si>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</si>
  <si>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</si>
  <si>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</si>
  <si>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</si>
  <si>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 Azeem Engg</t>
  </si>
  <si>
    <t>Mr. Kamran office</t>
  </si>
  <si>
    <t xml:space="preserve">Mr. Mehmood </t>
  </si>
  <si>
    <t>Mr. Jahangir</t>
  </si>
  <si>
    <t>Mr. Iftikhar</t>
  </si>
  <si>
    <t>Iftikhar</t>
  </si>
  <si>
    <t>Mr. Huzaifa</t>
  </si>
  <si>
    <t>Mr. Ali Khalid</t>
  </si>
  <si>
    <t>Owais</t>
  </si>
  <si>
    <t>Mr. Owais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</si>
  <si>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</si>
  <si>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</si>
  <si>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</si>
  <si>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</si>
  <si>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</si>
  <si>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</si>
  <si>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</si>
  <si>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</si>
  <si>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</si>
  <si>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Amjad</t>
  </si>
  <si>
    <t>Mr. Amjad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</si>
  <si>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</si>
  <si>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</si>
  <si>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</si>
  <si>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</si>
  <si>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</si>
  <si>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</si>
  <si>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</si>
  <si>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</si>
  <si>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Kamran Ali Akbar</t>
  </si>
  <si>
    <t>EFU</t>
  </si>
  <si>
    <t>Indus Hospital</t>
  </si>
  <si>
    <t>EBM</t>
  </si>
  <si>
    <t>Office</t>
  </si>
  <si>
    <t>JPMC</t>
  </si>
  <si>
    <t>MHR</t>
  </si>
  <si>
    <t>Kumail</t>
  </si>
  <si>
    <t>P</t>
  </si>
  <si>
    <t>A</t>
  </si>
  <si>
    <t>Tabba Heart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</si>
  <si>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</si>
  <si>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</si>
  <si>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</si>
  <si>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</si>
  <si>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</si>
  <si>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</si>
  <si>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</si>
  <si>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</si>
  <si>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</si>
  <si>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</si>
  <si>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</si>
  <si>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</si>
  <si>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</si>
  <si>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</si>
  <si>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</si>
  <si>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</si>
  <si>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</si>
  <si>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</si>
  <si>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</si>
  <si>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</si>
  <si>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</si>
  <si>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</si>
  <si>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</si>
  <si>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</si>
  <si>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</si>
  <si>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</si>
  <si>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</si>
  <si>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</si>
  <si>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</si>
  <si>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</si>
  <si>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</si>
  <si>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</si>
  <si>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</si>
  <si>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</si>
  <si>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</si>
  <si>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</si>
  <si>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</si>
  <si>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</si>
  <si>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Azeem Engg</t>
  </si>
  <si>
    <t>Mehmood</t>
  </si>
  <si>
    <t>Imran Engg</t>
  </si>
  <si>
    <t>Shahid Painter</t>
  </si>
  <si>
    <t>Jahangeer</t>
  </si>
  <si>
    <t>Zulfiquar</t>
  </si>
  <si>
    <t>Sajjad</t>
  </si>
  <si>
    <t>Khalid Sahab</t>
  </si>
  <si>
    <t>Ali Khalid</t>
  </si>
  <si>
    <t>Feroz Sahab</t>
  </si>
  <si>
    <t>Irfan</t>
  </si>
  <si>
    <t>Kamran Electrician</t>
  </si>
  <si>
    <t>Huzaifa Nadeem</t>
  </si>
  <si>
    <t>Abid</t>
  </si>
  <si>
    <t>Kamran AutoCAD</t>
  </si>
  <si>
    <t xml:space="preserve">S a l a r y   S h e e t  for the month of </t>
  </si>
  <si>
    <t>Cash required for salaries</t>
  </si>
  <si>
    <t>Haneef</t>
  </si>
  <si>
    <t>Abdul Rafay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</si>
  <si>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</si>
  <si>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</si>
  <si>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</si>
  <si>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</si>
  <si>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</si>
  <si>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</si>
  <si>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Sufyan</t>
  </si>
  <si>
    <t>Ahsan</t>
  </si>
  <si>
    <t>SPAR</t>
  </si>
  <si>
    <t>Nue Multiplex</t>
  </si>
  <si>
    <t>Saeed Lala</t>
  </si>
  <si>
    <t>Burhani</t>
  </si>
  <si>
    <t>Welder</t>
  </si>
  <si>
    <t>Talha</t>
  </si>
  <si>
    <t>Raheel</t>
  </si>
  <si>
    <t>ZMV</t>
  </si>
  <si>
    <t>MHR Home Salaries</t>
  </si>
  <si>
    <t>Office Salaries</t>
  </si>
  <si>
    <t>FTC Site Maintenance Salaries</t>
  </si>
  <si>
    <t>Falcon Mall</t>
  </si>
  <si>
    <t>Adeel</t>
  </si>
  <si>
    <t>Bilal Habib Salary Deduct</t>
  </si>
  <si>
    <t>Shaheryar</t>
  </si>
  <si>
    <t>Nisar</t>
  </si>
  <si>
    <t>Bilal</t>
  </si>
  <si>
    <t>Aqeel Ahmed</t>
  </si>
  <si>
    <t>Faisal Masih</t>
  </si>
  <si>
    <t>Asif (EFU)</t>
  </si>
  <si>
    <t>M. Rafeeq</t>
  </si>
  <si>
    <t>Zeelaf Munir Villa</t>
  </si>
  <si>
    <t>Murtaza</t>
  </si>
  <si>
    <t>Ahmed</t>
  </si>
  <si>
    <t>Shahrukh</t>
  </si>
  <si>
    <t>Amir (Plumber)</t>
  </si>
  <si>
    <t>The Place DHA Phase VIII</t>
  </si>
  <si>
    <t>Khalid Mansoor</t>
  </si>
  <si>
    <t>Abdul Lateef</t>
  </si>
  <si>
    <t>Nue MultiPlex Operation &amp; maintenance</t>
  </si>
  <si>
    <t>Ahsan Razzak</t>
  </si>
  <si>
    <t>Suleman Dilawar</t>
  </si>
  <si>
    <t>Rizwan Saeed</t>
  </si>
  <si>
    <t>Salary Difference</t>
  </si>
  <si>
    <t>Site</t>
  </si>
  <si>
    <t>Director</t>
  </si>
  <si>
    <t>Nueplex RMR</t>
  </si>
  <si>
    <t>Nueplex The place</t>
  </si>
  <si>
    <t xml:space="preserve">EFU </t>
  </si>
  <si>
    <t>Tabba</t>
  </si>
  <si>
    <t>FTC</t>
  </si>
  <si>
    <t>Falcon</t>
  </si>
  <si>
    <t>Zeelaf</t>
  </si>
  <si>
    <t>Nov 2018</t>
  </si>
  <si>
    <t>Dec 2018</t>
  </si>
  <si>
    <t>Differece</t>
  </si>
  <si>
    <t xml:space="preserve">Total </t>
  </si>
  <si>
    <t>Difference</t>
  </si>
  <si>
    <t>Danish</t>
  </si>
  <si>
    <t>Rohit</t>
  </si>
  <si>
    <t>Adil (FTC)</t>
  </si>
  <si>
    <t>Muneeb Abbas</t>
  </si>
  <si>
    <t>Saqib</t>
  </si>
  <si>
    <t>Adjer</t>
  </si>
  <si>
    <t>Mubarak</t>
  </si>
  <si>
    <t>Abeer</t>
  </si>
  <si>
    <t>Sameer</t>
  </si>
  <si>
    <t>Noman</t>
  </si>
  <si>
    <t>Cash required</t>
  </si>
  <si>
    <t>Sheikh Suleman</t>
  </si>
  <si>
    <t>Nouman Shareef</t>
  </si>
  <si>
    <t>Noman Hussain</t>
  </si>
  <si>
    <t>Bakhti</t>
  </si>
  <si>
    <t>Shahbaz</t>
  </si>
  <si>
    <t>May 2019</t>
  </si>
  <si>
    <t>Salahuddin</t>
  </si>
  <si>
    <t>Rizwan EFU</t>
  </si>
  <si>
    <t>Mr. Chuttal</t>
  </si>
  <si>
    <t>Imran S/O Feroz</t>
  </si>
  <si>
    <t>June 2019</t>
  </si>
  <si>
    <t>Ismail</t>
  </si>
  <si>
    <t>A. Lateef</t>
  </si>
  <si>
    <t>Shahid</t>
  </si>
  <si>
    <t>Shadab</t>
  </si>
  <si>
    <t>Kamran Sultani</t>
  </si>
  <si>
    <t>Hyundai Nishar Showroom</t>
  </si>
  <si>
    <t>Hyundai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</si>
</sst>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  <numFmt numFmtId="167" formatCode="[$-409]d/mmm;@"/>
  </numFmts>
  <fonts count="4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22"/>
      <name val="Arial"/>
      <family val="2"/>
    </font>
    <font>
      <b/>
      <sz val="9"/>
      <name val="Book Antiqua"/>
      <family val="1"/>
    </font>
    <font>
      <b/>
      <sz val="8"/>
      <name val="Book Antiqua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Arial"/>
      <family val="2"/>
    </font>
    <font>
      <b/>
      <sz val="9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9"/>
      <name val="Arial"/>
      <family val="2"/>
    </font>
    <font>
      <b/>
      <sz val="14.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2" fillId="0" borderId="0"/>
  </cellStyleXfs>
  <cellXfs count="333">
    <xf numFmtId="0" fontId="0" fillId="0" borderId="0" xfId="0"/>
    <xf numFmtId="0" fontId="5" fillId="0" borderId="0" xfId="0" applyFont="1"/>
    <xf numFmtId="164" fontId="0" fillId="0" borderId="0" xfId="1" applyNumberFormat="1" applyFont="1"/>
    <xf numFmtId="164" fontId="5" fillId="0" borderId="0" xfId="1" applyNumberFormat="1" applyFont="1"/>
    <xf numFmtId="0" fontId="6" fillId="0" borderId="0" xfId="0" applyFont="1" applyFill="1"/>
    <xf numFmtId="164" fontId="0" fillId="0" borderId="0" xfId="1" applyNumberFormat="1" applyFont="1" applyAlignment="1">
      <alignment horizontal="center"/>
    </xf>
    <xf numFmtId="0" fontId="8" fillId="0" borderId="1" xfId="0" applyFont="1" applyBorder="1"/>
    <xf numFmtId="0" fontId="12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1" fillId="0" borderId="0" xfId="0" applyFont="1"/>
    <xf numFmtId="164" fontId="11" fillId="0" borderId="0" xfId="0" applyNumberFormat="1" applyFont="1"/>
    <xf numFmtId="164" fontId="17" fillId="0" borderId="1" xfId="1" applyNumberFormat="1" applyFont="1" applyFill="1" applyBorder="1"/>
    <xf numFmtId="164" fontId="17" fillId="0" borderId="1" xfId="1" applyNumberFormat="1" applyFont="1" applyFill="1" applyBorder="1" applyAlignment="1">
      <alignment horizontal="center"/>
    </xf>
    <xf numFmtId="164" fontId="0" fillId="0" borderId="0" xfId="0" applyNumberFormat="1"/>
    <xf numFmtId="164" fontId="8" fillId="0" borderId="1" xfId="1" applyNumberFormat="1" applyFont="1" applyBorder="1"/>
    <xf numFmtId="164" fontId="19" fillId="0" borderId="1" xfId="1" applyNumberFormat="1" applyFont="1" applyBorder="1"/>
    <xf numFmtId="164" fontId="8" fillId="0" borderId="8" xfId="1" applyNumberFormat="1" applyFont="1" applyBorder="1"/>
    <xf numFmtId="0" fontId="11" fillId="0" borderId="1" xfId="0" applyFont="1" applyBorder="1"/>
    <xf numFmtId="164" fontId="8" fillId="0" borderId="1" xfId="1" applyNumberFormat="1" applyFont="1" applyBorder="1" applyAlignment="1">
      <alignment horizontal="center"/>
    </xf>
    <xf numFmtId="164" fontId="20" fillId="0" borderId="1" xfId="1" applyNumberFormat="1" applyFont="1" applyBorder="1" applyAlignment="1">
      <alignment vertical="center"/>
    </xf>
    <xf numFmtId="164" fontId="5" fillId="0" borderId="8" xfId="1" applyNumberFormat="1" applyFont="1" applyBorder="1"/>
    <xf numFmtId="164" fontId="17" fillId="2" borderId="8" xfId="1" applyNumberFormat="1" applyFont="1" applyFill="1" applyBorder="1" applyAlignment="1">
      <alignment horizontal="center"/>
    </xf>
    <xf numFmtId="164" fontId="3" fillId="0" borderId="8" xfId="1" applyNumberFormat="1" applyFont="1" applyBorder="1"/>
    <xf numFmtId="164" fontId="18" fillId="0" borderId="8" xfId="1" applyNumberFormat="1" applyFont="1" applyBorder="1"/>
    <xf numFmtId="164" fontId="6" fillId="0" borderId="1" xfId="1" applyNumberFormat="1" applyFont="1" applyFill="1" applyBorder="1"/>
    <xf numFmtId="17" fontId="21" fillId="0" borderId="0" xfId="0" applyNumberFormat="1" applyFont="1" applyFill="1"/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3" fillId="0" borderId="0" xfId="0" applyFont="1"/>
    <xf numFmtId="0" fontId="9" fillId="0" borderId="1" xfId="0" applyFont="1" applyBorder="1" applyAlignment="1">
      <alignment horizontal="center" vertical="center"/>
    </xf>
    <xf numFmtId="164" fontId="11" fillId="0" borderId="0" xfId="1" applyNumberFormat="1" applyFont="1"/>
    <xf numFmtId="0" fontId="6" fillId="0" borderId="1" xfId="0" applyFont="1" applyFill="1" applyBorder="1" applyAlignment="1">
      <alignment vertical="center" wrapText="1"/>
    </xf>
    <xf numFmtId="0" fontId="7" fillId="2" borderId="1" xfId="0" applyFont="1" applyFill="1" applyBorder="1"/>
    <xf numFmtId="164" fontId="6" fillId="2" borderId="1" xfId="1" applyNumberFormat="1" applyFont="1" applyFill="1" applyBorder="1" applyAlignment="1">
      <alignment horizontal="center"/>
    </xf>
    <xf numFmtId="164" fontId="6" fillId="2" borderId="1" xfId="1" applyNumberFormat="1" applyFont="1" applyFill="1" applyBorder="1" applyAlignment="1">
      <alignment horizontal="centerContinuous" vertical="center"/>
    </xf>
    <xf numFmtId="164" fontId="6" fillId="0" borderId="1" xfId="1" applyNumberFormat="1" applyFont="1" applyBorder="1"/>
    <xf numFmtId="164" fontId="7" fillId="0" borderId="1" xfId="1" applyNumberFormat="1" applyFont="1" applyBorder="1"/>
    <xf numFmtId="0" fontId="6" fillId="0" borderId="1" xfId="0" applyFont="1" applyFill="1" applyBorder="1" applyAlignment="1"/>
    <xf numFmtId="0" fontId="7" fillId="0" borderId="1" xfId="0" applyFont="1" applyFill="1" applyBorder="1"/>
    <xf numFmtId="164" fontId="6" fillId="0" borderId="1" xfId="1" applyNumberFormat="1" applyFont="1" applyFill="1" applyBorder="1" applyAlignment="1">
      <alignment horizontal="center"/>
    </xf>
    <xf numFmtId="164" fontId="6" fillId="0" borderId="1" xfId="1" applyNumberFormat="1" applyFont="1" applyFill="1" applyBorder="1" applyAlignment="1">
      <alignment vertical="center"/>
    </xf>
    <xf numFmtId="164" fontId="19" fillId="0" borderId="1" xfId="1" applyNumberFormat="1" applyFont="1" applyBorder="1" applyAlignment="1">
      <alignment horizontal="center"/>
    </xf>
    <xf numFmtId="164" fontId="6" fillId="2" borderId="1" xfId="1" applyNumberFormat="1" applyFont="1" applyFill="1" applyBorder="1"/>
    <xf numFmtId="164" fontId="19" fillId="0" borderId="1" xfId="0" applyNumberFormat="1" applyFont="1" applyFill="1" applyBorder="1"/>
    <xf numFmtId="164" fontId="6" fillId="0" borderId="1" xfId="1" applyNumberFormat="1" applyFont="1" applyBorder="1" applyAlignment="1">
      <alignment horizontal="center"/>
    </xf>
    <xf numFmtId="164" fontId="6" fillId="2" borderId="1" xfId="1" applyNumberFormat="1" applyFont="1" applyFill="1" applyBorder="1" applyAlignment="1">
      <alignment horizontal="right"/>
    </xf>
    <xf numFmtId="164" fontId="6" fillId="0" borderId="1" xfId="1" applyNumberFormat="1" applyFont="1" applyFill="1" applyBorder="1" applyAlignment="1">
      <alignment horizontal="right"/>
    </xf>
    <xf numFmtId="164" fontId="6" fillId="0" borderId="1" xfId="1" applyNumberFormat="1" applyFont="1" applyBorder="1" applyAlignment="1">
      <alignment horizontal="right"/>
    </xf>
    <xf numFmtId="164" fontId="9" fillId="0" borderId="1" xfId="1" applyNumberFormat="1" applyFont="1" applyBorder="1"/>
    <xf numFmtId="164" fontId="15" fillId="3" borderId="1" xfId="1" applyNumberFormat="1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vertical="center"/>
    </xf>
    <xf numFmtId="0" fontId="14" fillId="4" borderId="23" xfId="0" applyFont="1" applyFill="1" applyBorder="1" applyAlignment="1">
      <alignment vertical="center"/>
    </xf>
    <xf numFmtId="164" fontId="15" fillId="3" borderId="1" xfId="1" applyNumberFormat="1" applyFont="1" applyFill="1" applyBorder="1" applyAlignment="1">
      <alignment horizontal="center" vertical="center"/>
    </xf>
    <xf numFmtId="164" fontId="16" fillId="3" borderId="1" xfId="1" applyNumberFormat="1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3" fillId="0" borderId="14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14" fontId="23" fillId="0" borderId="0" xfId="0" applyNumberFormat="1" applyFont="1" applyFill="1" applyBorder="1" applyAlignment="1">
      <alignment vertical="center"/>
    </xf>
    <xf numFmtId="14" fontId="23" fillId="0" borderId="15" xfId="0" applyNumberFormat="1" applyFont="1" applyFill="1" applyBorder="1" applyAlignment="1">
      <alignment vertical="center"/>
    </xf>
    <xf numFmtId="0" fontId="24" fillId="0" borderId="15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64" fontId="24" fillId="0" borderId="0" xfId="1" applyNumberFormat="1" applyFont="1" applyFill="1" applyBorder="1" applyAlignment="1">
      <alignment vertical="center"/>
    </xf>
    <xf numFmtId="0" fontId="26" fillId="0" borderId="15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164" fontId="24" fillId="0" borderId="15" xfId="1" applyNumberFormat="1" applyFont="1" applyFill="1" applyBorder="1" applyAlignment="1">
      <alignment vertical="center"/>
    </xf>
    <xf numFmtId="164" fontId="23" fillId="0" borderId="1" xfId="1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vertical="center" wrapText="1"/>
    </xf>
    <xf numFmtId="0" fontId="26" fillId="0" borderId="0" xfId="0" applyFont="1" applyFill="1" applyBorder="1" applyAlignment="1">
      <alignment horizontal="left" vertical="center"/>
    </xf>
    <xf numFmtId="0" fontId="23" fillId="0" borderId="15" xfId="0" applyFont="1" applyFill="1" applyBorder="1" applyAlignment="1">
      <alignment vertical="center"/>
    </xf>
    <xf numFmtId="164" fontId="23" fillId="0" borderId="0" xfId="1" applyNumberFormat="1" applyFont="1" applyFill="1" applyBorder="1" applyAlignment="1">
      <alignment vertical="center"/>
    </xf>
    <xf numFmtId="0" fontId="23" fillId="0" borderId="1" xfId="0" applyFont="1" applyFill="1" applyBorder="1" applyAlignment="1">
      <alignment horizontal="right" vertical="center"/>
    </xf>
    <xf numFmtId="0" fontId="23" fillId="0" borderId="5" xfId="0" applyFont="1" applyFill="1" applyBorder="1" applyAlignment="1">
      <alignment vertical="center"/>
    </xf>
    <xf numFmtId="0" fontId="23" fillId="0" borderId="6" xfId="0" applyFont="1" applyFill="1" applyBorder="1" applyAlignment="1">
      <alignment vertical="center"/>
    </xf>
    <xf numFmtId="164" fontId="23" fillId="0" borderId="1" xfId="0" applyNumberFormat="1" applyFont="1" applyFill="1" applyBorder="1" applyAlignment="1">
      <alignment horizontal="right" vertical="center"/>
    </xf>
    <xf numFmtId="164" fontId="23" fillId="0" borderId="15" xfId="0" applyNumberFormat="1" applyFont="1" applyFill="1" applyBorder="1" applyAlignment="1">
      <alignment horizontal="right" vertical="center"/>
    </xf>
    <xf numFmtId="164" fontId="23" fillId="0" borderId="1" xfId="0" applyNumberFormat="1" applyFont="1" applyFill="1" applyBorder="1" applyAlignment="1">
      <alignment vertical="center"/>
    </xf>
    <xf numFmtId="164" fontId="23" fillId="0" borderId="15" xfId="0" applyNumberFormat="1" applyFont="1" applyFill="1" applyBorder="1" applyAlignment="1">
      <alignment vertical="center"/>
    </xf>
    <xf numFmtId="164" fontId="23" fillId="0" borderId="15" xfId="1" applyNumberFormat="1" applyFont="1" applyFill="1" applyBorder="1" applyAlignment="1">
      <alignment vertical="center"/>
    </xf>
    <xf numFmtId="0" fontId="23" fillId="0" borderId="1" xfId="0" applyFont="1" applyFill="1" applyBorder="1" applyAlignment="1">
      <alignment horizontal="left" vertical="center"/>
    </xf>
    <xf numFmtId="164" fontId="24" fillId="0" borderId="1" xfId="0" applyNumberFormat="1" applyFont="1" applyFill="1" applyBorder="1" applyAlignment="1">
      <alignment vertical="center"/>
    </xf>
    <xf numFmtId="164" fontId="24" fillId="0" borderId="15" xfId="0" applyNumberFormat="1" applyFont="1" applyFill="1" applyBorder="1" applyAlignment="1">
      <alignment vertical="center"/>
    </xf>
    <xf numFmtId="0" fontId="23" fillId="0" borderId="16" xfId="0" applyFont="1" applyFill="1" applyBorder="1" applyAlignment="1">
      <alignment vertical="center"/>
    </xf>
    <xf numFmtId="0" fontId="23" fillId="0" borderId="13" xfId="0" applyFont="1" applyFill="1" applyBorder="1" applyAlignment="1">
      <alignment vertical="center"/>
    </xf>
    <xf numFmtId="0" fontId="23" fillId="0" borderId="17" xfId="0" applyFont="1" applyFill="1" applyBorder="1" applyAlignment="1">
      <alignment vertical="center"/>
    </xf>
    <xf numFmtId="15" fontId="26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28" fillId="0" borderId="0" xfId="0" applyFont="1" applyFill="1" applyAlignment="1">
      <alignment vertical="center"/>
    </xf>
    <xf numFmtId="0" fontId="28" fillId="0" borderId="10" xfId="0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vertical="center"/>
    </xf>
    <xf numFmtId="0" fontId="30" fillId="0" borderId="12" xfId="0" applyFont="1" applyFill="1" applyBorder="1" applyAlignment="1">
      <alignment horizontal="center" vertical="center"/>
    </xf>
    <xf numFmtId="14" fontId="28" fillId="0" borderId="14" xfId="0" applyNumberFormat="1" applyFont="1" applyFill="1" applyBorder="1" applyAlignment="1">
      <alignment vertical="center"/>
    </xf>
    <xf numFmtId="0" fontId="29" fillId="0" borderId="1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 wrapText="1"/>
    </xf>
    <xf numFmtId="0" fontId="29" fillId="0" borderId="15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vertical="center"/>
    </xf>
    <xf numFmtId="0" fontId="28" fillId="0" borderId="1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164" fontId="29" fillId="0" borderId="1" xfId="1" applyNumberFormat="1" applyFont="1" applyFill="1" applyBorder="1" applyAlignment="1">
      <alignment vertical="center"/>
    </xf>
    <xf numFmtId="0" fontId="28" fillId="0" borderId="14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164" fontId="29" fillId="0" borderId="15" xfId="1" applyNumberFormat="1" applyFont="1" applyFill="1" applyBorder="1" applyAlignment="1">
      <alignment vertical="center"/>
    </xf>
    <xf numFmtId="0" fontId="28" fillId="0" borderId="16" xfId="0" applyFont="1" applyFill="1" applyBorder="1" applyAlignment="1">
      <alignment vertical="center"/>
    </xf>
    <xf numFmtId="0" fontId="28" fillId="0" borderId="13" xfId="0" applyFont="1" applyFill="1" applyBorder="1" applyAlignment="1">
      <alignment vertical="center"/>
    </xf>
    <xf numFmtId="0" fontId="28" fillId="0" borderId="17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165" fontId="6" fillId="0" borderId="1" xfId="1" applyNumberFormat="1" applyFont="1" applyFill="1" applyBorder="1"/>
    <xf numFmtId="0" fontId="23" fillId="0" borderId="0" xfId="0" applyFont="1" applyFill="1" applyBorder="1" applyAlignment="1">
      <alignment horizontal="center" vertical="center"/>
    </xf>
    <xf numFmtId="164" fontId="6" fillId="2" borderId="8" xfId="1" applyNumberFormat="1" applyFont="1" applyFill="1" applyBorder="1" applyAlignment="1">
      <alignment horizontal="center"/>
    </xf>
    <xf numFmtId="164" fontId="19" fillId="0" borderId="8" xfId="1" applyNumberFormat="1" applyFont="1" applyBorder="1"/>
    <xf numFmtId="164" fontId="9" fillId="0" borderId="8" xfId="1" applyNumberFormat="1" applyFont="1" applyBorder="1"/>
    <xf numFmtId="164" fontId="32" fillId="0" borderId="0" xfId="1" applyNumberFormat="1" applyFont="1" applyFill="1" applyAlignment="1">
      <alignment vertical="center"/>
    </xf>
    <xf numFmtId="1" fontId="23" fillId="0" borderId="5" xfId="0" applyNumberFormat="1" applyFont="1" applyFill="1" applyBorder="1" applyAlignment="1">
      <alignment vertical="center"/>
    </xf>
    <xf numFmtId="0" fontId="28" fillId="0" borderId="15" xfId="0" applyFont="1" applyFill="1" applyBorder="1" applyAlignment="1">
      <alignment vertical="center"/>
    </xf>
    <xf numFmtId="0" fontId="30" fillId="0" borderId="1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23" fillId="0" borderId="14" xfId="0" applyFont="1" applyFill="1" applyBorder="1" applyAlignment="1">
      <alignment horizontal="center" vertical="center"/>
    </xf>
    <xf numFmtId="14" fontId="23" fillId="0" borderId="14" xfId="0" applyNumberFormat="1" applyFont="1" applyFill="1" applyBorder="1" applyAlignment="1">
      <alignment vertical="center"/>
    </xf>
    <xf numFmtId="0" fontId="29" fillId="0" borderId="25" xfId="0" applyFont="1" applyFill="1" applyBorder="1" applyAlignment="1">
      <alignment horizontal="center" vertical="center"/>
    </xf>
    <xf numFmtId="164" fontId="29" fillId="0" borderId="25" xfId="1" applyNumberFormat="1" applyFont="1" applyFill="1" applyBorder="1" applyAlignment="1">
      <alignment vertical="center"/>
    </xf>
    <xf numFmtId="164" fontId="7" fillId="0" borderId="1" xfId="1" applyNumberFormat="1" applyFont="1" applyFill="1" applyBorder="1"/>
    <xf numFmtId="164" fontId="9" fillId="0" borderId="1" xfId="0" applyNumberFormat="1" applyFont="1" applyBorder="1" applyAlignment="1">
      <alignment horizontal="center" vertical="center"/>
    </xf>
    <xf numFmtId="164" fontId="7" fillId="2" borderId="1" xfId="0" applyNumberFormat="1" applyFont="1" applyFill="1" applyBorder="1"/>
    <xf numFmtId="164" fontId="7" fillId="0" borderId="1" xfId="0" applyNumberFormat="1" applyFont="1" applyFill="1" applyBorder="1"/>
    <xf numFmtId="164" fontId="7" fillId="2" borderId="1" xfId="0" applyNumberFormat="1" applyFont="1" applyFill="1" applyBorder="1" applyAlignment="1">
      <alignment vertical="center"/>
    </xf>
    <xf numFmtId="164" fontId="17" fillId="2" borderId="1" xfId="1" applyNumberFormat="1" applyFont="1" applyFill="1" applyBorder="1" applyAlignment="1">
      <alignment horizontal="center"/>
    </xf>
    <xf numFmtId="164" fontId="3" fillId="0" borderId="1" xfId="1" applyNumberFormat="1" applyFont="1" applyBorder="1"/>
    <xf numFmtId="0" fontId="31" fillId="2" borderId="1" xfId="0" applyFont="1" applyFill="1" applyBorder="1" applyAlignment="1">
      <alignment horizontal="center" vertical="center"/>
    </xf>
    <xf numFmtId="164" fontId="31" fillId="0" borderId="1" xfId="0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164" fontId="6" fillId="0" borderId="8" xfId="1" applyNumberFormat="1" applyFont="1" applyBorder="1"/>
    <xf numFmtId="164" fontId="7" fillId="0" borderId="8" xfId="1" applyNumberFormat="1" applyFont="1" applyBorder="1"/>
    <xf numFmtId="0" fontId="23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64" fontId="34" fillId="0" borderId="1" xfId="1" applyNumberFormat="1" applyFont="1" applyFill="1" applyBorder="1"/>
    <xf numFmtId="0" fontId="23" fillId="0" borderId="0" xfId="0" applyFont="1" applyFill="1" applyBorder="1" applyAlignment="1">
      <alignment horizontal="center" vertical="center"/>
    </xf>
    <xf numFmtId="164" fontId="31" fillId="0" borderId="1" xfId="0" applyNumberFormat="1" applyFont="1" applyFill="1" applyBorder="1" applyAlignment="1">
      <alignment horizontal="center" vertical="center"/>
    </xf>
    <xf numFmtId="164" fontId="31" fillId="0" borderId="7" xfId="0" applyNumberFormat="1" applyFont="1" applyFill="1" applyBorder="1" applyAlignment="1">
      <alignment horizontal="center" vertical="center"/>
    </xf>
    <xf numFmtId="164" fontId="31" fillId="0" borderId="9" xfId="0" applyNumberFormat="1" applyFont="1" applyFill="1" applyBorder="1" applyAlignment="1">
      <alignment horizontal="center" vertical="center"/>
    </xf>
    <xf numFmtId="164" fontId="31" fillId="0" borderId="8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3" fillId="0" borderId="22" xfId="0" applyFont="1" applyFill="1" applyBorder="1" applyAlignment="1">
      <alignment vertical="center"/>
    </xf>
    <xf numFmtId="0" fontId="28" fillId="0" borderId="22" xfId="0" applyFont="1" applyFill="1" applyBorder="1" applyAlignment="1">
      <alignment vertical="center"/>
    </xf>
    <xf numFmtId="164" fontId="19" fillId="7" borderId="1" xfId="0" applyNumberFormat="1" applyFont="1" applyFill="1" applyBorder="1"/>
    <xf numFmtId="0" fontId="7" fillId="0" borderId="1" xfId="0" applyFont="1" applyFill="1" applyBorder="1" applyAlignment="1">
      <alignment vertical="center" textRotation="90"/>
    </xf>
    <xf numFmtId="164" fontId="31" fillId="0" borderId="7" xfId="0" applyNumberFormat="1" applyFont="1" applyFill="1" applyBorder="1" applyAlignment="1">
      <alignment vertical="center"/>
    </xf>
    <xf numFmtId="0" fontId="7" fillId="2" borderId="9" xfId="0" applyFont="1" applyFill="1" applyBorder="1" applyAlignment="1">
      <alignment vertical="center" textRotation="90"/>
    </xf>
    <xf numFmtId="164" fontId="31" fillId="0" borderId="9" xfId="0" applyNumberFormat="1" applyFont="1" applyFill="1" applyBorder="1" applyAlignment="1">
      <alignment vertical="center"/>
    </xf>
    <xf numFmtId="164" fontId="31" fillId="0" borderId="8" xfId="0" applyNumberFormat="1" applyFont="1" applyFill="1" applyBorder="1" applyAlignment="1">
      <alignment vertical="center"/>
    </xf>
    <xf numFmtId="164" fontId="7" fillId="2" borderId="9" xfId="0" applyNumberFormat="1" applyFont="1" applyFill="1" applyBorder="1" applyAlignment="1">
      <alignment vertical="center"/>
    </xf>
    <xf numFmtId="0" fontId="7" fillId="0" borderId="7" xfId="0" applyFont="1" applyFill="1" applyBorder="1" applyAlignment="1">
      <alignment vertical="center" textRotation="90"/>
    </xf>
    <xf numFmtId="0" fontId="7" fillId="0" borderId="9" xfId="0" applyFont="1" applyFill="1" applyBorder="1" applyAlignment="1">
      <alignment vertical="center" textRotation="90"/>
    </xf>
    <xf numFmtId="0" fontId="7" fillId="0" borderId="8" xfId="0" applyFont="1" applyFill="1" applyBorder="1" applyAlignment="1">
      <alignment vertical="center" textRotation="90"/>
    </xf>
    <xf numFmtId="0" fontId="7" fillId="2" borderId="1" xfId="0" applyFont="1" applyFill="1" applyBorder="1" applyAlignment="1">
      <alignment vertical="center" textRotation="90"/>
    </xf>
    <xf numFmtId="164" fontId="33" fillId="0" borderId="8" xfId="1" applyNumberFormat="1" applyFont="1" applyBorder="1"/>
    <xf numFmtId="0" fontId="7" fillId="2" borderId="7" xfId="0" applyFont="1" applyFill="1" applyBorder="1" applyAlignment="1">
      <alignment horizontal="center" vertical="center" textRotation="90"/>
    </xf>
    <xf numFmtId="0" fontId="7" fillId="2" borderId="9" xfId="0" applyFont="1" applyFill="1" applyBorder="1" applyAlignment="1">
      <alignment horizontal="center" vertical="center" textRotation="90"/>
    </xf>
    <xf numFmtId="0" fontId="7" fillId="2" borderId="8" xfId="0" applyFont="1" applyFill="1" applyBorder="1" applyAlignment="1">
      <alignment horizontal="center" vertical="center" textRotation="90"/>
    </xf>
    <xf numFmtId="164" fontId="7" fillId="2" borderId="7" xfId="0" applyNumberFormat="1" applyFont="1" applyFill="1" applyBorder="1" applyAlignment="1">
      <alignment horizontal="center" vertical="center"/>
    </xf>
    <xf numFmtId="164" fontId="7" fillId="2" borderId="9" xfId="0" applyNumberFormat="1" applyFont="1" applyFill="1" applyBorder="1" applyAlignment="1">
      <alignment horizontal="center" vertical="center"/>
    </xf>
    <xf numFmtId="164" fontId="7" fillId="2" borderId="8" xfId="0" applyNumberFormat="1" applyFont="1" applyFill="1" applyBorder="1" applyAlignment="1">
      <alignment horizontal="center" vertical="center"/>
    </xf>
    <xf numFmtId="1" fontId="10" fillId="0" borderId="5" xfId="0" applyNumberFormat="1" applyFont="1" applyFill="1" applyBorder="1" applyAlignment="1">
      <alignment vertical="center"/>
    </xf>
    <xf numFmtId="164" fontId="11" fillId="0" borderId="1" xfId="1" applyNumberFormat="1" applyFont="1" applyBorder="1"/>
    <xf numFmtId="164" fontId="29" fillId="0" borderId="1" xfId="1" applyNumberFormat="1" applyFont="1" applyFill="1" applyBorder="1" applyAlignment="1">
      <alignment horizontal="center" vertical="center"/>
    </xf>
    <xf numFmtId="164" fontId="7" fillId="2" borderId="7" xfId="0" applyNumberFormat="1" applyFont="1" applyFill="1" applyBorder="1" applyAlignment="1">
      <alignment horizontal="center" vertical="center"/>
    </xf>
    <xf numFmtId="164" fontId="7" fillId="2" borderId="9" xfId="0" applyNumberFormat="1" applyFont="1" applyFill="1" applyBorder="1" applyAlignment="1">
      <alignment horizontal="center" vertical="center"/>
    </xf>
    <xf numFmtId="164" fontId="7" fillId="2" borderId="8" xfId="0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textRotation="90"/>
    </xf>
    <xf numFmtId="0" fontId="7" fillId="2" borderId="9" xfId="0" applyFont="1" applyFill="1" applyBorder="1" applyAlignment="1">
      <alignment horizontal="center" vertical="center" textRotation="90"/>
    </xf>
    <xf numFmtId="0" fontId="7" fillId="2" borderId="8" xfId="0" applyFont="1" applyFill="1" applyBorder="1" applyAlignment="1">
      <alignment horizontal="center" vertical="center" textRotation="90"/>
    </xf>
    <xf numFmtId="0" fontId="23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/>
    <xf numFmtId="0" fontId="28" fillId="10" borderId="1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164" fontId="7" fillId="0" borderId="7" xfId="0" applyNumberFormat="1" applyFont="1" applyFill="1" applyBorder="1" applyAlignment="1">
      <alignment vertical="center"/>
    </xf>
    <xf numFmtId="164" fontId="7" fillId="0" borderId="8" xfId="0" applyNumberFormat="1" applyFont="1" applyFill="1" applyBorder="1" applyAlignment="1">
      <alignment vertical="center"/>
    </xf>
    <xf numFmtId="164" fontId="19" fillId="8" borderId="1" xfId="0" applyNumberFormat="1" applyFont="1" applyFill="1" applyBorder="1"/>
    <xf numFmtId="164" fontId="19" fillId="12" borderId="1" xfId="0" applyNumberFormat="1" applyFont="1" applyFill="1" applyBorder="1"/>
    <xf numFmtId="164" fontId="23" fillId="0" borderId="0" xfId="0" applyNumberFormat="1" applyFont="1" applyFill="1" applyBorder="1" applyAlignment="1">
      <alignment vertical="center"/>
    </xf>
    <xf numFmtId="1" fontId="38" fillId="0" borderId="5" xfId="0" applyNumberFormat="1" applyFont="1" applyFill="1" applyBorder="1" applyAlignment="1">
      <alignment vertical="center"/>
    </xf>
    <xf numFmtId="164" fontId="21" fillId="0" borderId="1" xfId="1" applyNumberFormat="1" applyFont="1" applyFill="1" applyBorder="1" applyAlignment="1">
      <alignment vertical="center"/>
    </xf>
    <xf numFmtId="164" fontId="34" fillId="0" borderId="1" xfId="1" applyNumberFormat="1" applyFont="1" applyFill="1" applyBorder="1" applyAlignment="1">
      <alignment vertical="center"/>
    </xf>
    <xf numFmtId="164" fontId="39" fillId="0" borderId="0" xfId="0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textRotation="90"/>
    </xf>
    <xf numFmtId="164" fontId="7" fillId="2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right"/>
    </xf>
    <xf numFmtId="0" fontId="23" fillId="0" borderId="0" xfId="0" applyFont="1" applyFill="1" applyBorder="1" applyAlignment="1">
      <alignment horizontal="center" vertical="center"/>
    </xf>
    <xf numFmtId="164" fontId="3" fillId="0" borderId="0" xfId="1" applyNumberFormat="1" applyFont="1"/>
    <xf numFmtId="164" fontId="9" fillId="0" borderId="0" xfId="0" applyNumberFormat="1" applyFont="1"/>
    <xf numFmtId="164" fontId="11" fillId="0" borderId="1" xfId="1" applyNumberFormat="1" applyFont="1" applyBorder="1" applyAlignment="1">
      <alignment vertical="center"/>
    </xf>
    <xf numFmtId="0" fontId="7" fillId="10" borderId="1" xfId="0" applyFont="1" applyFill="1" applyBorder="1"/>
    <xf numFmtId="166" fontId="23" fillId="0" borderId="5" xfId="0" applyNumberFormat="1" applyFont="1" applyFill="1" applyBorder="1" applyAlignment="1">
      <alignment vertical="center"/>
    </xf>
    <xf numFmtId="164" fontId="0" fillId="0" borderId="1" xfId="1" applyNumberFormat="1" applyFont="1" applyBorder="1"/>
    <xf numFmtId="14" fontId="23" fillId="0" borderId="0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7" fontId="5" fillId="0" borderId="1" xfId="1" quotePrefix="1" applyNumberFormat="1" applyFont="1" applyBorder="1" applyAlignment="1">
      <alignment horizontal="center" vertical="center"/>
    </xf>
    <xf numFmtId="0" fontId="5" fillId="0" borderId="1" xfId="0" applyFont="1" applyBorder="1"/>
    <xf numFmtId="164" fontId="8" fillId="0" borderId="1" xfId="0" applyNumberFormat="1" applyFont="1" applyBorder="1"/>
    <xf numFmtId="0" fontId="8" fillId="0" borderId="1" xfId="0" applyFont="1" applyFill="1" applyBorder="1" applyAlignment="1">
      <alignment horizontal="right"/>
    </xf>
    <xf numFmtId="164" fontId="0" fillId="0" borderId="1" xfId="1" applyNumberFormat="1" applyFont="1" applyBorder="1" applyAlignment="1"/>
    <xf numFmtId="0" fontId="0" fillId="0" borderId="1" xfId="0" applyBorder="1"/>
    <xf numFmtId="0" fontId="5" fillId="0" borderId="1" xfId="0" applyFont="1" applyBorder="1" applyAlignment="1">
      <alignment horizontal="left"/>
    </xf>
    <xf numFmtId="164" fontId="40" fillId="0" borderId="1" xfId="1" applyNumberFormat="1" applyFont="1" applyBorder="1" applyAlignment="1"/>
    <xf numFmtId="164" fontId="9" fillId="0" borderId="1" xfId="1" quotePrefix="1" applyNumberFormat="1" applyFont="1" applyBorder="1" applyAlignment="1"/>
    <xf numFmtId="164" fontId="19" fillId="0" borderId="8" xfId="0" applyNumberFormat="1" applyFont="1" applyFill="1" applyBorder="1"/>
    <xf numFmtId="164" fontId="3" fillId="0" borderId="8" xfId="0" applyNumberFormat="1" applyFont="1" applyFill="1" applyBorder="1"/>
    <xf numFmtId="164" fontId="19" fillId="13" borderId="1" xfId="0" applyNumberFormat="1" applyFont="1" applyFill="1" applyBorder="1"/>
    <xf numFmtId="164" fontId="34" fillId="2" borderId="1" xfId="1" applyNumberFormat="1" applyFont="1" applyFill="1" applyBorder="1"/>
    <xf numFmtId="164" fontId="19" fillId="13" borderId="8" xfId="0" applyNumberFormat="1" applyFont="1" applyFill="1" applyBorder="1"/>
    <xf numFmtId="14" fontId="5" fillId="0" borderId="1" xfId="0" applyNumberFormat="1" applyFont="1" applyBorder="1" applyAlignment="1">
      <alignment horizontal="left"/>
    </xf>
    <xf numFmtId="0" fontId="10" fillId="0" borderId="0" xfId="0" applyFont="1" applyFill="1" applyBorder="1" applyAlignment="1"/>
    <xf numFmtId="164" fontId="41" fillId="0" borderId="1" xfId="1" applyNumberFormat="1" applyFont="1" applyBorder="1"/>
    <xf numFmtId="164" fontId="10" fillId="0" borderId="0" xfId="1" applyNumberFormat="1" applyFont="1" applyFill="1" applyBorder="1" applyAlignment="1"/>
    <xf numFmtId="164" fontId="5" fillId="0" borderId="1" xfId="1" applyNumberFormat="1" applyFont="1" applyBorder="1"/>
    <xf numFmtId="164" fontId="20" fillId="0" borderId="1" xfId="1" applyNumberFormat="1" applyFont="1" applyBorder="1"/>
    <xf numFmtId="164" fontId="0" fillId="0" borderId="1" xfId="1" applyNumberFormat="1" applyFont="1" applyBorder="1" applyAlignment="1">
      <alignment horizontal="left"/>
    </xf>
    <xf numFmtId="0" fontId="42" fillId="2" borderId="9" xfId="0" applyFont="1" applyFill="1" applyBorder="1" applyAlignment="1">
      <alignment vertical="center" textRotation="90"/>
    </xf>
    <xf numFmtId="164" fontId="42" fillId="2" borderId="9" xfId="0" applyNumberFormat="1" applyFont="1" applyFill="1" applyBorder="1" applyAlignment="1">
      <alignment vertical="center"/>
    </xf>
    <xf numFmtId="164" fontId="1" fillId="0" borderId="1" xfId="1" applyNumberFormat="1" applyFont="1" applyBorder="1" applyAlignment="1">
      <alignment horizontal="right"/>
    </xf>
    <xf numFmtId="164" fontId="1" fillId="0" borderId="1" xfId="1" applyNumberFormat="1" applyFont="1" applyBorder="1" applyAlignment="1">
      <alignment horizontal="center"/>
    </xf>
    <xf numFmtId="164" fontId="1" fillId="2" borderId="1" xfId="1" applyNumberFormat="1" applyFont="1" applyFill="1" applyBorder="1" applyAlignment="1">
      <alignment horizontal="center"/>
    </xf>
    <xf numFmtId="164" fontId="43" fillId="0" borderId="1" xfId="1" applyNumberFormat="1" applyFont="1" applyBorder="1"/>
    <xf numFmtId="164" fontId="1" fillId="0" borderId="1" xfId="1" applyNumberFormat="1" applyFont="1" applyBorder="1"/>
    <xf numFmtId="164" fontId="42" fillId="0" borderId="1" xfId="1" applyNumberFormat="1" applyFont="1" applyBorder="1"/>
    <xf numFmtId="0" fontId="42" fillId="0" borderId="1" xfId="0" applyFont="1" applyFill="1" applyBorder="1" applyAlignment="1">
      <alignment vertical="center" textRotation="90"/>
    </xf>
    <xf numFmtId="164" fontId="44" fillId="0" borderId="1" xfId="0" applyNumberFormat="1" applyFont="1" applyFill="1" applyBorder="1" applyAlignment="1">
      <alignment vertical="center"/>
    </xf>
    <xf numFmtId="164" fontId="1" fillId="0" borderId="1" xfId="1" applyNumberFormat="1" applyFont="1" applyFill="1" applyBorder="1"/>
    <xf numFmtId="164" fontId="1" fillId="0" borderId="1" xfId="1" applyNumberFormat="1" applyFont="1" applyFill="1" applyBorder="1" applyAlignment="1">
      <alignment horizontal="center"/>
    </xf>
    <xf numFmtId="164" fontId="19" fillId="0" borderId="0" xfId="1" applyNumberFormat="1" applyFont="1"/>
    <xf numFmtId="164" fontId="19" fillId="11" borderId="1" xfId="0" applyNumberFormat="1" applyFont="1" applyFill="1" applyBorder="1"/>
    <xf numFmtId="0" fontId="23" fillId="10" borderId="5" xfId="0" applyFont="1" applyFill="1" applyBorder="1" applyAlignment="1">
      <alignment vertical="center"/>
    </xf>
    <xf numFmtId="164" fontId="19" fillId="10" borderId="1" xfId="0" applyNumberFormat="1" applyFont="1" applyFill="1" applyBorder="1"/>
    <xf numFmtId="164" fontId="19" fillId="10" borderId="8" xfId="0" applyNumberFormat="1" applyFont="1" applyFill="1" applyBorder="1"/>
    <xf numFmtId="164" fontId="43" fillId="10" borderId="1" xfId="0" applyNumberFormat="1" applyFont="1" applyFill="1" applyBorder="1"/>
    <xf numFmtId="164" fontId="3" fillId="10" borderId="1" xfId="0" applyNumberFormat="1" applyFont="1" applyFill="1" applyBorder="1"/>
    <xf numFmtId="164" fontId="3" fillId="10" borderId="8" xfId="0" applyNumberFormat="1" applyFont="1" applyFill="1" applyBorder="1"/>
    <xf numFmtId="0" fontId="7" fillId="8" borderId="1" xfId="0" applyFont="1" applyFill="1" applyBorder="1"/>
    <xf numFmtId="0" fontId="19" fillId="8" borderId="1" xfId="0" applyFont="1" applyFill="1" applyBorder="1"/>
    <xf numFmtId="0" fontId="9" fillId="8" borderId="1" xfId="0" applyFont="1" applyFill="1" applyBorder="1"/>
    <xf numFmtId="0" fontId="18" fillId="8" borderId="1" xfId="0" applyFont="1" applyFill="1" applyBorder="1"/>
    <xf numFmtId="0" fontId="42" fillId="8" borderId="1" xfId="0" applyFont="1" applyFill="1" applyBorder="1"/>
    <xf numFmtId="164" fontId="24" fillId="8" borderId="0" xfId="1" applyNumberFormat="1" applyFont="1" applyFill="1" applyBorder="1" applyAlignment="1">
      <alignment vertical="center"/>
    </xf>
    <xf numFmtId="0" fontId="7" fillId="14" borderId="1" xfId="0" applyFont="1" applyFill="1" applyBorder="1"/>
    <xf numFmtId="0" fontId="14" fillId="4" borderId="2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right" vertical="center"/>
    </xf>
    <xf numFmtId="0" fontId="14" fillId="4" borderId="2" xfId="0" applyFont="1" applyFill="1" applyBorder="1" applyAlignment="1">
      <alignment horizontal="right" vertical="center"/>
    </xf>
    <xf numFmtId="0" fontId="14" fillId="4" borderId="21" xfId="0" applyFont="1" applyFill="1" applyBorder="1" applyAlignment="1">
      <alignment horizontal="right" vertical="center"/>
    </xf>
    <xf numFmtId="0" fontId="14" fillId="4" borderId="22" xfId="0" applyFont="1" applyFill="1" applyBorder="1" applyAlignment="1">
      <alignment horizontal="right" vertical="center"/>
    </xf>
    <xf numFmtId="0" fontId="35" fillId="7" borderId="5" xfId="0" applyFont="1" applyFill="1" applyBorder="1" applyAlignment="1">
      <alignment horizontal="center"/>
    </xf>
    <xf numFmtId="0" fontId="35" fillId="7" borderId="26" xfId="0" applyFont="1" applyFill="1" applyBorder="1" applyAlignment="1">
      <alignment horizontal="center"/>
    </xf>
    <xf numFmtId="0" fontId="35" fillId="7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 vertical="center" textRotation="90"/>
    </xf>
    <xf numFmtId="0" fontId="7" fillId="0" borderId="9" xfId="0" applyFont="1" applyFill="1" applyBorder="1" applyAlignment="1">
      <alignment horizontal="center" vertical="center" textRotation="90"/>
    </xf>
    <xf numFmtId="0" fontId="7" fillId="0" borderId="8" xfId="0" applyFont="1" applyFill="1" applyBorder="1" applyAlignment="1">
      <alignment horizontal="center" vertical="center" textRotation="90"/>
    </xf>
    <xf numFmtId="164" fontId="7" fillId="0" borderId="7" xfId="1" applyNumberFormat="1" applyFont="1" applyFill="1" applyBorder="1" applyAlignment="1">
      <alignment horizontal="center" vertical="center"/>
    </xf>
    <xf numFmtId="164" fontId="7" fillId="0" borderId="9" xfId="1" applyNumberFormat="1" applyFont="1" applyFill="1" applyBorder="1" applyAlignment="1">
      <alignment horizontal="center" vertical="center"/>
    </xf>
    <xf numFmtId="164" fontId="7" fillId="0" borderId="8" xfId="1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right"/>
    </xf>
    <xf numFmtId="0" fontId="7" fillId="0" borderId="26" xfId="0" applyFont="1" applyFill="1" applyBorder="1" applyAlignment="1">
      <alignment horizontal="right"/>
    </xf>
    <xf numFmtId="0" fontId="7" fillId="0" borderId="6" xfId="0" applyFont="1" applyFill="1" applyBorder="1" applyAlignment="1">
      <alignment horizontal="right"/>
    </xf>
    <xf numFmtId="164" fontId="8" fillId="0" borderId="1" xfId="1" applyNumberFormat="1" applyFont="1" applyBorder="1" applyAlignment="1">
      <alignment horizontal="right"/>
    </xf>
    <xf numFmtId="164" fontId="9" fillId="0" borderId="8" xfId="1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29" fillId="0" borderId="20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9" fillId="0" borderId="19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center" vertical="center"/>
    </xf>
    <xf numFmtId="0" fontId="27" fillId="5" borderId="5" xfId="0" applyFont="1" applyFill="1" applyBorder="1" applyAlignment="1">
      <alignment horizontal="center" vertical="center"/>
    </xf>
    <xf numFmtId="0" fontId="27" fillId="5" borderId="6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2" fillId="8" borderId="10" xfId="0" applyFont="1" applyFill="1" applyBorder="1" applyAlignment="1">
      <alignment horizontal="center" vertical="center"/>
    </xf>
    <xf numFmtId="0" fontId="22" fillId="8" borderId="11" xfId="0" applyFont="1" applyFill="1" applyBorder="1" applyAlignment="1">
      <alignment horizontal="center" vertical="center"/>
    </xf>
    <xf numFmtId="0" fontId="22" fillId="8" borderId="12" xfId="0" applyFont="1" applyFill="1" applyBorder="1" applyAlignment="1">
      <alignment horizontal="center" vertical="center"/>
    </xf>
    <xf numFmtId="0" fontId="22" fillId="10" borderId="10" xfId="0" applyFont="1" applyFill="1" applyBorder="1" applyAlignment="1">
      <alignment horizontal="center" vertical="center"/>
    </xf>
    <xf numFmtId="0" fontId="22" fillId="10" borderId="11" xfId="0" applyFont="1" applyFill="1" applyBorder="1" applyAlignment="1">
      <alignment horizontal="center" vertical="center"/>
    </xf>
    <xf numFmtId="0" fontId="22" fillId="10" borderId="12" xfId="0" applyFont="1" applyFill="1" applyBorder="1" applyAlignment="1">
      <alignment horizontal="center" vertical="center"/>
    </xf>
    <xf numFmtId="164" fontId="10" fillId="0" borderId="0" xfId="1" applyNumberFormat="1" applyFont="1" applyFill="1" applyBorder="1" applyAlignment="1">
      <alignment horizontal="right" vertical="top"/>
    </xf>
    <xf numFmtId="0" fontId="24" fillId="0" borderId="26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9" borderId="10" xfId="0" applyFont="1" applyFill="1" applyBorder="1" applyAlignment="1">
      <alignment horizontal="center" vertical="center"/>
    </xf>
    <xf numFmtId="0" fontId="22" fillId="9" borderId="11" xfId="0" applyFont="1" applyFill="1" applyBorder="1" applyAlignment="1">
      <alignment horizontal="center" vertical="center"/>
    </xf>
    <xf numFmtId="0" fontId="22" fillId="9" borderId="12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12" xfId="0" applyFont="1" applyFill="1" applyBorder="1" applyAlignment="1">
      <alignment horizontal="center" vertical="center"/>
    </xf>
    <xf numFmtId="0" fontId="22" fillId="11" borderId="10" xfId="0" applyFont="1" applyFill="1" applyBorder="1" applyAlignment="1">
      <alignment horizontal="center" vertical="center"/>
    </xf>
    <xf numFmtId="0" fontId="22" fillId="11" borderId="11" xfId="0" applyFont="1" applyFill="1" applyBorder="1" applyAlignment="1">
      <alignment horizontal="center" vertical="center"/>
    </xf>
    <xf numFmtId="0" fontId="22" fillId="11" borderId="12" xfId="0" applyFont="1" applyFill="1" applyBorder="1" applyAlignment="1">
      <alignment horizontal="center" vertical="center"/>
    </xf>
    <xf numFmtId="0" fontId="22" fillId="13" borderId="10" xfId="0" applyFont="1" applyFill="1" applyBorder="1" applyAlignment="1">
      <alignment horizontal="center" vertical="center"/>
    </xf>
    <xf numFmtId="0" fontId="22" fillId="13" borderId="11" xfId="0" applyFont="1" applyFill="1" applyBorder="1" applyAlignment="1">
      <alignment horizontal="center" vertical="center"/>
    </xf>
    <xf numFmtId="0" fontId="22" fillId="13" borderId="12" xfId="0" applyFont="1" applyFill="1" applyBorder="1" applyAlignment="1">
      <alignment horizontal="center" vertical="center"/>
    </xf>
    <xf numFmtId="0" fontId="29" fillId="0" borderId="21" xfId="0" applyFont="1" applyFill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/>
    </xf>
    <xf numFmtId="0" fontId="22" fillId="10" borderId="14" xfId="0" applyFont="1" applyFill="1" applyBorder="1" applyAlignment="1">
      <alignment horizontal="center" vertical="center"/>
    </xf>
    <xf numFmtId="0" fontId="22" fillId="10" borderId="0" xfId="0" applyFont="1" applyFill="1" applyBorder="1" applyAlignment="1">
      <alignment horizontal="center" vertical="center"/>
    </xf>
    <xf numFmtId="0" fontId="22" fillId="10" borderId="15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right" vertical="center"/>
    </xf>
    <xf numFmtId="0" fontId="23" fillId="0" borderId="0" xfId="0" applyFont="1" applyFill="1" applyBorder="1" applyAlignment="1">
      <alignment horizontal="center" vertical="center"/>
    </xf>
    <xf numFmtId="0" fontId="22" fillId="7" borderId="10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12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285751</xdr:colOff>
      <xdr:row>2</xdr:row>
      <xdr:rowOff>1248833</xdr:rowOff>
    </xdr:from>
    <xdr:to>
      <xdr:col>20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20</xdr:col>
      <xdr:colOff>374651</xdr:colOff>
      <xdr:row>2</xdr:row>
      <xdr:rowOff>670983</xdr:rowOff>
    </xdr:from>
    <xdr:to>
      <xdr:col>23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vember%20Salary%20Sheet%20New%20(201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ary Sheets"/>
      <sheetName val="Salary Record"/>
    </sheetNames>
    <sheetDataSet>
      <sheetData sheetId="0">
        <row r="4">
          <cell r="Q4">
            <v>50000</v>
          </cell>
        </row>
        <row r="5">
          <cell r="Q5">
            <v>50000</v>
          </cell>
        </row>
        <row r="11">
          <cell r="Q11">
            <v>30000</v>
          </cell>
        </row>
        <row r="20">
          <cell r="Q20">
            <v>114066.99999999999</v>
          </cell>
        </row>
        <row r="29">
          <cell r="Q29">
            <v>163929.64583333334</v>
          </cell>
        </row>
        <row r="39">
          <cell r="Q39">
            <v>208551.83333333334</v>
          </cell>
        </row>
        <row r="55">
          <cell r="Q55">
            <v>241110.16666666669</v>
          </cell>
        </row>
        <row r="63">
          <cell r="Q63">
            <v>86643.333333333328</v>
          </cell>
        </row>
        <row r="70">
          <cell r="Q70">
            <v>90014.916666666672</v>
          </cell>
        </row>
        <row r="79">
          <cell r="Q79">
            <v>98866.583333333343</v>
          </cell>
        </row>
        <row r="90">
          <cell r="Q90">
            <v>168335.54166666669</v>
          </cell>
        </row>
        <row r="107">
          <cell r="Q107">
            <v>193967.41071428571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52"/>
  <sheetViews>
    <sheetView tabSelected="1" view="pageBreakPreview" zoomScaleNormal="90" zoomScaleSheetLayoutView="100" workbookViewId="0">
      <pane ySplit="3" topLeftCell="A100" activePane="bottomLeft" state="frozen"/>
      <selection pane="bottomLeft" activeCell="R110" sqref="R110"/>
    </sheetView>
  </sheetViews>
  <sheetFormatPr defaultRowHeight="13.2" x14ac:dyDescent="0.25"/>
  <cols>
    <col min="1" max="1" width="3.109375" customWidth="1"/>
    <col min="2" max="2" width="22.21875" style="1" customWidth="1"/>
    <col min="3" max="3" width="9" style="1" hidden="1" customWidth="1"/>
    <col min="4" max="4" width="9.88671875" style="1" hidden="1" customWidth="1"/>
    <col min="5" max="5" width="13.5546875" style="2" customWidth="1"/>
    <col min="6" max="6" width="5.5546875" style="2" customWidth="1"/>
    <col min="7" max="7" width="5.6640625" style="5" customWidth="1"/>
    <col min="8" max="8" width="7.77734375" style="2" customWidth="1"/>
    <col min="9" max="9" width="8.77734375" style="2" customWidth="1"/>
    <col min="10" max="10" width="10" style="2" customWidth="1"/>
    <col min="11" max="11" width="13.5546875" style="2" customWidth="1"/>
    <col min="12" max="12" width="10.77734375" style="2" customWidth="1"/>
    <col min="13" max="13" width="11.21875" style="2" customWidth="1"/>
    <col min="14" max="14" width="10.5546875" style="3" customWidth="1"/>
    <col min="15" max="15" width="9.77734375" style="2" customWidth="1"/>
    <col min="16" max="16" width="11.109375" style="3" customWidth="1"/>
    <col min="17" max="17" width="14.6640625" customWidth="1"/>
    <col min="18" max="18" width="13.109375" bestFit="1" customWidth="1"/>
    <col min="19" max="19" width="15.21875" style="2" customWidth="1"/>
    <col min="20" max="20" width="12.44140625" bestFit="1" customWidth="1"/>
    <col min="21" max="22" width="9.88671875" bestFit="1" customWidth="1"/>
    <col min="23" max="23" width="11.5546875" bestFit="1" customWidth="1"/>
  </cols>
  <sheetData>
    <row r="1" spans="1:17" ht="12.75" customHeight="1" x14ac:dyDescent="0.25">
      <c r="A1" s="264" t="s">
        <v>108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2" t="str">
        <f>'Salary Record'!J1</f>
        <v>June</v>
      </c>
      <c r="O1" s="262"/>
      <c r="P1" s="262">
        <f>'Salary Record'!K1</f>
        <v>2019</v>
      </c>
      <c r="Q1" s="50"/>
    </row>
    <row r="2" spans="1:17" ht="15.6" customHeight="1" x14ac:dyDescent="0.25">
      <c r="A2" s="266"/>
      <c r="B2" s="267"/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3"/>
      <c r="O2" s="263"/>
      <c r="P2" s="263"/>
      <c r="Q2" s="51"/>
    </row>
    <row r="3" spans="1:17" ht="39.75" customHeight="1" x14ac:dyDescent="0.25">
      <c r="A3" s="7"/>
      <c r="B3" s="8"/>
      <c r="C3" s="8"/>
      <c r="D3" s="8"/>
      <c r="E3" s="49" t="s">
        <v>40</v>
      </c>
      <c r="F3" s="53" t="s">
        <v>52</v>
      </c>
      <c r="G3" s="49" t="s">
        <v>53</v>
      </c>
      <c r="H3" s="49" t="s">
        <v>36</v>
      </c>
      <c r="I3" s="49" t="s">
        <v>37</v>
      </c>
      <c r="J3" s="49" t="s">
        <v>38</v>
      </c>
      <c r="K3" s="49" t="s">
        <v>39</v>
      </c>
      <c r="L3" s="49" t="s">
        <v>25</v>
      </c>
      <c r="M3" s="49" t="s">
        <v>29</v>
      </c>
      <c r="N3" s="49" t="s">
        <v>28</v>
      </c>
      <c r="O3" s="52" t="s">
        <v>30</v>
      </c>
      <c r="P3" s="49" t="s">
        <v>31</v>
      </c>
      <c r="Q3" s="49" t="s">
        <v>79</v>
      </c>
    </row>
    <row r="4" spans="1:17" ht="14.4" x14ac:dyDescent="0.3">
      <c r="A4" s="31">
        <v>1</v>
      </c>
      <c r="B4" s="255" t="s">
        <v>10</v>
      </c>
      <c r="C4" s="32"/>
      <c r="D4" s="130">
        <f>E4</f>
        <v>50000</v>
      </c>
      <c r="E4" s="33">
        <v>50000</v>
      </c>
      <c r="F4" s="34"/>
      <c r="G4" s="33"/>
      <c r="H4" s="33"/>
      <c r="I4" s="33"/>
      <c r="J4" s="33"/>
      <c r="K4" s="33"/>
      <c r="L4" s="35"/>
      <c r="M4" s="35"/>
      <c r="N4" s="36"/>
      <c r="O4" s="35"/>
      <c r="P4" s="36"/>
      <c r="Q4" s="43">
        <v>50000</v>
      </c>
    </row>
    <row r="5" spans="1:17" ht="14.4" x14ac:dyDescent="0.3">
      <c r="A5" s="37">
        <v>2</v>
      </c>
      <c r="B5" s="255" t="s">
        <v>3</v>
      </c>
      <c r="C5" s="38"/>
      <c r="D5" s="131">
        <f>E5</f>
        <v>50000</v>
      </c>
      <c r="E5" s="39">
        <v>50000</v>
      </c>
      <c r="F5" s="39"/>
      <c r="G5" s="39"/>
      <c r="H5" s="39"/>
      <c r="I5" s="39"/>
      <c r="J5" s="39"/>
      <c r="K5" s="39"/>
      <c r="L5" s="24"/>
      <c r="M5" s="24"/>
      <c r="N5" s="128"/>
      <c r="O5" s="24"/>
      <c r="P5" s="128"/>
      <c r="Q5" s="43">
        <f>'Salary Record'!K16</f>
        <v>50000</v>
      </c>
    </row>
    <row r="6" spans="1:17" ht="15.6" x14ac:dyDescent="0.3">
      <c r="A6" s="268" t="s">
        <v>128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  <c r="M6" s="269"/>
      <c r="N6" s="269"/>
      <c r="O6" s="269"/>
      <c r="P6" s="269"/>
      <c r="Q6" s="270"/>
    </row>
    <row r="7" spans="1:17" ht="15" customHeight="1" x14ac:dyDescent="0.3">
      <c r="A7" s="31">
        <v>1</v>
      </c>
      <c r="B7" s="208" t="s">
        <v>27</v>
      </c>
      <c r="C7" s="271" t="s">
        <v>50</v>
      </c>
      <c r="D7" s="274">
        <f>SUM(Q7:Q10)</f>
        <v>30000</v>
      </c>
      <c r="E7" s="24">
        <v>6500</v>
      </c>
      <c r="F7" s="24"/>
      <c r="G7" s="39"/>
      <c r="H7" s="24"/>
      <c r="I7" s="24"/>
      <c r="J7" s="24"/>
      <c r="K7" s="24"/>
      <c r="L7" s="35"/>
      <c r="M7" s="35"/>
      <c r="N7" s="36"/>
      <c r="O7" s="35"/>
      <c r="P7" s="36"/>
      <c r="Q7" s="248">
        <f>'Salary Record'!K80</f>
        <v>10000</v>
      </c>
    </row>
    <row r="8" spans="1:17" ht="14.4" x14ac:dyDescent="0.3">
      <c r="A8" s="37">
        <v>2</v>
      </c>
      <c r="B8" s="208" t="str">
        <f>'Salary Record'!C121</f>
        <v>Saeed Lala</v>
      </c>
      <c r="C8" s="272"/>
      <c r="D8" s="275"/>
      <c r="E8" s="24">
        <f>'Salary Record'!K120</f>
        <v>20000</v>
      </c>
      <c r="F8" s="24">
        <f>'Salary Record'!C126</f>
        <v>0</v>
      </c>
      <c r="G8" s="39">
        <f>'Salary Record'!C127</f>
        <v>0</v>
      </c>
      <c r="H8" s="24">
        <f>'Salary Record'!I125</f>
        <v>0</v>
      </c>
      <c r="I8" s="24">
        <f>'Salary Record'!I124</f>
        <v>31</v>
      </c>
      <c r="J8" s="33">
        <f>'Salary Record'!K125</f>
        <v>0</v>
      </c>
      <c r="K8" s="33">
        <f>'Salary Record'!K126</f>
        <v>20666.666666666664</v>
      </c>
      <c r="L8" s="15" t="str">
        <f>'Salary Record'!G124</f>
        <v/>
      </c>
      <c r="M8" s="35">
        <f>'Salary Record'!G125</f>
        <v>0</v>
      </c>
      <c r="N8" s="36" t="str">
        <f>'Salary Record'!G126</f>
        <v/>
      </c>
      <c r="O8" s="35">
        <f>'Salary Record'!G127</f>
        <v>0</v>
      </c>
      <c r="P8" s="36" t="str">
        <f>'Salary Record'!G128</f>
        <v/>
      </c>
      <c r="Q8" s="248">
        <f>'Salary Record'!K128</f>
        <v>0</v>
      </c>
    </row>
    <row r="9" spans="1:17" ht="14.4" x14ac:dyDescent="0.3">
      <c r="A9" s="31">
        <v>3</v>
      </c>
      <c r="B9" s="208" t="s">
        <v>41</v>
      </c>
      <c r="C9" s="272"/>
      <c r="D9" s="275"/>
      <c r="E9" s="24">
        <v>4000</v>
      </c>
      <c r="F9" s="24"/>
      <c r="G9" s="39"/>
      <c r="H9" s="24"/>
      <c r="I9" s="24"/>
      <c r="J9" s="24"/>
      <c r="K9" s="24"/>
      <c r="L9" s="35"/>
      <c r="M9" s="35"/>
      <c r="N9" s="36"/>
      <c r="O9" s="35"/>
      <c r="P9" s="36"/>
      <c r="Q9" s="248">
        <f>'Salary Record'!K96</f>
        <v>10000</v>
      </c>
    </row>
    <row r="10" spans="1:17" ht="14.4" x14ac:dyDescent="0.3">
      <c r="A10" s="37">
        <v>4</v>
      </c>
      <c r="B10" s="208" t="s">
        <v>8</v>
      </c>
      <c r="C10" s="273"/>
      <c r="D10" s="276"/>
      <c r="E10" s="24">
        <v>9000</v>
      </c>
      <c r="F10" s="24"/>
      <c r="G10" s="39"/>
      <c r="H10" s="24"/>
      <c r="I10" s="24"/>
      <c r="J10" s="24"/>
      <c r="K10" s="24"/>
      <c r="L10" s="35"/>
      <c r="M10" s="35"/>
      <c r="N10" s="36"/>
      <c r="O10" s="35"/>
      <c r="P10" s="36"/>
      <c r="Q10" s="248">
        <f>'Salary Record'!K112</f>
        <v>10000</v>
      </c>
    </row>
    <row r="11" spans="1:17" ht="14.4" x14ac:dyDescent="0.3">
      <c r="A11" s="277" t="s">
        <v>2</v>
      </c>
      <c r="B11" s="278"/>
      <c r="C11" s="278"/>
      <c r="D11" s="278"/>
      <c r="E11" s="278"/>
      <c r="F11" s="278"/>
      <c r="G11" s="278"/>
      <c r="H11" s="278"/>
      <c r="I11" s="278"/>
      <c r="J11" s="278"/>
      <c r="K11" s="278"/>
      <c r="L11" s="278"/>
      <c r="M11" s="278"/>
      <c r="N11" s="278"/>
      <c r="O11" s="278"/>
      <c r="P11" s="279"/>
      <c r="Q11" s="192">
        <f>SUM(Q7:Q10)</f>
        <v>30000</v>
      </c>
    </row>
    <row r="12" spans="1:17" ht="15.6" x14ac:dyDescent="0.3">
      <c r="A12" s="268" t="s">
        <v>129</v>
      </c>
      <c r="B12" s="269"/>
      <c r="C12" s="269"/>
      <c r="D12" s="269"/>
      <c r="E12" s="269"/>
      <c r="F12" s="269"/>
      <c r="G12" s="269"/>
      <c r="H12" s="269"/>
      <c r="I12" s="269"/>
      <c r="J12" s="269"/>
      <c r="K12" s="269"/>
      <c r="L12" s="269"/>
      <c r="M12" s="269"/>
      <c r="N12" s="269"/>
      <c r="O12" s="269"/>
      <c r="P12" s="269"/>
      <c r="Q12" s="270"/>
    </row>
    <row r="13" spans="1:17" ht="14.4" x14ac:dyDescent="0.3">
      <c r="A13" s="37">
        <v>1</v>
      </c>
      <c r="B13" s="255" t="s">
        <v>16</v>
      </c>
      <c r="C13" s="165"/>
      <c r="D13" s="161"/>
      <c r="E13" s="40">
        <f>'Salary Record'!K200</f>
        <v>29000</v>
      </c>
      <c r="F13" s="24">
        <f>'Salary Record'!C206</f>
        <v>29</v>
      </c>
      <c r="G13" s="39">
        <f>'Salary Record'!C207</f>
        <v>1</v>
      </c>
      <c r="H13" s="24">
        <f>'Salary Record'!I205</f>
        <v>0</v>
      </c>
      <c r="I13" s="24">
        <f>'Salary Record'!I204</f>
        <v>30</v>
      </c>
      <c r="J13" s="33">
        <f>'Salary Record'!K205</f>
        <v>0</v>
      </c>
      <c r="K13" s="24">
        <f>'Salary Record'!K206</f>
        <v>29000</v>
      </c>
      <c r="L13" s="15">
        <f>'Salary Record'!G204</f>
        <v>5000</v>
      </c>
      <c r="M13" s="15">
        <f>'Salary Record'!G205</f>
        <v>0</v>
      </c>
      <c r="N13" s="15">
        <f>'Salary Record'!G206</f>
        <v>5000</v>
      </c>
      <c r="O13" s="15">
        <f>'Salary Record'!G207</f>
        <v>1000</v>
      </c>
      <c r="P13" s="15">
        <f>'Salary Record'!G208</f>
        <v>4000</v>
      </c>
      <c r="Q13" s="225">
        <f>'Salary Record'!K208</f>
        <v>28000</v>
      </c>
    </row>
    <row r="14" spans="1:17" ht="15" customHeight="1" x14ac:dyDescent="0.3">
      <c r="A14" s="31">
        <v>2</v>
      </c>
      <c r="B14" s="255" t="s">
        <v>26</v>
      </c>
      <c r="C14" s="164" t="s">
        <v>48</v>
      </c>
      <c r="D14" s="159">
        <f>SUM(Q14:Q55)</f>
        <v>1390852.8333333335</v>
      </c>
      <c r="E14" s="24">
        <f>'Salary Record'!K40</f>
        <v>35000</v>
      </c>
      <c r="F14" s="24">
        <f>'Salary Record'!C46</f>
        <v>0</v>
      </c>
      <c r="G14" s="24">
        <f>'Salary Record'!C47</f>
        <v>0</v>
      </c>
      <c r="H14" s="33">
        <f>'Salary Record'!I45</f>
        <v>0</v>
      </c>
      <c r="I14" s="24">
        <f>'Salary Record'!I44</f>
        <v>30</v>
      </c>
      <c r="J14" s="33">
        <f>'Salary Record'!K45</f>
        <v>0</v>
      </c>
      <c r="K14" s="24">
        <f>'Salary Record'!K46</f>
        <v>35000</v>
      </c>
      <c r="L14" s="15">
        <f>'Salary Record'!U40</f>
        <v>0</v>
      </c>
      <c r="M14" s="35">
        <f>'Salary Record'!V40</f>
        <v>0</v>
      </c>
      <c r="N14" s="36">
        <f>'Salary Record'!W40</f>
        <v>0</v>
      </c>
      <c r="O14" s="36">
        <f>'Salary Record'!X40</f>
        <v>0</v>
      </c>
      <c r="P14" s="36">
        <f>'Salary Record'!Y40</f>
        <v>0</v>
      </c>
      <c r="Q14" s="225">
        <f>'Salary Record'!K48</f>
        <v>35000</v>
      </c>
    </row>
    <row r="15" spans="1:17" ht="14.4" x14ac:dyDescent="0.3">
      <c r="A15" s="37">
        <v>3</v>
      </c>
      <c r="B15" s="255" t="str">
        <f>'Salary Record'!C393</f>
        <v>Bilal</v>
      </c>
      <c r="C15" s="153"/>
      <c r="D15" s="149"/>
      <c r="E15" s="39">
        <f>'Salary Record'!K392</f>
        <v>15500</v>
      </c>
      <c r="F15" s="39">
        <f>'Salary Record'!C398</f>
        <v>29</v>
      </c>
      <c r="G15" s="39">
        <f>'Salary Record'!C399</f>
        <v>1</v>
      </c>
      <c r="H15" s="39">
        <f>'Salary Record'!I397</f>
        <v>0</v>
      </c>
      <c r="I15" s="39">
        <f>'Salary Record'!I396</f>
        <v>30</v>
      </c>
      <c r="J15" s="116">
        <f>'Salary Record'!K397</f>
        <v>0</v>
      </c>
      <c r="K15" s="116">
        <f>'Salary Record'!K398</f>
        <v>15499.999999999998</v>
      </c>
      <c r="L15" s="117">
        <f>'Salary Record'!G396</f>
        <v>0</v>
      </c>
      <c r="M15" s="138">
        <f>'Salary Record'!G397</f>
        <v>2000</v>
      </c>
      <c r="N15" s="139">
        <f>'Salary Record'!G398</f>
        <v>2000</v>
      </c>
      <c r="O15" s="138">
        <f>'Salary Record'!G399</f>
        <v>2000</v>
      </c>
      <c r="P15" s="139">
        <f>'Salary Record'!G400</f>
        <v>0</v>
      </c>
      <c r="Q15" s="227">
        <f>'Salary Record'!K400</f>
        <v>13499.999999999998</v>
      </c>
    </row>
    <row r="16" spans="1:17" ht="14.4" x14ac:dyDescent="0.3">
      <c r="A16" s="31">
        <v>4</v>
      </c>
      <c r="B16" s="255" t="str">
        <f>'Salary Record'!C57</f>
        <v>Faisal Masih</v>
      </c>
      <c r="C16" s="166"/>
      <c r="D16" s="162"/>
      <c r="E16" s="24">
        <f>'Salary Record'!K56</f>
        <v>6000</v>
      </c>
      <c r="F16" s="24">
        <f>'Salary Record'!C62</f>
        <v>0</v>
      </c>
      <c r="G16" s="39">
        <f>'Salary Record'!C63</f>
        <v>0</v>
      </c>
      <c r="H16" s="24"/>
      <c r="I16" s="24">
        <f>'Salary Record'!I60</f>
        <v>27</v>
      </c>
      <c r="J16" s="24"/>
      <c r="K16" s="24">
        <f>'Salary Record'!K62</f>
        <v>5400</v>
      </c>
      <c r="L16" s="35">
        <f>'Salary Record'!G60</f>
        <v>9800</v>
      </c>
      <c r="M16" s="35">
        <f>'Salary Record'!G61</f>
        <v>0</v>
      </c>
      <c r="N16" s="36">
        <f>'Salary Record'!G62</f>
        <v>9800</v>
      </c>
      <c r="O16" s="35">
        <f>'Salary Record'!G63</f>
        <v>1000</v>
      </c>
      <c r="P16" s="36">
        <f>'Salary Record'!G64</f>
        <v>8800</v>
      </c>
      <c r="Q16" s="225">
        <f>'Salary Record'!K64</f>
        <v>4400</v>
      </c>
    </row>
    <row r="17" spans="1:20" ht="14.4" x14ac:dyDescent="0.3">
      <c r="A17" s="37">
        <v>5</v>
      </c>
      <c r="B17" s="258" t="str">
        <f>'Salary Record'!C217</f>
        <v>Bakhti</v>
      </c>
      <c r="C17" s="165"/>
      <c r="D17" s="161"/>
      <c r="E17" s="24">
        <f>'Salary Record'!K216</f>
        <v>14500</v>
      </c>
      <c r="F17" s="11">
        <f>'Salary Record'!C222</f>
        <v>0</v>
      </c>
      <c r="G17" s="12">
        <f>'Salary Record'!C223</f>
        <v>0</v>
      </c>
      <c r="H17" s="11">
        <f>'Salary Record'!I221</f>
        <v>0</v>
      </c>
      <c r="I17" s="11">
        <f>'Salary Record'!I220</f>
        <v>30</v>
      </c>
      <c r="J17" s="21">
        <f>'Salary Record'!K221</f>
        <v>0</v>
      </c>
      <c r="K17" s="21">
        <f>'Salary Record'!K222</f>
        <v>14500</v>
      </c>
      <c r="L17" s="22">
        <f>'Salary Record'!G220</f>
        <v>0</v>
      </c>
      <c r="M17" s="22">
        <f>'Salary Record'!G221</f>
        <v>14000</v>
      </c>
      <c r="N17" s="23">
        <f>'Salary Record'!G222</f>
        <v>14000</v>
      </c>
      <c r="O17" s="22">
        <f>'Salary Record'!G223</f>
        <v>4000</v>
      </c>
      <c r="P17" s="23">
        <f>'Salary Record'!G224</f>
        <v>10000</v>
      </c>
      <c r="Q17" s="224">
        <f>'Salary Record'!K224</f>
        <v>10500</v>
      </c>
    </row>
    <row r="18" spans="1:20" ht="14.4" x14ac:dyDescent="0.3">
      <c r="A18" s="277" t="s">
        <v>2</v>
      </c>
      <c r="B18" s="278"/>
      <c r="C18" s="278"/>
      <c r="D18" s="278"/>
      <c r="E18" s="278"/>
      <c r="F18" s="278"/>
      <c r="G18" s="278"/>
      <c r="H18" s="278"/>
      <c r="I18" s="278"/>
      <c r="J18" s="278"/>
      <c r="K18" s="278"/>
      <c r="L18" s="278"/>
      <c r="M18" s="278"/>
      <c r="N18" s="278"/>
      <c r="O18" s="278"/>
      <c r="P18" s="279"/>
      <c r="Q18" s="157">
        <f>SUM(Q13:Q17)</f>
        <v>91400</v>
      </c>
    </row>
    <row r="19" spans="1:20" ht="15.6" x14ac:dyDescent="0.3">
      <c r="A19" s="268" t="s">
        <v>149</v>
      </c>
      <c r="B19" s="269"/>
      <c r="C19" s="269"/>
      <c r="D19" s="269"/>
      <c r="E19" s="269"/>
      <c r="F19" s="269"/>
      <c r="G19" s="269"/>
      <c r="H19" s="269"/>
      <c r="I19" s="269"/>
      <c r="J19" s="269"/>
      <c r="K19" s="269"/>
      <c r="L19" s="269"/>
      <c r="M19" s="269"/>
      <c r="N19" s="269"/>
      <c r="O19" s="269"/>
      <c r="P19" s="269"/>
      <c r="Q19" s="270"/>
    </row>
    <row r="20" spans="1:20" ht="15.6" x14ac:dyDescent="0.3">
      <c r="A20" s="31">
        <v>1</v>
      </c>
      <c r="B20" s="257" t="str">
        <f>'Salary Record'!C1081</f>
        <v>Abdul Rafay</v>
      </c>
      <c r="C20" s="158"/>
      <c r="D20" s="136"/>
      <c r="E20" s="15">
        <f>'Salary Record'!K1080</f>
        <v>35000</v>
      </c>
      <c r="F20" s="15">
        <f>'Salary Record'!C1086</f>
        <v>30</v>
      </c>
      <c r="G20" s="41">
        <f>'Salary Record'!C1087</f>
        <v>0</v>
      </c>
      <c r="H20" s="176">
        <f>'Salary Record'!I1085</f>
        <v>95</v>
      </c>
      <c r="I20" s="15">
        <f>'Salary Record'!I1084</f>
        <v>30</v>
      </c>
      <c r="J20" s="33">
        <f>'Salary Record'!K1085</f>
        <v>13854.166666666668</v>
      </c>
      <c r="K20" s="33">
        <f>'Salary Record'!K1086</f>
        <v>48854.166666666672</v>
      </c>
      <c r="L20" s="15">
        <f>'Salary Record'!G1084</f>
        <v>0</v>
      </c>
      <c r="M20" s="15">
        <f>'Salary Record'!G1085</f>
        <v>262</v>
      </c>
      <c r="N20" s="36">
        <f>'Salary Record'!G1086</f>
        <v>262</v>
      </c>
      <c r="O20" s="15">
        <f>'Salary Record'!G1087</f>
        <v>262</v>
      </c>
      <c r="P20" s="36">
        <f>'Salary Record'!G1088</f>
        <v>0</v>
      </c>
      <c r="Q20" s="250">
        <f>'Salary Record'!K1088</f>
        <v>48592.166666666672</v>
      </c>
    </row>
    <row r="21" spans="1:20" ht="15.6" x14ac:dyDescent="0.3">
      <c r="A21" s="31">
        <v>2</v>
      </c>
      <c r="B21" s="257" t="str">
        <f>'Salary Record'!C489</f>
        <v>Shahid</v>
      </c>
      <c r="C21" s="160"/>
      <c r="D21" s="163"/>
      <c r="E21" s="15">
        <f>'Salary Record'!K488</f>
        <v>18000</v>
      </c>
      <c r="F21" s="15">
        <f>'Salary Record'!C494</f>
        <v>20</v>
      </c>
      <c r="G21" s="41">
        <f>'Salary Record'!C495</f>
        <v>10</v>
      </c>
      <c r="H21" s="176">
        <f>'Salary Record'!I493</f>
        <v>42</v>
      </c>
      <c r="I21" s="15">
        <f>'Salary Record'!I492</f>
        <v>20</v>
      </c>
      <c r="J21" s="33">
        <f>'Salary Record'!K493</f>
        <v>3150</v>
      </c>
      <c r="K21" s="24">
        <f>'Salary Record'!K494</f>
        <v>15150</v>
      </c>
      <c r="L21" s="15" t="str">
        <f>'Salary Record'!G492</f>
        <v/>
      </c>
      <c r="M21" s="15">
        <f>'Salary Record'!G493</f>
        <v>0</v>
      </c>
      <c r="N21" s="36" t="str">
        <f>'Salary Record'!G494</f>
        <v/>
      </c>
      <c r="O21" s="15">
        <f>'Salary Record'!G495</f>
        <v>0</v>
      </c>
      <c r="P21" s="36" t="str">
        <f>'Salary Record'!G496</f>
        <v/>
      </c>
      <c r="Q21" s="250">
        <f>'Salary Record'!K496</f>
        <v>15150</v>
      </c>
    </row>
    <row r="22" spans="1:20" ht="15.6" x14ac:dyDescent="0.3">
      <c r="A22" s="31">
        <v>3</v>
      </c>
      <c r="B22" s="256" t="str">
        <f>'Salary Record'!C1129</f>
        <v>Shadab</v>
      </c>
      <c r="C22" s="160"/>
      <c r="D22" s="163"/>
      <c r="E22" s="15">
        <f>'Salary Record'!K1128</f>
        <v>25000</v>
      </c>
      <c r="F22" s="15">
        <f>'Salary Record'!C1134</f>
        <v>18</v>
      </c>
      <c r="G22" s="41">
        <f>'Salary Record'!C1135</f>
        <v>12</v>
      </c>
      <c r="H22" s="176">
        <f>'Salary Record'!I1133</f>
        <v>37.5</v>
      </c>
      <c r="I22" s="15">
        <f>'Salary Record'!I1132</f>
        <v>18</v>
      </c>
      <c r="J22" s="33">
        <f>'Salary Record'!K1133</f>
        <v>3906.25</v>
      </c>
      <c r="K22" s="24">
        <f>'Salary Record'!K1134</f>
        <v>18906.25</v>
      </c>
      <c r="L22" s="15">
        <f>'Salary Record'!G1132</f>
        <v>0</v>
      </c>
      <c r="M22" s="15">
        <f>'Salary Record'!G1133</f>
        <v>0</v>
      </c>
      <c r="N22" s="36">
        <f>'Salary Record'!G1134</f>
        <v>0</v>
      </c>
      <c r="O22" s="15">
        <f>'Salary Record'!G1135</f>
        <v>0</v>
      </c>
      <c r="P22" s="36">
        <f>'Salary Record'!G1136</f>
        <v>0</v>
      </c>
      <c r="Q22" s="250">
        <f>'Salary Record'!K1136</f>
        <v>18906.25</v>
      </c>
    </row>
    <row r="23" spans="1:20" ht="14.4" x14ac:dyDescent="0.3">
      <c r="A23" s="31">
        <v>4</v>
      </c>
      <c r="B23" s="255" t="s">
        <v>24</v>
      </c>
      <c r="C23" s="188" t="s">
        <v>47</v>
      </c>
      <c r="D23" s="190">
        <f>SUM(Q23:Q79)</f>
        <v>1638465.7541666667</v>
      </c>
      <c r="E23" s="35">
        <f>'Salary Record'!K904</f>
        <v>18000</v>
      </c>
      <c r="F23" s="35">
        <f>'Salary Record'!C910</f>
        <v>29</v>
      </c>
      <c r="G23" s="44">
        <f>'Salary Record'!C911</f>
        <v>1</v>
      </c>
      <c r="H23" s="35">
        <f>'Salary Record'!I909</f>
        <v>73.5</v>
      </c>
      <c r="I23" s="35">
        <f>'Salary Record'!I908</f>
        <v>30</v>
      </c>
      <c r="J23" s="33">
        <f>'Salary Record'!K909</f>
        <v>5512.5</v>
      </c>
      <c r="K23" s="33">
        <f>'Salary Record'!K910</f>
        <v>23512.5</v>
      </c>
      <c r="L23" s="15">
        <f>'Salary Record'!G908</f>
        <v>0</v>
      </c>
      <c r="M23" s="35">
        <f>'Salary Record'!G909</f>
        <v>0</v>
      </c>
      <c r="N23" s="36">
        <f>'Salary Record'!G910</f>
        <v>0</v>
      </c>
      <c r="O23" s="35">
        <f>'Salary Record'!G911</f>
        <v>0</v>
      </c>
      <c r="P23" s="36">
        <f>'Salary Record'!G912</f>
        <v>0</v>
      </c>
      <c r="Q23" s="250">
        <f>'Salary Record'!K912</f>
        <v>23512.5</v>
      </c>
    </row>
    <row r="24" spans="1:20" ht="14.4" x14ac:dyDescent="0.3">
      <c r="A24" s="31">
        <v>5</v>
      </c>
      <c r="B24" s="255" t="s">
        <v>42</v>
      </c>
      <c r="C24" s="160"/>
      <c r="D24" s="163"/>
      <c r="E24" s="42">
        <f>'Salary Record'!K984</f>
        <v>21000</v>
      </c>
      <c r="F24" s="42">
        <f>'Salary Record'!C990</f>
        <v>29</v>
      </c>
      <c r="G24" s="33">
        <f>'Salary Record'!C991</f>
        <v>1</v>
      </c>
      <c r="H24" s="42">
        <f>'Salary Record'!I989</f>
        <v>70</v>
      </c>
      <c r="I24" s="42">
        <f>'Salary Record'!I988</f>
        <v>29</v>
      </c>
      <c r="J24" s="33">
        <f>'Salary Record'!K989</f>
        <v>6125</v>
      </c>
      <c r="K24" s="33">
        <f>'Salary Record'!K990</f>
        <v>26425</v>
      </c>
      <c r="L24" s="15">
        <f>'Salary Record'!G988</f>
        <v>96500</v>
      </c>
      <c r="M24" s="35">
        <f>'Salary Record'!G989</f>
        <v>80</v>
      </c>
      <c r="N24" s="36">
        <f>'Salary Record'!G990</f>
        <v>96580</v>
      </c>
      <c r="O24" s="35">
        <f>'Salary Record'!G991</f>
        <v>5080</v>
      </c>
      <c r="P24" s="36">
        <f>'Salary Record'!G992</f>
        <v>91500</v>
      </c>
      <c r="Q24" s="250">
        <f>'Salary Record'!K992</f>
        <v>21345</v>
      </c>
    </row>
    <row r="25" spans="1:20" ht="15.6" x14ac:dyDescent="0.3">
      <c r="A25" s="31">
        <v>6</v>
      </c>
      <c r="B25" s="255" t="str">
        <f>'Salary Record'!C1145</f>
        <v>Murtaza</v>
      </c>
      <c r="C25" s="170"/>
      <c r="D25" s="173"/>
      <c r="E25" s="42">
        <f>'Salary Record'!K1144</f>
        <v>20000</v>
      </c>
      <c r="F25" s="42">
        <f>'Salary Record'!C1150</f>
        <v>13</v>
      </c>
      <c r="G25" s="33">
        <f>'Salary Record'!C1151</f>
        <v>17</v>
      </c>
      <c r="H25" s="226">
        <f>'Salary Record'!I1149</f>
        <v>70</v>
      </c>
      <c r="I25" s="42">
        <f>'Salary Record'!I1148</f>
        <v>13</v>
      </c>
      <c r="J25" s="33">
        <f>'Salary Record'!K1149</f>
        <v>5833.333333333333</v>
      </c>
      <c r="K25" s="33">
        <f>'Salary Record'!K1150</f>
        <v>14500</v>
      </c>
      <c r="L25" s="15">
        <f>'Salary Record'!G1148</f>
        <v>0</v>
      </c>
      <c r="M25" s="35">
        <f>'Salary Record'!G1149</f>
        <v>0</v>
      </c>
      <c r="N25" s="36">
        <f>'Salary Record'!G1150</f>
        <v>0</v>
      </c>
      <c r="O25" s="35">
        <f>'Salary Record'!G1151</f>
        <v>0</v>
      </c>
      <c r="P25" s="36">
        <f>'Salary Record'!G1152</f>
        <v>0</v>
      </c>
      <c r="Q25" s="250">
        <f>'Salary Record'!K1152</f>
        <v>14500</v>
      </c>
    </row>
    <row r="26" spans="1:20" ht="14.4" x14ac:dyDescent="0.3">
      <c r="A26" s="31">
        <v>7</v>
      </c>
      <c r="B26" s="255" t="str">
        <f>'Salary Record'!C697</f>
        <v>Sheikh Suleman</v>
      </c>
      <c r="C26" s="158"/>
      <c r="D26" s="136"/>
      <c r="E26" s="46">
        <f>'Salary Record'!K696</f>
        <v>16000</v>
      </c>
      <c r="F26" s="46">
        <f>'Salary Record'!C702</f>
        <v>26</v>
      </c>
      <c r="G26" s="39">
        <f>'Salary Record'!C703</f>
        <v>4</v>
      </c>
      <c r="H26" s="46">
        <f>'Salary Record'!I701</f>
        <v>85</v>
      </c>
      <c r="I26" s="46">
        <f>'Salary Record'!I700</f>
        <v>26</v>
      </c>
      <c r="J26" s="33">
        <f>'Salary Record'!K701</f>
        <v>5666.666666666667</v>
      </c>
      <c r="K26" s="33">
        <f>'Salary Record'!K702</f>
        <v>19533.333333333336</v>
      </c>
      <c r="L26" s="15">
        <f>'Salary Record'!G700</f>
        <v>0</v>
      </c>
      <c r="M26" s="35">
        <f>'Salary Record'!G701</f>
        <v>0</v>
      </c>
      <c r="N26" s="36" t="str">
        <f>'Salary Record'!G702</f>
        <v/>
      </c>
      <c r="O26" s="35">
        <f>'Salary Record'!G703</f>
        <v>0</v>
      </c>
      <c r="P26" s="36" t="str">
        <f>'Salary Record'!G704</f>
        <v/>
      </c>
      <c r="Q26" s="250">
        <f>'Salary Record'!K704</f>
        <v>19533.333333333336</v>
      </c>
    </row>
    <row r="27" spans="1:20" ht="15.6" x14ac:dyDescent="0.3">
      <c r="A27" s="31">
        <v>8</v>
      </c>
      <c r="B27" s="255" t="str">
        <f>'Salary Record'!C969</f>
        <v>Kamran Sultani</v>
      </c>
      <c r="C27" s="182"/>
      <c r="D27" s="179"/>
      <c r="E27" s="24">
        <f>'Salary Record'!K968</f>
        <v>15000</v>
      </c>
      <c r="F27" s="24">
        <f>'Salary Record'!C974</f>
        <v>22</v>
      </c>
      <c r="G27" s="39">
        <f>'Salary Record'!C975</f>
        <v>8</v>
      </c>
      <c r="H27" s="145">
        <f>'Salary Record'!I973</f>
        <v>19</v>
      </c>
      <c r="I27" s="24">
        <f>'Salary Record'!I972</f>
        <v>22</v>
      </c>
      <c r="J27" s="33">
        <f>'Salary Record'!K973</f>
        <v>1187.5</v>
      </c>
      <c r="K27" s="33">
        <f>'Salary Record'!K974</f>
        <v>12187.5</v>
      </c>
      <c r="L27" s="15">
        <f>'Salary Record'!G972</f>
        <v>0</v>
      </c>
      <c r="M27" s="35">
        <f>'Salary Record'!G973</f>
        <v>0</v>
      </c>
      <c r="N27" s="36">
        <f>'Salary Record'!G974</f>
        <v>0</v>
      </c>
      <c r="O27" s="35">
        <f>'Salary Record'!G975</f>
        <v>0</v>
      </c>
      <c r="P27" s="36">
        <f>'Salary Record'!G976</f>
        <v>0</v>
      </c>
      <c r="Q27" s="250">
        <f>'Salary Record'!K976</f>
        <v>12187.5</v>
      </c>
    </row>
    <row r="28" spans="1:20" ht="14.4" x14ac:dyDescent="0.3">
      <c r="A28" s="277" t="s">
        <v>2</v>
      </c>
      <c r="B28" s="278"/>
      <c r="C28" s="278"/>
      <c r="D28" s="278"/>
      <c r="E28" s="278"/>
      <c r="F28" s="278"/>
      <c r="G28" s="278"/>
      <c r="H28" s="278"/>
      <c r="I28" s="278"/>
      <c r="J28" s="278"/>
      <c r="K28" s="278"/>
      <c r="L28" s="278"/>
      <c r="M28" s="278"/>
      <c r="N28" s="278"/>
      <c r="O28" s="278"/>
      <c r="P28" s="279"/>
      <c r="Q28" s="157">
        <f>SUM(Q20:Q27)</f>
        <v>173726.75000000003</v>
      </c>
      <c r="R28" s="13"/>
      <c r="T28" s="13"/>
    </row>
    <row r="29" spans="1:20" ht="15.6" x14ac:dyDescent="0.3">
      <c r="A29" s="268" t="s">
        <v>146</v>
      </c>
      <c r="B29" s="269"/>
      <c r="C29" s="269"/>
      <c r="D29" s="269"/>
      <c r="E29" s="269"/>
      <c r="F29" s="269"/>
      <c r="G29" s="269"/>
      <c r="H29" s="269"/>
      <c r="I29" s="269"/>
      <c r="J29" s="269"/>
      <c r="K29" s="269"/>
      <c r="L29" s="269"/>
      <c r="M29" s="269"/>
      <c r="N29" s="269"/>
      <c r="O29" s="269"/>
      <c r="P29" s="269"/>
      <c r="Q29" s="270"/>
    </row>
    <row r="30" spans="1:20" ht="14.4" x14ac:dyDescent="0.3">
      <c r="A30" s="31">
        <v>1</v>
      </c>
      <c r="B30" s="257" t="str">
        <f>'Salary Record'!C1354</f>
        <v>Khalid Mansoor</v>
      </c>
      <c r="C30" s="160"/>
      <c r="D30" s="163"/>
      <c r="E30" s="15">
        <f>'Salary Record'!K1353</f>
        <v>25000</v>
      </c>
      <c r="F30" s="15">
        <f>'Salary Record'!C1359</f>
        <v>30</v>
      </c>
      <c r="G30" s="41">
        <f>'Salary Record'!C1360</f>
        <v>0</v>
      </c>
      <c r="H30" s="15">
        <f>'Salary Record'!I1358</f>
        <v>134</v>
      </c>
      <c r="I30" s="15">
        <f>'Salary Record'!I1357</f>
        <v>30</v>
      </c>
      <c r="J30" s="33">
        <f>'Salary Record'!K1358</f>
        <v>13958.333333333334</v>
      </c>
      <c r="K30" s="24">
        <f>'Salary Record'!K1359</f>
        <v>38958.333333333336</v>
      </c>
      <c r="L30" s="15">
        <f>'Salary Record'!G1357</f>
        <v>0</v>
      </c>
      <c r="M30" s="15">
        <f>'Salary Record'!G1358</f>
        <v>150</v>
      </c>
      <c r="N30" s="36">
        <f>'Salary Record'!G1359</f>
        <v>150</v>
      </c>
      <c r="O30" s="15">
        <f>'Salary Record'!G1360</f>
        <v>150</v>
      </c>
      <c r="P30" s="36">
        <f>'Salary Record'!G1361</f>
        <v>0</v>
      </c>
      <c r="Q30" s="250">
        <f>'Salary Record'!K1361</f>
        <v>38808.333333333336</v>
      </c>
    </row>
    <row r="31" spans="1:20" ht="14.4" x14ac:dyDescent="0.3">
      <c r="A31" s="31">
        <v>2</v>
      </c>
      <c r="B31" s="257" t="str">
        <f>'Salary Record'!C1322</f>
        <v>Rizwan Saeed</v>
      </c>
      <c r="C31" s="158"/>
      <c r="D31" s="136"/>
      <c r="E31" s="15">
        <f>'Salary Record'!K1321</f>
        <v>22000</v>
      </c>
      <c r="F31" s="15">
        <f>'Salary Record'!C1327</f>
        <v>30</v>
      </c>
      <c r="G31" s="41">
        <f>'Salary Record'!C1328</f>
        <v>0</v>
      </c>
      <c r="H31" s="15">
        <f>'Salary Record'!I1326</f>
        <v>110</v>
      </c>
      <c r="I31" s="15">
        <f>'Salary Record'!I1325</f>
        <v>30</v>
      </c>
      <c r="J31" s="33">
        <f>'Salary Record'!K1326</f>
        <v>10083.333333333334</v>
      </c>
      <c r="K31" s="33">
        <f>'Salary Record'!K1327</f>
        <v>32083.333333333336</v>
      </c>
      <c r="L31" s="15">
        <f>'Salary Record'!G1325</f>
        <v>0</v>
      </c>
      <c r="M31" s="15">
        <f>'Salary Record'!G1326</f>
        <v>40</v>
      </c>
      <c r="N31" s="36">
        <f>'Salary Record'!G1327</f>
        <v>40</v>
      </c>
      <c r="O31" s="15">
        <f>'Salary Record'!G1328</f>
        <v>40</v>
      </c>
      <c r="P31" s="36">
        <f>'Salary Record'!G1329</f>
        <v>0</v>
      </c>
      <c r="Q31" s="250">
        <f>'Salary Record'!K1329</f>
        <v>32043.333333333336</v>
      </c>
    </row>
    <row r="32" spans="1:20" ht="15.6" x14ac:dyDescent="0.3">
      <c r="A32" s="31">
        <v>3</v>
      </c>
      <c r="B32" s="255" t="str">
        <f>'Salary Record'!C873</f>
        <v>Ahsan</v>
      </c>
      <c r="C32" s="158"/>
      <c r="D32" s="136"/>
      <c r="E32" s="42">
        <f>'Salary Record'!K872</f>
        <v>17000</v>
      </c>
      <c r="F32" s="42">
        <f>'Salary Record'!C878</f>
        <v>30</v>
      </c>
      <c r="G32" s="33">
        <f>'Salary Record'!C879</f>
        <v>0</v>
      </c>
      <c r="H32" s="226">
        <f>'Salary Record'!I877</f>
        <v>134.12</v>
      </c>
      <c r="I32" s="42">
        <f>'Salary Record'!I876</f>
        <v>30</v>
      </c>
      <c r="J32" s="33">
        <f>'Salary Record'!K877</f>
        <v>9500.1666666666661</v>
      </c>
      <c r="K32" s="24">
        <f>'Salary Record'!K878</f>
        <v>26500.166666666664</v>
      </c>
      <c r="L32" s="15">
        <f>'Salary Record'!G876</f>
        <v>0</v>
      </c>
      <c r="M32" s="35">
        <f>'Salary Record'!G877</f>
        <v>0</v>
      </c>
      <c r="N32" s="36">
        <f>'Salary Record'!G878</f>
        <v>0</v>
      </c>
      <c r="O32" s="35">
        <f>'Salary Record'!G879</f>
        <v>0</v>
      </c>
      <c r="P32" s="36">
        <f>'Salary Record'!G880</f>
        <v>0</v>
      </c>
      <c r="Q32" s="250">
        <f>'Salary Record'!K880</f>
        <v>26500.166666666664</v>
      </c>
    </row>
    <row r="33" spans="1:23" ht="14.4" x14ac:dyDescent="0.3">
      <c r="A33" s="31">
        <v>4</v>
      </c>
      <c r="B33" s="255" t="str">
        <f>'Salary Record'!C1338</f>
        <v>Suleman Dilawar</v>
      </c>
      <c r="C33" s="158"/>
      <c r="D33" s="136"/>
      <c r="E33" s="42">
        <f>'Salary Record'!K1337</f>
        <v>16000</v>
      </c>
      <c r="F33" s="42">
        <f>'Salary Record'!C1343</f>
        <v>29</v>
      </c>
      <c r="G33" s="33">
        <f>'Salary Record'!C1344</f>
        <v>1</v>
      </c>
      <c r="H33" s="42">
        <f>'Salary Record'!I1342</f>
        <v>79.7</v>
      </c>
      <c r="I33" s="42">
        <f>'Salary Record'!I1341</f>
        <v>29</v>
      </c>
      <c r="J33" s="33">
        <f>'Salary Record'!K1342</f>
        <v>5313.3333333333339</v>
      </c>
      <c r="K33" s="24">
        <f>'Salary Record'!K1343</f>
        <v>20780</v>
      </c>
      <c r="L33" s="15">
        <f>'Salary Record'!G1341</f>
        <v>0</v>
      </c>
      <c r="M33" s="35">
        <f>'Salary Record'!G1342</f>
        <v>130</v>
      </c>
      <c r="N33" s="36">
        <f>'Salary Record'!G1343</f>
        <v>130</v>
      </c>
      <c r="O33" s="35">
        <f>'Salary Record'!G1344</f>
        <v>130</v>
      </c>
      <c r="P33" s="36">
        <f>'Salary Record'!G1345</f>
        <v>0</v>
      </c>
      <c r="Q33" s="250">
        <f>'Salary Record'!K1345</f>
        <v>20650</v>
      </c>
    </row>
    <row r="34" spans="1:23" ht="14.4" x14ac:dyDescent="0.3">
      <c r="A34" s="31">
        <v>5</v>
      </c>
      <c r="B34" s="255" t="str">
        <f>'Salary Record'!C793</f>
        <v>Ahsan Razzak</v>
      </c>
      <c r="C34" s="154"/>
      <c r="D34" s="147"/>
      <c r="E34" s="24">
        <f>'Salary Record'!K792</f>
        <v>22000</v>
      </c>
      <c r="F34" s="24">
        <f>'Salary Record'!C798</f>
        <v>30</v>
      </c>
      <c r="G34" s="39">
        <f>'Salary Record'!C799</f>
        <v>0</v>
      </c>
      <c r="H34" s="24">
        <f>'Salary Record'!I797</f>
        <v>130</v>
      </c>
      <c r="I34" s="24">
        <f>'Salary Record'!I796</f>
        <v>30</v>
      </c>
      <c r="J34" s="33">
        <f>'Salary Record'!K797</f>
        <v>11916.666666666668</v>
      </c>
      <c r="K34" s="24">
        <f>'Salary Record'!K798</f>
        <v>33916.666666666672</v>
      </c>
      <c r="L34" s="15">
        <f>'Salary Record'!G796</f>
        <v>0</v>
      </c>
      <c r="M34" s="35">
        <f>'Salary Record'!G797</f>
        <v>65</v>
      </c>
      <c r="N34" s="36">
        <f>'Salary Record'!G798</f>
        <v>65</v>
      </c>
      <c r="O34" s="35">
        <f>'Salary Record'!G799</f>
        <v>0</v>
      </c>
      <c r="P34" s="36">
        <f>'Salary Record'!G800</f>
        <v>65</v>
      </c>
      <c r="Q34" s="250">
        <f>'Salary Record'!K800</f>
        <v>33916.666666666672</v>
      </c>
    </row>
    <row r="35" spans="1:23" ht="15" customHeight="1" x14ac:dyDescent="0.3">
      <c r="A35" s="31">
        <v>8</v>
      </c>
      <c r="B35" s="255" t="str">
        <f>'Salary Record'!C617</f>
        <v>Nouman Shareef</v>
      </c>
      <c r="C35" s="167" t="s">
        <v>121</v>
      </c>
      <c r="D35" s="132">
        <f>SUM(Q27:Q86)</f>
        <v>1773633.7999999998</v>
      </c>
      <c r="E35" s="46">
        <f>'Salary Record'!K616</f>
        <v>16000</v>
      </c>
      <c r="F35" s="46">
        <f>'Salary Record'!C622</f>
        <v>30</v>
      </c>
      <c r="G35" s="39">
        <f>'Salary Record'!C623</f>
        <v>0</v>
      </c>
      <c r="H35" s="46">
        <f>'Salary Record'!I621</f>
        <v>49.87</v>
      </c>
      <c r="I35" s="46">
        <f>'Salary Record'!I620</f>
        <v>30</v>
      </c>
      <c r="J35" s="33">
        <f>'Salary Record'!K621</f>
        <v>3324.6666666666665</v>
      </c>
      <c r="K35" s="33">
        <f>'Salary Record'!K622</f>
        <v>19324.666666666668</v>
      </c>
      <c r="L35" s="15" t="str">
        <f>'Salary Record'!G620</f>
        <v/>
      </c>
      <c r="M35" s="35">
        <f>'Salary Record'!G621</f>
        <v>275</v>
      </c>
      <c r="N35" s="36">
        <f>'Salary Record'!G622</f>
        <v>275</v>
      </c>
      <c r="O35" s="35">
        <f>'Salary Record'!G623</f>
        <v>275</v>
      </c>
      <c r="P35" s="36">
        <f>'Salary Record'!G624</f>
        <v>0</v>
      </c>
      <c r="Q35" s="250">
        <f>'Salary Record'!K624</f>
        <v>19049.666666666668</v>
      </c>
    </row>
    <row r="36" spans="1:23" ht="14.4" x14ac:dyDescent="0.3">
      <c r="A36" s="31">
        <v>9</v>
      </c>
      <c r="B36" s="255" t="str">
        <f>'Salary Record'!C1466</f>
        <v>A. Lateef</v>
      </c>
      <c r="C36" s="154"/>
      <c r="D36" s="147"/>
      <c r="E36" s="24">
        <f>'Salary Record'!K1465</f>
        <v>18000</v>
      </c>
      <c r="F36" s="24">
        <f>'Salary Record'!C1471</f>
        <v>21</v>
      </c>
      <c r="G36" s="39">
        <f>'Salary Record'!C1472</f>
        <v>9</v>
      </c>
      <c r="H36" s="24">
        <f>'Salary Record'!I1470</f>
        <v>54</v>
      </c>
      <c r="I36" s="24">
        <f>'Salary Record'!I1469</f>
        <v>21</v>
      </c>
      <c r="J36" s="33">
        <f>'Salary Record'!K1470</f>
        <v>4050</v>
      </c>
      <c r="K36" s="24">
        <f>'Salary Record'!K1471</f>
        <v>16650</v>
      </c>
      <c r="L36" s="15">
        <f>'Salary Record'!G1469</f>
        <v>0</v>
      </c>
      <c r="M36" s="35">
        <f>'Salary Record'!G1470</f>
        <v>0</v>
      </c>
      <c r="N36" s="36" t="str">
        <f>'Salary Record'!G1471</f>
        <v/>
      </c>
      <c r="O36" s="35">
        <f>'Salary Record'!G1472</f>
        <v>0</v>
      </c>
      <c r="P36" s="36" t="str">
        <f>'Salary Record'!G1473</f>
        <v/>
      </c>
      <c r="Q36" s="250">
        <f>'Salary Record'!K1473</f>
        <v>16650</v>
      </c>
    </row>
    <row r="37" spans="1:23" ht="14.4" x14ac:dyDescent="0.3">
      <c r="A37" s="277" t="s">
        <v>2</v>
      </c>
      <c r="B37" s="278"/>
      <c r="C37" s="278"/>
      <c r="D37" s="278"/>
      <c r="E37" s="278"/>
      <c r="F37" s="278"/>
      <c r="G37" s="278"/>
      <c r="H37" s="278"/>
      <c r="I37" s="278"/>
      <c r="J37" s="278"/>
      <c r="K37" s="278"/>
      <c r="L37" s="278"/>
      <c r="M37" s="278"/>
      <c r="N37" s="278"/>
      <c r="O37" s="278"/>
      <c r="P37" s="279"/>
      <c r="Q37" s="157">
        <f>SUM(Q30:Q36)</f>
        <v>187618.16666666666</v>
      </c>
      <c r="R37" s="13"/>
      <c r="T37" s="13"/>
    </row>
    <row r="38" spans="1:23" ht="15.6" x14ac:dyDescent="0.3">
      <c r="A38" s="268" t="s">
        <v>49</v>
      </c>
      <c r="B38" s="269"/>
      <c r="C38" s="269"/>
      <c r="D38" s="269"/>
      <c r="E38" s="269"/>
      <c r="F38" s="269"/>
      <c r="G38" s="269"/>
      <c r="H38" s="269"/>
      <c r="I38" s="269"/>
      <c r="J38" s="269"/>
      <c r="K38" s="269"/>
      <c r="L38" s="269"/>
      <c r="M38" s="269"/>
      <c r="N38" s="269"/>
      <c r="O38" s="269"/>
      <c r="P38" s="269"/>
      <c r="Q38" s="270"/>
      <c r="R38" s="13"/>
    </row>
    <row r="39" spans="1:23" ht="15" customHeight="1" x14ac:dyDescent="0.3">
      <c r="A39" s="37">
        <v>1</v>
      </c>
      <c r="B39" s="255" t="s">
        <v>5</v>
      </c>
      <c r="C39" s="152"/>
      <c r="D39" s="150"/>
      <c r="E39" s="39">
        <f>'Salary Record'!K520</f>
        <v>43000</v>
      </c>
      <c r="F39" s="39">
        <f>'Salary Record'!C526</f>
        <v>30</v>
      </c>
      <c r="G39" s="39">
        <f>'Salary Record'!C527</f>
        <v>0</v>
      </c>
      <c r="H39" s="39">
        <f>'Salary Record'!I525</f>
        <v>10</v>
      </c>
      <c r="I39" s="39">
        <f>'Salary Record'!I524</f>
        <v>30</v>
      </c>
      <c r="J39" s="33">
        <f>'Salary Record'!K525</f>
        <v>1791.6666666666665</v>
      </c>
      <c r="K39" s="33">
        <f>'Salary Record'!K526</f>
        <v>44791.666666666664</v>
      </c>
      <c r="L39" s="15">
        <f>'Salary Record'!G524</f>
        <v>258000</v>
      </c>
      <c r="M39" s="35">
        <f>'Salary Record'!G525</f>
        <v>300</v>
      </c>
      <c r="N39" s="36">
        <f>'Salary Record'!G526</f>
        <v>258300</v>
      </c>
      <c r="O39" s="35">
        <f>'Salary Record'!G527</f>
        <v>5300</v>
      </c>
      <c r="P39" s="36">
        <f>'Salary Record'!G528</f>
        <v>253000</v>
      </c>
      <c r="Q39" s="250">
        <f>'Salary Record'!K528</f>
        <v>39491.666666666664</v>
      </c>
      <c r="R39" s="13"/>
    </row>
    <row r="40" spans="1:23" ht="15" customHeight="1" x14ac:dyDescent="0.3">
      <c r="A40" s="37">
        <v>2</v>
      </c>
      <c r="B40" s="255" t="s">
        <v>21</v>
      </c>
      <c r="C40" s="151" t="s">
        <v>49</v>
      </c>
      <c r="D40" s="148">
        <f>SUM(Q40:Q72)</f>
        <v>868349.83333333326</v>
      </c>
      <c r="E40" s="33">
        <f>'Salary Record'!K232</f>
        <v>35000</v>
      </c>
      <c r="F40" s="33">
        <f>'Salary Record'!C238</f>
        <v>31</v>
      </c>
      <c r="G40" s="33">
        <f>'Salary Record'!C239</f>
        <v>0</v>
      </c>
      <c r="H40" s="33">
        <f>'Salary Record'!I237</f>
        <v>0</v>
      </c>
      <c r="I40" s="33">
        <f>'Salary Record'!I236</f>
        <v>30</v>
      </c>
      <c r="J40" s="33">
        <f>'Salary Record'!K237</f>
        <v>0</v>
      </c>
      <c r="K40" s="24">
        <f>'Salary Record'!K238</f>
        <v>35000</v>
      </c>
      <c r="L40" s="15">
        <f>'Salary Record'!G236</f>
        <v>0</v>
      </c>
      <c r="M40" s="35">
        <f>'Salary Record'!G237</f>
        <v>0</v>
      </c>
      <c r="N40" s="36" t="str">
        <f>'Salary Record'!G238</f>
        <v/>
      </c>
      <c r="O40" s="35">
        <f>'Salary Record'!G239</f>
        <v>0</v>
      </c>
      <c r="P40" s="36" t="str">
        <f>'Salary Record'!G240</f>
        <v/>
      </c>
      <c r="Q40" s="250">
        <f>'Salary Record'!K240</f>
        <v>35000</v>
      </c>
      <c r="R40" s="13"/>
    </row>
    <row r="41" spans="1:23" ht="14.4" x14ac:dyDescent="0.3">
      <c r="A41" s="37">
        <v>3</v>
      </c>
      <c r="B41" s="255" t="str">
        <f>'Salary Record'!C265</f>
        <v>Amir (JPMC)</v>
      </c>
      <c r="C41" s="153"/>
      <c r="D41" s="149"/>
      <c r="E41" s="24">
        <f>'Salary Record'!K264</f>
        <v>27000</v>
      </c>
      <c r="F41" s="24">
        <f>'Salary Record'!C270</f>
        <v>26</v>
      </c>
      <c r="G41" s="39">
        <f>'Salary Record'!C271</f>
        <v>4</v>
      </c>
      <c r="H41" s="24">
        <f>'Salary Record'!I269</f>
        <v>0</v>
      </c>
      <c r="I41" s="24">
        <f>'Salary Record'!I268</f>
        <v>30</v>
      </c>
      <c r="J41" s="33">
        <f>'Salary Record'!K269</f>
        <v>0</v>
      </c>
      <c r="K41" s="33">
        <f>'Salary Record'!K270</f>
        <v>27000</v>
      </c>
      <c r="L41" s="15">
        <f>'Salary Record'!G268</f>
        <v>5000</v>
      </c>
      <c r="M41" s="15">
        <f>'Salary Record'!G269</f>
        <v>0</v>
      </c>
      <c r="N41" s="36">
        <f>'Salary Record'!G270</f>
        <v>5000</v>
      </c>
      <c r="O41" s="15">
        <f>'Salary Record'!G271</f>
        <v>5000</v>
      </c>
      <c r="P41" s="36">
        <f>'Salary Record'!G272</f>
        <v>0</v>
      </c>
      <c r="Q41" s="250">
        <f>'Salary Record'!K272</f>
        <v>22000</v>
      </c>
    </row>
    <row r="42" spans="1:23" ht="14.4" x14ac:dyDescent="0.3">
      <c r="A42" s="37">
        <v>4</v>
      </c>
      <c r="B42" s="255" t="s">
        <v>33</v>
      </c>
      <c r="C42" s="153"/>
      <c r="D42" s="149"/>
      <c r="E42" s="24">
        <f>'Salary Record'!K280</f>
        <v>22000</v>
      </c>
      <c r="F42" s="24">
        <f>'Salary Record'!C286</f>
        <v>25</v>
      </c>
      <c r="G42" s="39">
        <f>'Salary Record'!C287</f>
        <v>5</v>
      </c>
      <c r="H42" s="24">
        <f>'Salary Record'!I285</f>
        <v>0</v>
      </c>
      <c r="I42" s="24">
        <f>'Salary Record'!I284</f>
        <v>25</v>
      </c>
      <c r="J42" s="33">
        <f>'Salary Record'!K285</f>
        <v>0</v>
      </c>
      <c r="K42" s="24">
        <f>'Salary Record'!K286</f>
        <v>18333.333333333336</v>
      </c>
      <c r="L42" s="15" t="str">
        <f>'Salary Record'!G284</f>
        <v/>
      </c>
      <c r="M42" s="35">
        <f>'Salary Record'!G285</f>
        <v>0</v>
      </c>
      <c r="N42" s="36" t="str">
        <f>'Salary Record'!G286</f>
        <v/>
      </c>
      <c r="O42" s="35">
        <f>'Salary Record'!G287</f>
        <v>0</v>
      </c>
      <c r="P42" s="36" t="str">
        <f>'Salary Record'!G288</f>
        <v/>
      </c>
      <c r="Q42" s="250">
        <f>'Salary Record'!K288</f>
        <v>18333.333333333336</v>
      </c>
      <c r="R42" s="13"/>
    </row>
    <row r="43" spans="1:23" ht="14.4" x14ac:dyDescent="0.3">
      <c r="A43" s="37">
        <v>5</v>
      </c>
      <c r="B43" s="255" t="s">
        <v>35</v>
      </c>
      <c r="C43" s="153"/>
      <c r="D43" s="149"/>
      <c r="E43" s="24">
        <f>'Salary Record'!K296</f>
        <v>42000</v>
      </c>
      <c r="F43" s="24">
        <f>'Salary Record'!C302</f>
        <v>31</v>
      </c>
      <c r="G43" s="39">
        <f>'Salary Record'!C303</f>
        <v>0</v>
      </c>
      <c r="H43" s="24">
        <f>'Salary Record'!I301</f>
        <v>8</v>
      </c>
      <c r="I43" s="24">
        <f>'Salary Record'!I300</f>
        <v>30</v>
      </c>
      <c r="J43" s="33">
        <f>'Salary Record'!K301</f>
        <v>1400</v>
      </c>
      <c r="K43" s="33">
        <f>'Salary Record'!K302</f>
        <v>43400</v>
      </c>
      <c r="L43" s="15">
        <f>'Salary Record'!G300</f>
        <v>8000</v>
      </c>
      <c r="M43" s="35">
        <f>'Salary Record'!G301</f>
        <v>5000</v>
      </c>
      <c r="N43" s="36">
        <f>'Salary Record'!G302</f>
        <v>13000</v>
      </c>
      <c r="O43" s="35">
        <f>'Salary Record'!G303</f>
        <v>5000</v>
      </c>
      <c r="P43" s="36">
        <f>'Salary Record'!G304</f>
        <v>8000</v>
      </c>
      <c r="Q43" s="250">
        <f>'Salary Record'!K304</f>
        <v>38400</v>
      </c>
      <c r="R43" s="13"/>
    </row>
    <row r="44" spans="1:23" ht="15" customHeight="1" x14ac:dyDescent="0.3">
      <c r="A44" s="37">
        <v>6</v>
      </c>
      <c r="B44" s="255" t="str">
        <f>'Salary Record'!C1258</f>
        <v>Nisar</v>
      </c>
      <c r="C44" s="167"/>
      <c r="D44" s="132"/>
      <c r="E44" s="47">
        <f>'Salary Record'!K1257</f>
        <v>30000</v>
      </c>
      <c r="F44" s="47">
        <f>'Salary Record'!C1263</f>
        <v>29</v>
      </c>
      <c r="G44" s="44">
        <f>'Salary Record'!C1264</f>
        <v>1</v>
      </c>
      <c r="H44" s="47">
        <f>'Salary Record'!I1262</f>
        <v>8</v>
      </c>
      <c r="I44" s="47">
        <f>'Salary Record'!I1261</f>
        <v>30</v>
      </c>
      <c r="J44" s="33">
        <f>'Salary Record'!K1262</f>
        <v>1000</v>
      </c>
      <c r="K44" s="24">
        <f>'Salary Record'!K1263</f>
        <v>31000</v>
      </c>
      <c r="L44" s="15">
        <f>'Salary Record'!G1261</f>
        <v>0</v>
      </c>
      <c r="M44" s="35">
        <f>'Salary Record'!G1262</f>
        <v>0</v>
      </c>
      <c r="N44" s="36">
        <f>'Salary Record'!G1263</f>
        <v>0</v>
      </c>
      <c r="O44" s="35">
        <f>'Salary Record'!G1264</f>
        <v>0</v>
      </c>
      <c r="P44" s="36">
        <f>'Salary Record'!G1265</f>
        <v>0</v>
      </c>
      <c r="Q44" s="250">
        <f>'Salary Record'!K1265</f>
        <v>31000</v>
      </c>
    </row>
    <row r="45" spans="1:23" ht="14.4" x14ac:dyDescent="0.3">
      <c r="A45" s="37">
        <v>7</v>
      </c>
      <c r="B45" s="255" t="str">
        <f>'Salary Record'!C601</f>
        <v>Shahbaz</v>
      </c>
      <c r="C45" s="201"/>
      <c r="D45" s="202"/>
      <c r="E45" s="24">
        <f>'Salary Record'!K600</f>
        <v>17000</v>
      </c>
      <c r="F45" s="24">
        <f>'Salary Record'!C606</f>
        <v>26</v>
      </c>
      <c r="G45" s="39">
        <f>'Salary Record'!C607</f>
        <v>4</v>
      </c>
      <c r="H45" s="24">
        <f>'Salary Record'!I605</f>
        <v>10</v>
      </c>
      <c r="I45" s="24">
        <f>'Salary Record'!I604</f>
        <v>26</v>
      </c>
      <c r="J45" s="33">
        <f>'Salary Record'!K605</f>
        <v>708.33333333333326</v>
      </c>
      <c r="K45" s="33">
        <f>'Salary Record'!K606</f>
        <v>15441.666666666666</v>
      </c>
      <c r="L45" s="15">
        <f>'Salary Record'!G604</f>
        <v>0</v>
      </c>
      <c r="M45" s="35">
        <f>'Salary Record'!G605</f>
        <v>12500</v>
      </c>
      <c r="N45" s="36">
        <f>'Salary Record'!G606</f>
        <v>12500</v>
      </c>
      <c r="O45" s="35">
        <f>'Salary Record'!G607</f>
        <v>5440</v>
      </c>
      <c r="P45" s="36">
        <f>'Salary Record'!G608</f>
        <v>7060</v>
      </c>
      <c r="Q45" s="250">
        <f>'Salary Record'!K608</f>
        <v>10001.666666666666</v>
      </c>
    </row>
    <row r="46" spans="1:23" ht="14.4" x14ac:dyDescent="0.3">
      <c r="A46" s="37">
        <v>8</v>
      </c>
      <c r="B46" s="261" t="s">
        <v>17</v>
      </c>
      <c r="C46" s="158"/>
      <c r="D46" s="136"/>
      <c r="E46" s="42">
        <f>'Salary Record'!K472</f>
        <v>16000</v>
      </c>
      <c r="F46" s="42">
        <f>'Salary Record'!C478</f>
        <v>0</v>
      </c>
      <c r="G46" s="33">
        <f>'Salary Record'!C479</f>
        <v>0</v>
      </c>
      <c r="H46" s="42">
        <f>'Salary Record'!I477</f>
        <v>0</v>
      </c>
      <c r="I46" s="42">
        <f>'Salary Record'!I476</f>
        <v>3</v>
      </c>
      <c r="J46" s="33">
        <f>'Salary Record'!K477</f>
        <v>0</v>
      </c>
      <c r="K46" s="24">
        <f>'Salary Record'!K478</f>
        <v>1600</v>
      </c>
      <c r="L46" s="15" t="str">
        <f>'Salary Record'!G476</f>
        <v/>
      </c>
      <c r="M46" s="35">
        <f>'Salary Record'!G477</f>
        <v>210</v>
      </c>
      <c r="N46" s="36">
        <f>'Salary Record'!G478</f>
        <v>210</v>
      </c>
      <c r="O46" s="35">
        <f>'Salary Record'!G479</f>
        <v>210</v>
      </c>
      <c r="P46" s="36">
        <f>'Salary Record'!G480</f>
        <v>0</v>
      </c>
      <c r="Q46" s="250">
        <f>'Salary Record'!K480</f>
        <v>1390</v>
      </c>
    </row>
    <row r="47" spans="1:23" ht="14.4" x14ac:dyDescent="0.3">
      <c r="A47" s="37">
        <v>9</v>
      </c>
      <c r="B47" s="255" t="str">
        <f>'Salary Record'!C1193</f>
        <v>Aqeel Ahmed</v>
      </c>
      <c r="C47" s="160"/>
      <c r="D47" s="163"/>
      <c r="E47" s="15">
        <f>'Salary Record'!K1192</f>
        <v>13000</v>
      </c>
      <c r="F47" s="15">
        <f>'Salary Record'!C1198</f>
        <v>26</v>
      </c>
      <c r="G47" s="41">
        <f>'Salary Record'!C1199</f>
        <v>4</v>
      </c>
      <c r="H47" s="15">
        <f>'Salary Record'!I1197</f>
        <v>9.1199999999999992</v>
      </c>
      <c r="I47" s="15">
        <f>'Salary Record'!I1196</f>
        <v>26</v>
      </c>
      <c r="J47" s="116">
        <f>'Salary Record'!K1197</f>
        <v>493.99999999999994</v>
      </c>
      <c r="K47" s="116">
        <f>'Salary Record'!K1198</f>
        <v>11760.666666666666</v>
      </c>
      <c r="L47" s="117">
        <f>'Salary Record'!G1196</f>
        <v>0</v>
      </c>
      <c r="M47" s="117">
        <f>'Salary Record'!G1197</f>
        <v>10000</v>
      </c>
      <c r="N47" s="118">
        <f>'Salary Record'!G1198</f>
        <v>10000</v>
      </c>
      <c r="O47" s="117">
        <f>'Salary Record'!G1199</f>
        <v>1760</v>
      </c>
      <c r="P47" s="118">
        <f>'Salary Record'!G1200</f>
        <v>8240</v>
      </c>
      <c r="Q47" s="251">
        <f>'Salary Record'!K1200</f>
        <v>10000.666666666666</v>
      </c>
      <c r="U47" s="2"/>
      <c r="V47" s="2"/>
      <c r="W47" s="2"/>
    </row>
    <row r="48" spans="1:23" ht="14.4" x14ac:dyDescent="0.3">
      <c r="A48" s="37">
        <v>10</v>
      </c>
      <c r="B48" s="255" t="str">
        <f>'Salary Record'!C377</f>
        <v>Raheel</v>
      </c>
      <c r="C48" s="153"/>
      <c r="D48" s="149"/>
      <c r="E48" s="39">
        <f>'Salary Record'!K376</f>
        <v>16000</v>
      </c>
      <c r="F48" s="39">
        <f>'Salary Record'!C382</f>
        <v>26</v>
      </c>
      <c r="G48" s="39">
        <f>'Salary Record'!C383</f>
        <v>4</v>
      </c>
      <c r="H48" s="39">
        <f>'Salary Record'!I381</f>
        <v>9</v>
      </c>
      <c r="I48" s="39">
        <f>'Salary Record'!I380</f>
        <v>26</v>
      </c>
      <c r="J48" s="116">
        <f>'Salary Record'!K381</f>
        <v>600</v>
      </c>
      <c r="K48" s="116">
        <f>'Salary Record'!K382</f>
        <v>14466.666666666668</v>
      </c>
      <c r="L48" s="117">
        <f>'Salary Record'!G380</f>
        <v>0</v>
      </c>
      <c r="M48" s="138">
        <f>'Salary Record'!G381</f>
        <v>10065</v>
      </c>
      <c r="N48" s="139">
        <f>'Salary Record'!G382</f>
        <v>10065</v>
      </c>
      <c r="O48" s="138">
        <f>'Salary Record'!G383</f>
        <v>1865</v>
      </c>
      <c r="P48" s="139">
        <f>'Salary Record'!G384</f>
        <v>8200</v>
      </c>
      <c r="Q48" s="251">
        <f>'Salary Record'!K384</f>
        <v>12601.666666666668</v>
      </c>
    </row>
    <row r="49" spans="1:23" ht="14.4" x14ac:dyDescent="0.3">
      <c r="A49" s="37">
        <v>11</v>
      </c>
      <c r="B49" s="261" t="str">
        <f>'Salary Record'!C1402</f>
        <v>Saqib</v>
      </c>
      <c r="C49" s="182"/>
      <c r="D49" s="179"/>
      <c r="E49" s="42">
        <f>'Salary Record'!K1401</f>
        <v>18000</v>
      </c>
      <c r="F49" s="42">
        <f>'Salary Record'!C1407</f>
        <v>0</v>
      </c>
      <c r="G49" s="33">
        <f>'Salary Record'!C1408</f>
        <v>0</v>
      </c>
      <c r="H49" s="42">
        <f>'Salary Record'!I1406</f>
        <v>0</v>
      </c>
      <c r="I49" s="42">
        <f>'Salary Record'!I1405</f>
        <v>4</v>
      </c>
      <c r="J49" s="33">
        <f>'Salary Record'!K1406</f>
        <v>0</v>
      </c>
      <c r="K49" s="33">
        <f>'Salary Record'!K1407</f>
        <v>2400</v>
      </c>
      <c r="L49" s="15">
        <f>'Salary Record'!G1405</f>
        <v>0</v>
      </c>
      <c r="M49" s="35">
        <f>'Salary Record'!G1406</f>
        <v>0</v>
      </c>
      <c r="N49" s="36">
        <f>'Salary Record'!G1407</f>
        <v>0</v>
      </c>
      <c r="O49" s="35">
        <f>'Salary Record'!G1408</f>
        <v>0</v>
      </c>
      <c r="P49" s="36">
        <f>'Salary Record'!G1409</f>
        <v>0</v>
      </c>
      <c r="Q49" s="250">
        <f>'Salary Record'!K1409</f>
        <v>2400</v>
      </c>
    </row>
    <row r="50" spans="1:23" ht="15" customHeight="1" x14ac:dyDescent="0.3">
      <c r="A50" s="37">
        <v>12</v>
      </c>
      <c r="B50" s="255" t="str">
        <f>'Salary Record'!C649</f>
        <v>Noman</v>
      </c>
      <c r="C50" s="171"/>
      <c r="D50" s="174"/>
      <c r="E50" s="35">
        <f>'Salary Record'!K648</f>
        <v>800</v>
      </c>
      <c r="F50" s="35">
        <f>'Salary Record'!C654</f>
        <v>0</v>
      </c>
      <c r="G50" s="44">
        <f>'Salary Record'!C655</f>
        <v>0</v>
      </c>
      <c r="H50" s="35">
        <f>'Salary Record'!I653</f>
        <v>0</v>
      </c>
      <c r="I50" s="35">
        <f>'Salary Record'!I652</f>
        <v>22</v>
      </c>
      <c r="J50" s="33">
        <f>'Salary Record'!K653</f>
        <v>0</v>
      </c>
      <c r="K50" s="33">
        <f>'Salary Record'!K654</f>
        <v>17600</v>
      </c>
      <c r="L50" s="15">
        <f>'Salary Record'!G652</f>
        <v>0</v>
      </c>
      <c r="M50" s="35">
        <f>'Salary Record'!G653</f>
        <v>0</v>
      </c>
      <c r="N50" s="36">
        <f>'Salary Record'!G654</f>
        <v>0</v>
      </c>
      <c r="O50" s="35">
        <f>'Salary Record'!G655</f>
        <v>0</v>
      </c>
      <c r="P50" s="36">
        <f>'Salary Record'!G656</f>
        <v>0</v>
      </c>
      <c r="Q50" s="250">
        <f>'Salary Record'!K656</f>
        <v>17600</v>
      </c>
    </row>
    <row r="51" spans="1:23" ht="14.4" x14ac:dyDescent="0.3">
      <c r="A51" s="37">
        <v>13</v>
      </c>
      <c r="B51" s="261" t="str">
        <f>'Salary Record'!C1210</f>
        <v>Adjer</v>
      </c>
      <c r="C51" s="160"/>
      <c r="D51" s="163"/>
      <c r="E51" s="24">
        <f>'Salary Record'!K1209</f>
        <v>24000</v>
      </c>
      <c r="F51" s="24">
        <f>'Salary Record'!C1215</f>
        <v>0</v>
      </c>
      <c r="G51" s="39">
        <f>'Salary Record'!C1216</f>
        <v>0</v>
      </c>
      <c r="H51" s="24">
        <f>'Salary Record'!I1214</f>
        <v>0</v>
      </c>
      <c r="I51" s="24">
        <f>'Salary Record'!I1213</f>
        <v>3</v>
      </c>
      <c r="J51" s="116">
        <f>'Salary Record'!K1214</f>
        <v>0</v>
      </c>
      <c r="K51" s="116">
        <f>'Salary Record'!K1215</f>
        <v>2400</v>
      </c>
      <c r="L51" s="117">
        <f>'Salary Record'!G1213</f>
        <v>0</v>
      </c>
      <c r="M51" s="138">
        <f>'Salary Record'!G1214</f>
        <v>0</v>
      </c>
      <c r="N51" s="139">
        <f>'Salary Record'!G1215</f>
        <v>0</v>
      </c>
      <c r="O51" s="138">
        <f>'Salary Record'!G1216</f>
        <v>0</v>
      </c>
      <c r="P51" s="139">
        <f>'Salary Record'!G1217</f>
        <v>0</v>
      </c>
      <c r="Q51" s="251">
        <f>'Salary Record'!K1217</f>
        <v>2400</v>
      </c>
      <c r="T51">
        <v>100</v>
      </c>
      <c r="U51">
        <v>8</v>
      </c>
      <c r="V51">
        <f>U51*T51</f>
        <v>800</v>
      </c>
    </row>
    <row r="52" spans="1:23" ht="14.4" x14ac:dyDescent="0.3">
      <c r="A52" s="37">
        <v>14</v>
      </c>
      <c r="B52" s="256" t="str">
        <f>'Salary Record'!C1386</f>
        <v>Sufyan</v>
      </c>
      <c r="C52" s="160"/>
      <c r="D52" s="163"/>
      <c r="E52" s="15">
        <f>'Salary Record'!K1385</f>
        <v>1000</v>
      </c>
      <c r="F52" s="15">
        <f>'Salary Record'!C1391</f>
        <v>0</v>
      </c>
      <c r="G52" s="41">
        <f>'Salary Record'!C1392</f>
        <v>0</v>
      </c>
      <c r="H52" s="15">
        <f>'Salary Record'!I1390</f>
        <v>0</v>
      </c>
      <c r="I52" s="15">
        <f>'Salary Record'!I1389</f>
        <v>6</v>
      </c>
      <c r="J52" s="33">
        <f>'Salary Record'!K1390</f>
        <v>0</v>
      </c>
      <c r="K52" s="24">
        <f>'Salary Record'!K1391</f>
        <v>6000</v>
      </c>
      <c r="L52" s="15">
        <f>'Salary Record'!G1389</f>
        <v>7000</v>
      </c>
      <c r="M52" s="15">
        <f>'Salary Record'!G1390</f>
        <v>4000</v>
      </c>
      <c r="N52" s="36">
        <f>'Salary Record'!G1391</f>
        <v>11000</v>
      </c>
      <c r="O52" s="15">
        <f>'Salary Record'!G1392</f>
        <v>6000</v>
      </c>
      <c r="P52" s="36">
        <f>'Salary Record'!G1393</f>
        <v>5000</v>
      </c>
      <c r="Q52" s="250">
        <f>'Salary Record'!K1393</f>
        <v>0</v>
      </c>
    </row>
    <row r="53" spans="1:23" ht="14.4" x14ac:dyDescent="0.3">
      <c r="A53" s="37">
        <v>15</v>
      </c>
      <c r="B53" s="255" t="str">
        <f>'Salary Record'!C345</f>
        <v>Ismail</v>
      </c>
      <c r="C53" s="153"/>
      <c r="D53" s="149"/>
      <c r="E53" s="24">
        <f>'Salary Record'!K344</f>
        <v>15000</v>
      </c>
      <c r="F53" s="24">
        <f>'Salary Record'!C350</f>
        <v>0</v>
      </c>
      <c r="G53" s="39">
        <f>'Salary Record'!C351</f>
        <v>0</v>
      </c>
      <c r="H53" s="24">
        <f>'Salary Record'!I349</f>
        <v>0</v>
      </c>
      <c r="I53" s="24">
        <f>'Salary Record'!I348</f>
        <v>11</v>
      </c>
      <c r="J53" s="116">
        <f>'Salary Record'!K349</f>
        <v>0</v>
      </c>
      <c r="K53" s="116">
        <f>'Salary Record'!K350</f>
        <v>5500</v>
      </c>
      <c r="L53" s="117">
        <f>'Salary Record'!G348</f>
        <v>0</v>
      </c>
      <c r="M53" s="138">
        <f>'Salary Record'!G349</f>
        <v>2000</v>
      </c>
      <c r="N53" s="139">
        <f>'Salary Record'!G350</f>
        <v>2000</v>
      </c>
      <c r="O53" s="138">
        <f>'Salary Record'!G351</f>
        <v>2000</v>
      </c>
      <c r="P53" s="139">
        <f>'Salary Record'!G352</f>
        <v>0</v>
      </c>
      <c r="Q53" s="223">
        <f>'Salary Record'!K352</f>
        <v>3500</v>
      </c>
    </row>
    <row r="54" spans="1:23" ht="14.4" x14ac:dyDescent="0.3">
      <c r="A54" s="37">
        <v>16</v>
      </c>
      <c r="B54" s="255" t="str">
        <f>'Salary Record'!C425</f>
        <v>Gul Sher</v>
      </c>
      <c r="C54" s="153"/>
      <c r="D54" s="149"/>
      <c r="E54" s="15">
        <f>'Salary Record'!K424</f>
        <v>17000</v>
      </c>
      <c r="F54" s="15">
        <f>'Salary Record'!C430</f>
        <v>27</v>
      </c>
      <c r="G54" s="41">
        <f>'Salary Record'!C431</f>
        <v>3</v>
      </c>
      <c r="H54" s="15">
        <f>'Salary Record'!I429</f>
        <v>39</v>
      </c>
      <c r="I54" s="15">
        <f>'Salary Record'!I428</f>
        <v>27</v>
      </c>
      <c r="J54" s="116">
        <f>'Salary Record'!K429</f>
        <v>2762.5</v>
      </c>
      <c r="K54" s="116">
        <f>'Salary Record'!K430</f>
        <v>18062.5</v>
      </c>
      <c r="L54" s="117">
        <f>'Salary Record'!G428</f>
        <v>5500</v>
      </c>
      <c r="M54" s="117">
        <f>'Salary Record'!G429</f>
        <v>6000</v>
      </c>
      <c r="N54" s="118">
        <f>'Salary Record'!G430</f>
        <v>11500</v>
      </c>
      <c r="O54" s="117">
        <f>'Salary Record'!G431</f>
        <v>5500</v>
      </c>
      <c r="P54" s="118">
        <f>'Salary Record'!G432</f>
        <v>6000</v>
      </c>
      <c r="Q54" s="251">
        <f>'Salary Record'!K432</f>
        <v>12562.5</v>
      </c>
      <c r="R54" s="13">
        <f>Q54+Q51</f>
        <v>14962.5</v>
      </c>
      <c r="U54" s="2"/>
      <c r="V54" s="2"/>
      <c r="W54" s="2"/>
    </row>
    <row r="55" spans="1:23" ht="14.4" x14ac:dyDescent="0.3">
      <c r="A55" s="277" t="s">
        <v>2</v>
      </c>
      <c r="B55" s="278"/>
      <c r="C55" s="278"/>
      <c r="D55" s="278"/>
      <c r="E55" s="278"/>
      <c r="F55" s="278"/>
      <c r="G55" s="278"/>
      <c r="H55" s="278"/>
      <c r="I55" s="278"/>
      <c r="J55" s="278"/>
      <c r="K55" s="278"/>
      <c r="L55" s="278"/>
      <c r="M55" s="278"/>
      <c r="N55" s="278"/>
      <c r="O55" s="278"/>
      <c r="P55" s="279"/>
      <c r="Q55" s="157">
        <f>SUM(Q39:Q54)</f>
        <v>256681.49999999997</v>
      </c>
      <c r="R55" s="13"/>
    </row>
    <row r="56" spans="1:23" ht="15.6" x14ac:dyDescent="0.3">
      <c r="A56" s="268" t="s">
        <v>45</v>
      </c>
      <c r="B56" s="269"/>
      <c r="C56" s="269"/>
      <c r="D56" s="269"/>
      <c r="E56" s="269"/>
      <c r="F56" s="269"/>
      <c r="G56" s="269"/>
      <c r="H56" s="269"/>
      <c r="I56" s="269"/>
      <c r="J56" s="269"/>
      <c r="K56" s="269"/>
      <c r="L56" s="269"/>
      <c r="M56" s="269"/>
      <c r="N56" s="269"/>
      <c r="O56" s="269"/>
      <c r="P56" s="269"/>
      <c r="Q56" s="270"/>
      <c r="T56" s="13"/>
    </row>
    <row r="57" spans="1:23" ht="14.4" x14ac:dyDescent="0.3">
      <c r="A57" s="31">
        <v>1</v>
      </c>
      <c r="B57" s="255" t="s">
        <v>44</v>
      </c>
      <c r="C57" s="160"/>
      <c r="D57" s="161"/>
      <c r="E57" s="39">
        <f>'Salary Record'!K856</f>
        <v>28000</v>
      </c>
      <c r="F57" s="39">
        <f>'Salary Record'!C862</f>
        <v>30</v>
      </c>
      <c r="G57" s="39">
        <f>'Salary Record'!C863</f>
        <v>0</v>
      </c>
      <c r="H57" s="39">
        <f>'Salary Record'!I861</f>
        <v>47.14</v>
      </c>
      <c r="I57" s="39">
        <f>'Salary Record'!I860</f>
        <v>30</v>
      </c>
      <c r="J57" s="33">
        <f>'Salary Record'!K861</f>
        <v>5499.666666666667</v>
      </c>
      <c r="K57" s="33">
        <f>'Salary Record'!K862</f>
        <v>33499.666666666664</v>
      </c>
      <c r="L57" s="15">
        <f>'Salary Record'!G860</f>
        <v>58000</v>
      </c>
      <c r="M57" s="35">
        <f>'Salary Record'!G861</f>
        <v>226</v>
      </c>
      <c r="N57" s="36">
        <f>'Salary Record'!G862</f>
        <v>58226</v>
      </c>
      <c r="O57" s="35">
        <f>'Salary Record'!G863</f>
        <v>3000</v>
      </c>
      <c r="P57" s="36">
        <f>'Salary Record'!G864</f>
        <v>55226</v>
      </c>
      <c r="Q57" s="250">
        <f>'Salary Record'!K864</f>
        <v>30499.666666666664</v>
      </c>
    </row>
    <row r="58" spans="1:23" ht="15" customHeight="1" x14ac:dyDescent="0.3">
      <c r="A58" s="31">
        <v>2</v>
      </c>
      <c r="B58" s="255" t="s">
        <v>12</v>
      </c>
      <c r="C58" s="169" t="s">
        <v>55</v>
      </c>
      <c r="D58" s="172">
        <f>SUM(Q58:Q87)</f>
        <v>668620.55000000016</v>
      </c>
      <c r="E58" s="35">
        <f>'Salary Record'!K840</f>
        <v>22000</v>
      </c>
      <c r="F58" s="35">
        <f>'Salary Record'!C846</f>
        <v>29</v>
      </c>
      <c r="G58" s="44">
        <f>'Salary Record'!C847</f>
        <v>1</v>
      </c>
      <c r="H58" s="35">
        <f>'Salary Record'!I845</f>
        <v>0</v>
      </c>
      <c r="I58" s="35">
        <f>'Salary Record'!I844</f>
        <v>30</v>
      </c>
      <c r="J58" s="33">
        <f>'Salary Record'!K845</f>
        <v>0</v>
      </c>
      <c r="K58" s="33">
        <f>'Salary Record'!K846</f>
        <v>22000</v>
      </c>
      <c r="L58" s="15">
        <f>'Salary Record'!G844</f>
        <v>45000</v>
      </c>
      <c r="M58" s="35">
        <f>'Salary Record'!G845</f>
        <v>0</v>
      </c>
      <c r="N58" s="35">
        <f>'Salary Record'!G846</f>
        <v>45000</v>
      </c>
      <c r="O58" s="35">
        <f>'Salary Record'!G847</f>
        <v>5000</v>
      </c>
      <c r="P58" s="36">
        <f>'Salary Record'!G848</f>
        <v>40000</v>
      </c>
      <c r="Q58" s="250">
        <f>'Salary Record'!K848</f>
        <v>17000</v>
      </c>
      <c r="R58" s="13"/>
    </row>
    <row r="59" spans="1:23" ht="14.4" x14ac:dyDescent="0.3">
      <c r="A59" s="31">
        <v>3</v>
      </c>
      <c r="B59" s="255" t="s">
        <v>22</v>
      </c>
      <c r="C59" s="141" t="s">
        <v>123</v>
      </c>
      <c r="D59" s="136">
        <f>Q59</f>
        <v>21002.083333333332</v>
      </c>
      <c r="E59" s="24">
        <f>'Salary Record'!K808</f>
        <v>17000</v>
      </c>
      <c r="F59" s="24">
        <f>'Salary Record'!C814</f>
        <v>30</v>
      </c>
      <c r="G59" s="39">
        <f>'Salary Record'!C815</f>
        <v>0</v>
      </c>
      <c r="H59" s="24">
        <f>'Salary Record'!I813</f>
        <v>56.5</v>
      </c>
      <c r="I59" s="24">
        <f>'Salary Record'!I812</f>
        <v>30</v>
      </c>
      <c r="J59" s="33">
        <f>'Salary Record'!K813</f>
        <v>4002.083333333333</v>
      </c>
      <c r="K59" s="24">
        <f>'Salary Record'!K814</f>
        <v>21002.083333333332</v>
      </c>
      <c r="L59" s="15">
        <f>'Salary Record'!G812</f>
        <v>0</v>
      </c>
      <c r="M59" s="35">
        <f>'Salary Record'!G813</f>
        <v>0</v>
      </c>
      <c r="N59" s="36" t="str">
        <f>'Salary Record'!G814</f>
        <v/>
      </c>
      <c r="O59" s="35">
        <f>'Salary Record'!G815</f>
        <v>0</v>
      </c>
      <c r="P59" s="36" t="str">
        <f>'Salary Record'!G816</f>
        <v/>
      </c>
      <c r="Q59" s="250">
        <f>'Salary Record'!K816</f>
        <v>21002.083333333332</v>
      </c>
    </row>
    <row r="60" spans="1:23" ht="14.4" x14ac:dyDescent="0.3">
      <c r="A60" s="31">
        <v>4</v>
      </c>
      <c r="B60" s="255" t="str">
        <f>'Salary Record'!C1033</f>
        <v>Asif (EFU)</v>
      </c>
      <c r="C60" s="160"/>
      <c r="D60" s="163"/>
      <c r="E60" s="33">
        <f>'Salary Record'!K1032</f>
        <v>15000</v>
      </c>
      <c r="F60" s="33">
        <f>'Salary Record'!C1038</f>
        <v>29</v>
      </c>
      <c r="G60" s="39">
        <f>'Salary Record'!C1039</f>
        <v>1</v>
      </c>
      <c r="H60" s="33">
        <f>'Salary Record'!I1037</f>
        <v>56</v>
      </c>
      <c r="I60" s="33">
        <f>'Salary Record'!I1036</f>
        <v>29</v>
      </c>
      <c r="J60" s="33">
        <f>'Salary Record'!K1037</f>
        <v>3500</v>
      </c>
      <c r="K60" s="24">
        <f>'Salary Record'!K1038</f>
        <v>18000</v>
      </c>
      <c r="L60" s="15">
        <f>'Salary Record'!G1036</f>
        <v>4500</v>
      </c>
      <c r="M60" s="35">
        <f>'Salary Record'!G1037</f>
        <v>0</v>
      </c>
      <c r="N60" s="36">
        <f>'Salary Record'!G1038</f>
        <v>4500</v>
      </c>
      <c r="O60" s="35">
        <f>'Salary Record'!G1039</f>
        <v>1500</v>
      </c>
      <c r="P60" s="36">
        <f>'Salary Record'!G1040</f>
        <v>3000</v>
      </c>
      <c r="Q60" s="253">
        <f>'Salary Record'!K1040</f>
        <v>16500</v>
      </c>
    </row>
    <row r="61" spans="1:23" ht="14.4" x14ac:dyDescent="0.3">
      <c r="A61" s="31">
        <v>5</v>
      </c>
      <c r="B61" s="255" t="str">
        <f>'Salary Record'!C313</f>
        <v>Rizwan EFU</v>
      </c>
      <c r="C61" s="153"/>
      <c r="D61" s="149"/>
      <c r="E61" s="24">
        <f>'Salary Record'!K312</f>
        <v>10000</v>
      </c>
      <c r="F61" s="24">
        <f>'Salary Record'!C318</f>
        <v>22</v>
      </c>
      <c r="G61" s="39">
        <f>'Salary Record'!C319</f>
        <v>8</v>
      </c>
      <c r="H61" s="114">
        <f>'Salary Record'!I317</f>
        <v>0</v>
      </c>
      <c r="I61" s="24">
        <f>'Salary Record'!I316</f>
        <v>22</v>
      </c>
      <c r="J61" s="33">
        <f>'Salary Record'!K317</f>
        <v>0</v>
      </c>
      <c r="K61" s="33">
        <f>'Salary Record'!K318</f>
        <v>7333.333333333333</v>
      </c>
      <c r="L61" s="15">
        <f>'Salary Record'!G316</f>
        <v>0</v>
      </c>
      <c r="M61" s="35">
        <f>'Salary Record'!G317</f>
        <v>0</v>
      </c>
      <c r="N61" s="36" t="str">
        <f>'Salary Record'!G318</f>
        <v/>
      </c>
      <c r="O61" s="35">
        <f>'Salary Record'!G319</f>
        <v>0</v>
      </c>
      <c r="P61" s="36" t="str">
        <f>'Salary Record'!G320</f>
        <v/>
      </c>
      <c r="Q61" s="250">
        <f>'Salary Record'!K320</f>
        <v>7333.333333333333</v>
      </c>
    </row>
    <row r="62" spans="1:23" ht="14.4" x14ac:dyDescent="0.3">
      <c r="A62" s="31">
        <v>6</v>
      </c>
      <c r="B62" s="255" t="str">
        <f>'Salary Record'!C1177</f>
        <v>Noman Hussain</v>
      </c>
      <c r="C62" s="29" t="s">
        <v>127</v>
      </c>
      <c r="D62" s="132">
        <f>Q62</f>
        <v>13325</v>
      </c>
      <c r="E62" s="11">
        <f>'Salary Record'!K1176</f>
        <v>13000</v>
      </c>
      <c r="F62" s="11">
        <f>'Salary Record'!C1182</f>
        <v>29</v>
      </c>
      <c r="G62" s="12">
        <f>'Salary Record'!C1183</f>
        <v>1</v>
      </c>
      <c r="H62" s="11">
        <f>'Salary Record'!I1181</f>
        <v>14</v>
      </c>
      <c r="I62" s="11">
        <f>'Salary Record'!I1180</f>
        <v>29</v>
      </c>
      <c r="J62" s="133">
        <f>'Salary Record'!K1181</f>
        <v>758.33333333333326</v>
      </c>
      <c r="K62" s="133">
        <f>'Salary Record'!K1182</f>
        <v>13325</v>
      </c>
      <c r="L62" s="134">
        <f>'Salary Record'!G1180</f>
        <v>0</v>
      </c>
      <c r="M62" s="22">
        <f>'Salary Record'!G1181</f>
        <v>0</v>
      </c>
      <c r="N62" s="23">
        <f>'Salary Record'!G1182</f>
        <v>0</v>
      </c>
      <c r="O62" s="22">
        <f>'Salary Record'!G1183</f>
        <v>0</v>
      </c>
      <c r="P62" s="23">
        <f>'Salary Record'!G1184</f>
        <v>0</v>
      </c>
      <c r="Q62" s="254">
        <f>'Salary Record'!K1184</f>
        <v>13325</v>
      </c>
    </row>
    <row r="63" spans="1:23" ht="15.6" x14ac:dyDescent="0.3">
      <c r="A63" s="31">
        <v>7</v>
      </c>
      <c r="B63" s="258" t="str">
        <f>'Salary Record'!C441</f>
        <v>Muneeb Abbas</v>
      </c>
      <c r="C63" s="153"/>
      <c r="D63" s="149"/>
      <c r="E63" s="145">
        <f>'Salary Record'!K440</f>
        <v>12000</v>
      </c>
      <c r="F63" s="11">
        <f>'Salary Record'!C446</f>
        <v>29</v>
      </c>
      <c r="G63" s="12">
        <f>'Salary Record'!C447</f>
        <v>1</v>
      </c>
      <c r="H63" s="11">
        <f>'Salary Record'!I445</f>
        <v>6.5</v>
      </c>
      <c r="I63" s="11">
        <f>'Salary Record'!I444</f>
        <v>29</v>
      </c>
      <c r="J63" s="21">
        <f>'Salary Record'!K445</f>
        <v>325</v>
      </c>
      <c r="K63" s="21">
        <f>'Salary Record'!K446</f>
        <v>11925</v>
      </c>
      <c r="L63" s="22">
        <f>'Salary Record'!G444</f>
        <v>0</v>
      </c>
      <c r="M63" s="22">
        <f>'Salary Record'!G445</f>
        <v>274</v>
      </c>
      <c r="N63" s="23">
        <f>'Salary Record'!G446</f>
        <v>274</v>
      </c>
      <c r="O63" s="22">
        <f>'Salary Record'!G447</f>
        <v>0</v>
      </c>
      <c r="P63" s="23">
        <f>'Salary Record'!G448</f>
        <v>274</v>
      </c>
      <c r="Q63" s="254">
        <f>'Salary Record'!K448</f>
        <v>11925</v>
      </c>
    </row>
    <row r="64" spans="1:23" ht="14.4" x14ac:dyDescent="0.3">
      <c r="A64" s="277" t="s">
        <v>2</v>
      </c>
      <c r="B64" s="27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  <c r="N64" s="278"/>
      <c r="O64" s="278"/>
      <c r="P64" s="279"/>
      <c r="Q64" s="157">
        <f>SUM(Q57:Q63)</f>
        <v>117585.08333333333</v>
      </c>
    </row>
    <row r="65" spans="1:23" ht="15.6" x14ac:dyDescent="0.3">
      <c r="A65" s="268" t="s">
        <v>130</v>
      </c>
      <c r="B65" s="269"/>
      <c r="C65" s="269"/>
      <c r="D65" s="269"/>
      <c r="E65" s="269"/>
      <c r="F65" s="269"/>
      <c r="G65" s="269"/>
      <c r="H65" s="269"/>
      <c r="I65" s="269"/>
      <c r="J65" s="269"/>
      <c r="K65" s="269"/>
      <c r="L65" s="269"/>
      <c r="M65" s="269"/>
      <c r="N65" s="269"/>
      <c r="O65" s="269"/>
      <c r="P65" s="269"/>
      <c r="Q65" s="270"/>
    </row>
    <row r="66" spans="1:23" ht="15" customHeight="1" x14ac:dyDescent="0.3">
      <c r="A66" s="37">
        <v>1</v>
      </c>
      <c r="B66" s="255" t="s">
        <v>11</v>
      </c>
      <c r="C66" s="170"/>
      <c r="D66" s="173"/>
      <c r="E66" s="35">
        <f>'Salary Record'!K680</f>
        <v>15000</v>
      </c>
      <c r="F66" s="35">
        <f>'Salary Record'!C686</f>
        <v>29</v>
      </c>
      <c r="G66" s="44">
        <f>'Salary Record'!C687</f>
        <v>1</v>
      </c>
      <c r="H66" s="35">
        <f>'Salary Record'!I685</f>
        <v>0</v>
      </c>
      <c r="I66" s="35">
        <f>'Salary Record'!I684</f>
        <v>30</v>
      </c>
      <c r="J66" s="33">
        <f>'Salary Record'!K685</f>
        <v>0</v>
      </c>
      <c r="K66" s="33">
        <f>'Salary Record'!K686</f>
        <v>15000</v>
      </c>
      <c r="L66" s="15">
        <f>'Salary Record'!G684</f>
        <v>15000</v>
      </c>
      <c r="M66" s="35">
        <f>'Salary Record'!G685</f>
        <v>0</v>
      </c>
      <c r="N66" s="36">
        <f>'Salary Record'!G686</f>
        <v>15000</v>
      </c>
      <c r="O66" s="35">
        <f>'Salary Record'!G687</f>
        <v>1000</v>
      </c>
      <c r="P66" s="36">
        <f>'Salary Record'!G688</f>
        <v>14000</v>
      </c>
      <c r="Q66" s="250">
        <f>'Salary Record'!K688</f>
        <v>14000</v>
      </c>
      <c r="R66" s="13"/>
    </row>
    <row r="67" spans="1:23" ht="14.4" x14ac:dyDescent="0.3">
      <c r="A67" s="31">
        <v>2</v>
      </c>
      <c r="B67" s="255" t="s">
        <v>14</v>
      </c>
      <c r="C67" s="170"/>
      <c r="D67" s="173"/>
      <c r="E67" s="46">
        <f>'Salary Record'!K632</f>
        <v>20000</v>
      </c>
      <c r="F67" s="46">
        <f>'Salary Record'!C638</f>
        <v>30</v>
      </c>
      <c r="G67" s="39">
        <f>'Salary Record'!C639</f>
        <v>0</v>
      </c>
      <c r="H67" s="46">
        <f>'Salary Record'!I637</f>
        <v>4</v>
      </c>
      <c r="I67" s="46">
        <f>'Salary Record'!I636</f>
        <v>30</v>
      </c>
      <c r="J67" s="33">
        <f>'Salary Record'!K637</f>
        <v>333.33333333333331</v>
      </c>
      <c r="K67" s="33">
        <f>'Salary Record'!K638</f>
        <v>20333.333333333332</v>
      </c>
      <c r="L67" s="15">
        <f>'Salary Record'!G636</f>
        <v>40000</v>
      </c>
      <c r="M67" s="35">
        <f>'Salary Record'!G637</f>
        <v>0</v>
      </c>
      <c r="N67" s="36">
        <f>'Salary Record'!G638</f>
        <v>40000</v>
      </c>
      <c r="O67" s="35">
        <f>'Salary Record'!G639</f>
        <v>2000</v>
      </c>
      <c r="P67" s="36">
        <f>'Salary Record'!G640</f>
        <v>38000</v>
      </c>
      <c r="Q67" s="250">
        <f>'Salary Record'!K640</f>
        <v>18333.333333333332</v>
      </c>
    </row>
    <row r="68" spans="1:23" ht="14.4" x14ac:dyDescent="0.3">
      <c r="A68" s="31">
        <v>3</v>
      </c>
      <c r="B68" s="255" t="str">
        <f>'Salary Record'!C937</f>
        <v>Rohit</v>
      </c>
      <c r="C68" s="160"/>
      <c r="D68" s="163"/>
      <c r="E68" s="15">
        <f>'Salary Record'!K936</f>
        <v>13000</v>
      </c>
      <c r="F68" s="15">
        <f>'Salary Record'!C942</f>
        <v>29</v>
      </c>
      <c r="G68" s="41">
        <f>'Salary Record'!C943</f>
        <v>1</v>
      </c>
      <c r="H68" s="15">
        <f>'Salary Record'!I941</f>
        <v>9</v>
      </c>
      <c r="I68" s="15">
        <f>'Salary Record'!I940</f>
        <v>29</v>
      </c>
      <c r="J68" s="33">
        <f>'Salary Record'!K941</f>
        <v>487.5</v>
      </c>
      <c r="K68" s="24">
        <f>'Salary Record'!K942</f>
        <v>13054.166666666666</v>
      </c>
      <c r="L68" s="15">
        <f>'Salary Record'!G940</f>
        <v>0</v>
      </c>
      <c r="M68" s="15">
        <f>'Salary Record'!G941</f>
        <v>0</v>
      </c>
      <c r="N68" s="15">
        <f>'Salary Record'!G942</f>
        <v>0</v>
      </c>
      <c r="O68" s="15">
        <f>'Salary Record'!G943</f>
        <v>0</v>
      </c>
      <c r="P68" s="15">
        <f>'Salary Record'!G944</f>
        <v>0</v>
      </c>
      <c r="Q68" s="250">
        <f>'Salary Record'!K944</f>
        <v>13054.166666666666</v>
      </c>
      <c r="R68" s="28"/>
    </row>
    <row r="69" spans="1:23" ht="14.4" x14ac:dyDescent="0.3">
      <c r="A69" s="37">
        <v>4</v>
      </c>
      <c r="B69" s="255" t="str">
        <f>'Salary Record'!C1226</f>
        <v>Adil (FTC)</v>
      </c>
      <c r="C69" s="167"/>
      <c r="D69" s="132"/>
      <c r="E69" s="24">
        <f>'Salary Record'!K1225</f>
        <v>16000</v>
      </c>
      <c r="F69" s="24">
        <f>'Salary Record'!C1231</f>
        <v>29</v>
      </c>
      <c r="G69" s="39">
        <f>'Salary Record'!C1232</f>
        <v>1</v>
      </c>
      <c r="H69" s="24">
        <f>'Salary Record'!I1230</f>
        <v>0</v>
      </c>
      <c r="I69" s="24">
        <f>'Salary Record'!I1229</f>
        <v>29</v>
      </c>
      <c r="J69" s="33">
        <f>'Salary Record'!K1230</f>
        <v>0</v>
      </c>
      <c r="K69" s="33">
        <f>'Salary Record'!K1231</f>
        <v>15466.666666666668</v>
      </c>
      <c r="L69" s="15">
        <f>'Salary Record'!G1229</f>
        <v>8000</v>
      </c>
      <c r="M69" s="35">
        <f>'Salary Record'!G1230</f>
        <v>0</v>
      </c>
      <c r="N69" s="36">
        <f>'Salary Record'!G1231</f>
        <v>8000</v>
      </c>
      <c r="O69" s="35">
        <f>'Salary Record'!G1232</f>
        <v>2000</v>
      </c>
      <c r="P69" s="36">
        <f>'Salary Record'!G1233</f>
        <v>6000</v>
      </c>
      <c r="Q69" s="250">
        <f>'Salary Record'!K1233</f>
        <v>13466.666666666668</v>
      </c>
    </row>
    <row r="70" spans="1:23" ht="14.4" x14ac:dyDescent="0.3">
      <c r="A70" s="31">
        <v>5</v>
      </c>
      <c r="B70" s="255" t="str">
        <f>'Salary Record'!C665</f>
        <v>Adeel</v>
      </c>
      <c r="C70" s="167"/>
      <c r="D70" s="132"/>
      <c r="E70" s="24">
        <f>'Salary Record'!K664</f>
        <v>16000</v>
      </c>
      <c r="F70" s="24">
        <f>'Salary Record'!C670</f>
        <v>30</v>
      </c>
      <c r="G70" s="39">
        <f>'Salary Record'!C671</f>
        <v>0</v>
      </c>
      <c r="H70" s="24">
        <f>'Salary Record'!I669</f>
        <v>102</v>
      </c>
      <c r="I70" s="24">
        <f>'Salary Record'!I668</f>
        <v>30</v>
      </c>
      <c r="J70" s="33">
        <f>'Salary Record'!K669</f>
        <v>6800.0000000000009</v>
      </c>
      <c r="K70" s="33">
        <f>'Salary Record'!K670</f>
        <v>22800.000000000004</v>
      </c>
      <c r="L70" s="15">
        <f>'Salary Record'!G668</f>
        <v>14000</v>
      </c>
      <c r="M70" s="35">
        <f>'Salary Record'!G669</f>
        <v>0</v>
      </c>
      <c r="N70" s="36">
        <f>'Salary Record'!G670</f>
        <v>14000</v>
      </c>
      <c r="O70" s="35">
        <f>'Salary Record'!G671</f>
        <v>2000</v>
      </c>
      <c r="P70" s="36">
        <f>'Salary Record'!G672</f>
        <v>12000</v>
      </c>
      <c r="Q70" s="250">
        <f>'Salary Record'!K672</f>
        <v>20800.000000000004</v>
      </c>
    </row>
    <row r="71" spans="1:23" ht="14.4" x14ac:dyDescent="0.3">
      <c r="A71" s="277" t="s">
        <v>2</v>
      </c>
      <c r="B71" s="278"/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  <c r="N71" s="278"/>
      <c r="O71" s="278"/>
      <c r="P71" s="279"/>
      <c r="Q71" s="157">
        <f>SUM(Q66:Q70)</f>
        <v>79654.166666666672</v>
      </c>
      <c r="R71" s="13"/>
    </row>
    <row r="72" spans="1:23" ht="15.6" x14ac:dyDescent="0.3">
      <c r="A72" s="268" t="s">
        <v>131</v>
      </c>
      <c r="B72" s="269"/>
      <c r="C72" s="269"/>
      <c r="D72" s="269"/>
      <c r="E72" s="269"/>
      <c r="F72" s="269"/>
      <c r="G72" s="269"/>
      <c r="H72" s="269"/>
      <c r="I72" s="269"/>
      <c r="J72" s="269"/>
      <c r="K72" s="269"/>
      <c r="L72" s="269"/>
      <c r="M72" s="269"/>
      <c r="N72" s="269"/>
      <c r="O72" s="269"/>
      <c r="P72" s="269"/>
      <c r="Q72" s="270"/>
    </row>
    <row r="73" spans="1:23" ht="14.4" x14ac:dyDescent="0.3">
      <c r="A73" s="31">
        <v>1</v>
      </c>
      <c r="B73" s="255" t="str">
        <f>'Salary Record'!C1418</f>
        <v>Mr. Chuttal</v>
      </c>
      <c r="C73" s="154"/>
      <c r="D73" s="147"/>
      <c r="E73" s="24">
        <f>'Salary Record'!K1417</f>
        <v>15000</v>
      </c>
      <c r="F73" s="24">
        <f>'Salary Record'!C1423</f>
        <v>29</v>
      </c>
      <c r="G73" s="39">
        <f>'Salary Record'!C1424</f>
        <v>1</v>
      </c>
      <c r="H73" s="24">
        <f>'Salary Record'!I1422</f>
        <v>0</v>
      </c>
      <c r="I73" s="24">
        <f>'Salary Record'!I1421</f>
        <v>29</v>
      </c>
      <c r="J73" s="33">
        <f>'Salary Record'!K1422</f>
        <v>0</v>
      </c>
      <c r="K73" s="24">
        <f>'Salary Record'!K1423</f>
        <v>14500</v>
      </c>
      <c r="L73" s="15">
        <f>'Salary Record'!G1421</f>
        <v>0</v>
      </c>
      <c r="M73" s="35">
        <f>'Salary Record'!G1422</f>
        <v>0</v>
      </c>
      <c r="N73" s="36">
        <f>'Salary Record'!G1423</f>
        <v>0</v>
      </c>
      <c r="O73" s="35">
        <f>'Salary Record'!G1424</f>
        <v>0</v>
      </c>
      <c r="P73" s="36">
        <f>'Salary Record'!G1425</f>
        <v>0</v>
      </c>
      <c r="Q73" s="250">
        <f>'Salary Record'!K1425</f>
        <v>14500</v>
      </c>
    </row>
    <row r="74" spans="1:23" ht="15" customHeight="1" x14ac:dyDescent="0.3">
      <c r="A74" s="37">
        <v>2</v>
      </c>
      <c r="B74" s="259" t="s">
        <v>15</v>
      </c>
      <c r="C74" s="243" t="s">
        <v>46</v>
      </c>
      <c r="D74" s="244">
        <f>SUM(Q21:Q106)</f>
        <v>2417906.9249999998</v>
      </c>
      <c r="E74" s="245">
        <f>'Salary Record'!K456</f>
        <v>26000</v>
      </c>
      <c r="F74" s="245">
        <f>'Salary Record'!C462</f>
        <v>29</v>
      </c>
      <c r="G74" s="246">
        <f>'Salary Record'!C463</f>
        <v>1</v>
      </c>
      <c r="H74" s="245">
        <f>'Salary Record'!I461</f>
        <v>2</v>
      </c>
      <c r="I74" s="245">
        <f>'Salary Record'!I460</f>
        <v>30</v>
      </c>
      <c r="J74" s="239">
        <f>'Salary Record'!K461</f>
        <v>216.66666666666666</v>
      </c>
      <c r="K74" s="245">
        <f>'Salary Record'!K462</f>
        <v>26216.666666666668</v>
      </c>
      <c r="L74" s="240">
        <f>'Salary Record'!G460</f>
        <v>25000</v>
      </c>
      <c r="M74" s="240">
        <f>'Salary Record'!G461</f>
        <v>0</v>
      </c>
      <c r="N74" s="242">
        <f>'Salary Record'!G462</f>
        <v>25000</v>
      </c>
      <c r="O74" s="241">
        <f>'Salary Record'!G463</f>
        <v>5000</v>
      </c>
      <c r="P74" s="242">
        <f>'Salary Record'!G464</f>
        <v>20000</v>
      </c>
      <c r="Q74" s="252">
        <f>'Salary Record'!K464</f>
        <v>21216.666666666668</v>
      </c>
    </row>
    <row r="75" spans="1:23" ht="14.4" x14ac:dyDescent="0.3">
      <c r="A75" s="31">
        <v>3</v>
      </c>
      <c r="B75" s="255" t="str">
        <f>'Salary Record'!C1242</f>
        <v>Shaheryar</v>
      </c>
      <c r="C75" s="29"/>
      <c r="D75" s="129"/>
      <c r="E75" s="15">
        <f>'Salary Record'!K1241</f>
        <v>19000</v>
      </c>
      <c r="F75" s="15">
        <f>'Salary Record'!C1247</f>
        <v>29</v>
      </c>
      <c r="G75" s="41">
        <f>'Salary Record'!C1248</f>
        <v>1</v>
      </c>
      <c r="H75" s="15">
        <f>'Salary Record'!I1246</f>
        <v>58.098999999999997</v>
      </c>
      <c r="I75" s="15">
        <f>'Salary Record'!I1245</f>
        <v>30</v>
      </c>
      <c r="J75" s="33">
        <f>'Salary Record'!K1246</f>
        <v>4599.5041666666666</v>
      </c>
      <c r="K75" s="33">
        <f>'Salary Record'!K1247</f>
        <v>23599.504166666666</v>
      </c>
      <c r="L75" s="15">
        <f>'Salary Record'!G1245</f>
        <v>8000</v>
      </c>
      <c r="M75" s="117">
        <f>'Salary Record'!G1246</f>
        <v>0</v>
      </c>
      <c r="N75" s="118">
        <f>'Salary Record'!G1247</f>
        <v>8000</v>
      </c>
      <c r="O75" s="117">
        <f>'Salary Record'!G1248</f>
        <v>2000</v>
      </c>
      <c r="P75" s="118">
        <f>'Salary Record'!G1249</f>
        <v>6000</v>
      </c>
      <c r="Q75" s="251">
        <f>'Salary Record'!K1249</f>
        <v>21599.504166666666</v>
      </c>
      <c r="U75" s="2"/>
      <c r="W75" s="2"/>
    </row>
    <row r="76" spans="1:23" ht="14.4" x14ac:dyDescent="0.3">
      <c r="A76" s="31">
        <v>4</v>
      </c>
      <c r="B76" s="255" t="str">
        <f>'Salary Record'!C1274</f>
        <v>Shahrukh</v>
      </c>
      <c r="C76" s="154"/>
      <c r="D76" s="147"/>
      <c r="E76" s="39">
        <f>'Salary Record'!K1273</f>
        <v>14000</v>
      </c>
      <c r="F76" s="39">
        <f>'Salary Record'!C1279</f>
        <v>11</v>
      </c>
      <c r="G76" s="39">
        <f>'Salary Record'!C1280</f>
        <v>19</v>
      </c>
      <c r="H76" s="39">
        <f>'Salary Record'!I1278</f>
        <v>0</v>
      </c>
      <c r="I76" s="39">
        <f>'Salary Record'!I1277</f>
        <v>11</v>
      </c>
      <c r="J76" s="33">
        <f>'Salary Record'!K1278</f>
        <v>0</v>
      </c>
      <c r="K76" s="33">
        <f>'Salary Record'!K1279</f>
        <v>5133.3333333333339</v>
      </c>
      <c r="L76" s="15">
        <f>'Salary Record'!G1277</f>
        <v>0</v>
      </c>
      <c r="M76" s="35">
        <f>'Salary Record'!G1278</f>
        <v>0</v>
      </c>
      <c r="N76" s="36">
        <f>'Salary Record'!G1279</f>
        <v>0</v>
      </c>
      <c r="O76" s="35">
        <f>'Salary Record'!G1280</f>
        <v>0</v>
      </c>
      <c r="P76" s="36">
        <f>'Salary Record'!G1281</f>
        <v>0</v>
      </c>
      <c r="Q76" s="250">
        <f>'Salary Record'!K1281</f>
        <v>5133.3333333333339</v>
      </c>
      <c r="R76" s="13"/>
    </row>
    <row r="77" spans="1:23" ht="14.4" x14ac:dyDescent="0.3">
      <c r="A77" s="31">
        <v>5</v>
      </c>
      <c r="B77" s="255" t="str">
        <f>'Salary Record'!C1434</f>
        <v>Imran S/O Feroz</v>
      </c>
      <c r="C77" s="154"/>
      <c r="D77" s="147"/>
      <c r="E77" s="24">
        <f>'Salary Record'!K1433</f>
        <v>25000</v>
      </c>
      <c r="F77" s="24">
        <f>'Salary Record'!C1439</f>
        <v>14</v>
      </c>
      <c r="G77" s="39">
        <f>'Salary Record'!C1440</f>
        <v>16</v>
      </c>
      <c r="H77" s="24">
        <f>'Salary Record'!I1438</f>
        <v>0</v>
      </c>
      <c r="I77" s="24">
        <f>'Salary Record'!I1437</f>
        <v>14</v>
      </c>
      <c r="J77" s="33">
        <f>'Salary Record'!K1438</f>
        <v>0</v>
      </c>
      <c r="K77" s="24">
        <f>'Salary Record'!K1439</f>
        <v>11666.666666666668</v>
      </c>
      <c r="L77" s="15">
        <f>'Salary Record'!G1437</f>
        <v>1500</v>
      </c>
      <c r="M77" s="35">
        <f>'Salary Record'!G1438</f>
        <v>0</v>
      </c>
      <c r="N77" s="36">
        <f>'Salary Record'!G1439</f>
        <v>1500</v>
      </c>
      <c r="O77" s="35">
        <f>'Salary Record'!G1440</f>
        <v>0</v>
      </c>
      <c r="P77" s="36">
        <f>'Salary Record'!G1441</f>
        <v>1500</v>
      </c>
      <c r="Q77" s="250">
        <f>'Salary Record'!K1441</f>
        <v>11666.666666666668</v>
      </c>
    </row>
    <row r="78" spans="1:23" ht="14.4" x14ac:dyDescent="0.3">
      <c r="A78" s="31">
        <v>6</v>
      </c>
      <c r="B78" s="255" t="str">
        <f>'Salary Record'!C825</f>
        <v>Ahmed</v>
      </c>
      <c r="C78" s="167"/>
      <c r="D78" s="132"/>
      <c r="E78" s="15">
        <f>'Salary Record'!K824</f>
        <v>16000</v>
      </c>
      <c r="F78" s="15">
        <f>'Salary Record'!C830</f>
        <v>29</v>
      </c>
      <c r="G78" s="41">
        <f>'Salary Record'!C831</f>
        <v>1</v>
      </c>
      <c r="H78" s="15">
        <f>'Salary Record'!I829</f>
        <v>15</v>
      </c>
      <c r="I78" s="15">
        <f>'Salary Record'!I828</f>
        <v>29</v>
      </c>
      <c r="J78" s="33">
        <f>'Salary Record'!K829</f>
        <v>1000.0000000000001</v>
      </c>
      <c r="K78" s="33">
        <f>'Salary Record'!K830</f>
        <v>16466.666666666668</v>
      </c>
      <c r="L78" s="15">
        <f>'Salary Record'!G828</f>
        <v>0</v>
      </c>
      <c r="M78" s="15">
        <f>'Salary Record'!G829</f>
        <v>0</v>
      </c>
      <c r="N78" s="36" t="str">
        <f>'Salary Record'!G830</f>
        <v/>
      </c>
      <c r="O78" s="15">
        <f>'Salary Record'!G831</f>
        <v>0</v>
      </c>
      <c r="P78" s="36" t="str">
        <f>'Salary Record'!G832</f>
        <v/>
      </c>
      <c r="Q78" s="250">
        <f>'Salary Record'!K832</f>
        <v>16466.666666666668</v>
      </c>
      <c r="R78" s="13"/>
    </row>
    <row r="79" spans="1:23" ht="14.4" hidden="1" x14ac:dyDescent="0.3">
      <c r="A79" s="31">
        <v>14</v>
      </c>
      <c r="B79" s="38">
        <f>'Salary Record'!C921</f>
        <v>0</v>
      </c>
      <c r="C79" s="189"/>
      <c r="D79" s="191"/>
      <c r="E79" s="35">
        <f>'Salary Record'!K920</f>
        <v>0</v>
      </c>
      <c r="F79" s="35">
        <f>'Salary Record'!C926</f>
        <v>0</v>
      </c>
      <c r="G79" s="44">
        <f>'Salary Record'!C927</f>
        <v>0</v>
      </c>
      <c r="H79" s="35">
        <f>'Salary Record'!I925</f>
        <v>0</v>
      </c>
      <c r="I79" s="35">
        <f>'Salary Record'!I924</f>
        <v>0</v>
      </c>
      <c r="J79" s="33">
        <f>'Salary Record'!K925</f>
        <v>0</v>
      </c>
      <c r="K79" s="33">
        <f>'Salary Record'!K926</f>
        <v>0</v>
      </c>
      <c r="L79" s="15">
        <f>'Salary Record'!G924</f>
        <v>0</v>
      </c>
      <c r="M79" s="35">
        <f>'Salary Record'!G925</f>
        <v>0</v>
      </c>
      <c r="N79" s="36">
        <f>'Salary Record'!G926</f>
        <v>0</v>
      </c>
      <c r="O79" s="35">
        <f>'Salary Record'!G927</f>
        <v>0</v>
      </c>
      <c r="P79" s="36">
        <f>'Salary Record'!G928</f>
        <v>0</v>
      </c>
      <c r="Q79" s="193">
        <f>'Salary Record'!K928</f>
        <v>0</v>
      </c>
    </row>
    <row r="80" spans="1:23" ht="14.4" x14ac:dyDescent="0.3">
      <c r="A80" s="277" t="s">
        <v>2</v>
      </c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278"/>
      <c r="P80" s="279"/>
      <c r="Q80" s="157">
        <f>SUM(Q73:Q79)</f>
        <v>90582.837500000009</v>
      </c>
      <c r="R80" s="13"/>
    </row>
    <row r="81" spans="1:20" ht="15.6" x14ac:dyDescent="0.3">
      <c r="A81" s="268" t="s">
        <v>141</v>
      </c>
      <c r="B81" s="269"/>
      <c r="C81" s="269"/>
      <c r="D81" s="269"/>
      <c r="E81" s="269"/>
      <c r="F81" s="269"/>
      <c r="G81" s="269"/>
      <c r="H81" s="269"/>
      <c r="I81" s="269"/>
      <c r="J81" s="269"/>
      <c r="K81" s="269"/>
      <c r="L81" s="269"/>
      <c r="M81" s="269"/>
      <c r="N81" s="269"/>
      <c r="O81" s="269"/>
      <c r="P81" s="269"/>
      <c r="Q81" s="270"/>
    </row>
    <row r="82" spans="1:20" ht="14.4" x14ac:dyDescent="0.3">
      <c r="A82" s="37">
        <v>1</v>
      </c>
      <c r="B82" s="255" t="str">
        <f>'Salary Record'!C1097</f>
        <v>M. Rafeeq</v>
      </c>
      <c r="C82" s="165"/>
      <c r="D82" s="161"/>
      <c r="E82" s="35">
        <f>'Salary Record'!K1096</f>
        <v>40000</v>
      </c>
      <c r="F82" s="35">
        <f>'Salary Record'!C1102</f>
        <v>24</v>
      </c>
      <c r="G82" s="44">
        <f>'Salary Record'!C1103</f>
        <v>6</v>
      </c>
      <c r="H82" s="35">
        <f>'Salary Record'!I1101</f>
        <v>0</v>
      </c>
      <c r="I82" s="35">
        <f>'Salary Record'!I1100</f>
        <v>30</v>
      </c>
      <c r="J82" s="33">
        <f>'Salary Record'!K1101</f>
        <v>0</v>
      </c>
      <c r="K82" s="33">
        <f>'Salary Record'!K1102</f>
        <v>40000</v>
      </c>
      <c r="L82" s="15">
        <f>'Salary Record'!G1100</f>
        <v>0</v>
      </c>
      <c r="M82" s="35">
        <f>'Salary Record'!G1101</f>
        <v>0</v>
      </c>
      <c r="N82" s="36" t="str">
        <f>'Salary Record'!G1102</f>
        <v/>
      </c>
      <c r="O82" s="35">
        <f>'Salary Record'!G1103</f>
        <v>0</v>
      </c>
      <c r="P82" s="36" t="str">
        <f>'Salary Record'!G1104</f>
        <v/>
      </c>
      <c r="Q82" s="250">
        <f>'Salary Record'!K1104</f>
        <v>40000</v>
      </c>
      <c r="R82" s="13"/>
    </row>
    <row r="83" spans="1:20" ht="15" customHeight="1" x14ac:dyDescent="0.3">
      <c r="A83" s="37">
        <v>2</v>
      </c>
      <c r="B83" s="255" t="s">
        <v>13</v>
      </c>
      <c r="C83" s="135" t="s">
        <v>120</v>
      </c>
      <c r="D83" s="136">
        <f>SUM(Q83:Q83)</f>
        <v>19283.333333333332</v>
      </c>
      <c r="E83" s="24">
        <f>'Salary Record'!K760</f>
        <v>28000</v>
      </c>
      <c r="F83" s="24">
        <f>'Salary Record'!C766</f>
        <v>29</v>
      </c>
      <c r="G83" s="39">
        <f>'Salary Record'!C767</f>
        <v>1</v>
      </c>
      <c r="H83" s="24">
        <f>'Salary Record'!I765</f>
        <v>11</v>
      </c>
      <c r="I83" s="24">
        <f>'Salary Record'!I764</f>
        <v>30</v>
      </c>
      <c r="J83" s="33">
        <f>'Salary Record'!K765</f>
        <v>1283.3333333333335</v>
      </c>
      <c r="K83" s="24">
        <f>'Salary Record'!K766</f>
        <v>29283.333333333332</v>
      </c>
      <c r="L83" s="15">
        <f>'Salary Record'!G764</f>
        <v>139000</v>
      </c>
      <c r="M83" s="35">
        <f>'Salary Record'!G765</f>
        <v>0</v>
      </c>
      <c r="N83" s="36">
        <f>'Salary Record'!G766</f>
        <v>139000</v>
      </c>
      <c r="O83" s="24">
        <f>'Salary Record'!G767</f>
        <v>10000</v>
      </c>
      <c r="P83" s="36">
        <f>'Salary Record'!G768</f>
        <v>129000</v>
      </c>
      <c r="Q83" s="250">
        <f>'Salary Record'!K768</f>
        <v>19283.333333333332</v>
      </c>
      <c r="R83" s="13"/>
    </row>
    <row r="84" spans="1:20" ht="14.4" x14ac:dyDescent="0.3">
      <c r="A84" s="37">
        <v>3</v>
      </c>
      <c r="B84" s="255" t="str">
        <f>'Salary Record'!C185</f>
        <v>Talha</v>
      </c>
      <c r="C84" s="165"/>
      <c r="D84" s="161"/>
      <c r="E84" s="35">
        <f>'Salary Record'!K184</f>
        <v>27500</v>
      </c>
      <c r="F84" s="35">
        <f>'Salary Record'!C190</f>
        <v>26</v>
      </c>
      <c r="G84" s="44">
        <f>'Salary Record'!C191</f>
        <v>4</v>
      </c>
      <c r="H84" s="35">
        <f>'Salary Record'!I189</f>
        <v>-17</v>
      </c>
      <c r="I84" s="35">
        <f>'Salary Record'!I188</f>
        <v>30</v>
      </c>
      <c r="J84" s="33">
        <f>'Salary Record'!K189</f>
        <v>-1947.9166666666665</v>
      </c>
      <c r="K84" s="33">
        <f>'Salary Record'!K190</f>
        <v>25552.083333333332</v>
      </c>
      <c r="L84" s="15">
        <f>'Salary Record'!G188</f>
        <v>3000</v>
      </c>
      <c r="M84" s="35">
        <f>'Salary Record'!G189</f>
        <v>15000</v>
      </c>
      <c r="N84" s="36">
        <f>'Salary Record'!G190</f>
        <v>18000</v>
      </c>
      <c r="O84" s="35">
        <f>'Salary Record'!G191</f>
        <v>2000</v>
      </c>
      <c r="P84" s="36">
        <f>'Salary Record'!G192</f>
        <v>16000</v>
      </c>
      <c r="Q84" s="250">
        <f>'Salary Record'!K192</f>
        <v>23552.083333333332</v>
      </c>
    </row>
    <row r="85" spans="1:20" ht="14.4" x14ac:dyDescent="0.3">
      <c r="A85" s="37">
        <v>4</v>
      </c>
      <c r="B85" s="257" t="str">
        <f>'Salary Record'!C505</f>
        <v>Haneef</v>
      </c>
      <c r="C85" s="154" t="s">
        <v>123</v>
      </c>
      <c r="D85" s="136">
        <f>Q85</f>
        <v>18200</v>
      </c>
      <c r="E85" s="24">
        <f>'Salary Record'!K504</f>
        <v>24000</v>
      </c>
      <c r="F85" s="24">
        <f>'Salary Record'!C510</f>
        <v>26</v>
      </c>
      <c r="G85" s="39">
        <f>'Salary Record'!C511</f>
        <v>4</v>
      </c>
      <c r="H85" s="24">
        <f>'Salary Record'!I509</f>
        <v>8</v>
      </c>
      <c r="I85" s="24">
        <f>'Salary Record'!I508</f>
        <v>28</v>
      </c>
      <c r="J85" s="33">
        <f>'Salary Record'!K509</f>
        <v>800</v>
      </c>
      <c r="K85" s="24">
        <f>'Salary Record'!K510</f>
        <v>23200</v>
      </c>
      <c r="L85" s="15">
        <f>'Salary Record'!G508</f>
        <v>51000</v>
      </c>
      <c r="M85" s="35">
        <f>'Salary Record'!G509</f>
        <v>0</v>
      </c>
      <c r="N85" s="36">
        <f>'Salary Record'!G510</f>
        <v>51000</v>
      </c>
      <c r="O85" s="35">
        <f>'Salary Record'!G511</f>
        <v>5000</v>
      </c>
      <c r="P85" s="36">
        <f>'Salary Record'!G512</f>
        <v>46000</v>
      </c>
      <c r="Q85" s="250">
        <f>'Salary Record'!K512</f>
        <v>18200</v>
      </c>
    </row>
    <row r="86" spans="1:20" ht="14.4" x14ac:dyDescent="0.3">
      <c r="A86" s="37">
        <v>5</v>
      </c>
      <c r="B86" s="255" t="s">
        <v>9</v>
      </c>
      <c r="C86" s="153"/>
      <c r="D86" s="149"/>
      <c r="E86" s="39">
        <f>'Salary Record'!K328</f>
        <v>21500</v>
      </c>
      <c r="F86" s="39">
        <f>'Salary Record'!C334</f>
        <v>29</v>
      </c>
      <c r="G86" s="39">
        <f>'Salary Record'!C335</f>
        <v>1</v>
      </c>
      <c r="H86" s="39">
        <f>'Salary Record'!I333</f>
        <v>10.5</v>
      </c>
      <c r="I86" s="39">
        <f>'Salary Record'!I332</f>
        <v>30</v>
      </c>
      <c r="J86" s="33">
        <f>'Salary Record'!K333</f>
        <v>940.625</v>
      </c>
      <c r="K86" s="33">
        <f>'Salary Record'!K334</f>
        <v>22440.625</v>
      </c>
      <c r="L86" s="15">
        <f>'Salary Record'!G332</f>
        <v>31000</v>
      </c>
      <c r="M86" s="35">
        <f>'Salary Record'!G333</f>
        <v>5000</v>
      </c>
      <c r="N86" s="36">
        <f>'Salary Record'!G334</f>
        <v>36000</v>
      </c>
      <c r="O86" s="35">
        <f>'Salary Record'!G335</f>
        <v>0</v>
      </c>
      <c r="P86" s="36">
        <f>'Salary Record'!G336</f>
        <v>36000</v>
      </c>
      <c r="Q86" s="250">
        <f>'Salary Record'!K336</f>
        <v>22440.625</v>
      </c>
    </row>
    <row r="87" spans="1:20" ht="14.4" x14ac:dyDescent="0.3">
      <c r="A87" s="37">
        <v>6</v>
      </c>
      <c r="B87" s="255" t="s">
        <v>19</v>
      </c>
      <c r="C87" s="158"/>
      <c r="D87" s="136"/>
      <c r="E87" s="35">
        <f>'Salary Record'!K552</f>
        <v>18000</v>
      </c>
      <c r="F87" s="35">
        <f>'Salary Record'!C558</f>
        <v>29</v>
      </c>
      <c r="G87" s="44">
        <f>'Salary Record'!C559</f>
        <v>1</v>
      </c>
      <c r="H87" s="35">
        <f>'Salary Record'!I557</f>
        <v>19</v>
      </c>
      <c r="I87" s="35">
        <f>'Salary Record'!I556</f>
        <v>30</v>
      </c>
      <c r="J87" s="33">
        <f>'Salary Record'!K557</f>
        <v>1425</v>
      </c>
      <c r="K87" s="33">
        <f>'Salary Record'!K558</f>
        <v>19425</v>
      </c>
      <c r="L87" s="15">
        <f>'Salary Record'!G556</f>
        <v>0</v>
      </c>
      <c r="M87" s="35">
        <f>'Salary Record'!G557</f>
        <v>20000</v>
      </c>
      <c r="N87" s="36">
        <f>'Salary Record'!G558</f>
        <v>20000</v>
      </c>
      <c r="O87" s="35">
        <f>'Salary Record'!G559</f>
        <v>19425</v>
      </c>
      <c r="P87" s="36">
        <f>'Salary Record'!G560</f>
        <v>575</v>
      </c>
      <c r="Q87" s="250">
        <f>'Salary Record'!K560</f>
        <v>0</v>
      </c>
    </row>
    <row r="88" spans="1:20" ht="14.4" x14ac:dyDescent="0.3">
      <c r="A88" s="37">
        <v>7</v>
      </c>
      <c r="B88" s="255" t="str">
        <f>'Salary Record'!C409</f>
        <v>Danish</v>
      </c>
      <c r="C88" s="154"/>
      <c r="D88" s="147"/>
      <c r="E88" s="39">
        <f>'Salary Record'!K408</f>
        <v>16000</v>
      </c>
      <c r="F88" s="39">
        <f>'Salary Record'!C414</f>
        <v>23</v>
      </c>
      <c r="G88" s="39">
        <f>'Salary Record'!C415</f>
        <v>7</v>
      </c>
      <c r="H88" s="39">
        <f>'Salary Record'!I413</f>
        <v>3</v>
      </c>
      <c r="I88" s="39">
        <f>'Salary Record'!I412</f>
        <v>23</v>
      </c>
      <c r="J88" s="33">
        <f>'Salary Record'!K413</f>
        <v>200</v>
      </c>
      <c r="K88" s="33">
        <f>'Salary Record'!K414</f>
        <v>12466.666666666668</v>
      </c>
      <c r="L88" s="15" t="str">
        <f>'Salary Record'!G412</f>
        <v/>
      </c>
      <c r="M88" s="35">
        <f>'Salary Record'!G413</f>
        <v>50</v>
      </c>
      <c r="N88" s="36">
        <f>'Salary Record'!G414</f>
        <v>50</v>
      </c>
      <c r="O88" s="35">
        <f>'Salary Record'!G415</f>
        <v>50</v>
      </c>
      <c r="P88" s="36">
        <f>'Salary Record'!G416</f>
        <v>0</v>
      </c>
      <c r="Q88" s="250">
        <f>'Salary Record'!K416</f>
        <v>12416.666666666668</v>
      </c>
    </row>
    <row r="89" spans="1:20" ht="14.4" x14ac:dyDescent="0.3">
      <c r="A89" s="37">
        <v>8</v>
      </c>
      <c r="B89" s="255" t="str">
        <f>'Salary Record'!C537</f>
        <v>Abeer</v>
      </c>
      <c r="C89" s="158"/>
      <c r="D89" s="136"/>
      <c r="E89" s="24">
        <f>'Salary Record'!K536</f>
        <v>15000</v>
      </c>
      <c r="F89" s="24">
        <f>'Salary Record'!C542</f>
        <v>27</v>
      </c>
      <c r="G89" s="39">
        <f>'Salary Record'!C543</f>
        <v>3</v>
      </c>
      <c r="H89" s="24">
        <f>'Salary Record'!I541</f>
        <v>3.5</v>
      </c>
      <c r="I89" s="24">
        <f>'Salary Record'!I540</f>
        <v>27</v>
      </c>
      <c r="J89" s="33">
        <f>'Salary Record'!K541</f>
        <v>218.75</v>
      </c>
      <c r="K89" s="33">
        <f>'Salary Record'!K542</f>
        <v>13718.75</v>
      </c>
      <c r="L89" s="15">
        <f>'Salary Record'!G540</f>
        <v>0</v>
      </c>
      <c r="M89" s="35">
        <f>'Salary Record'!G541</f>
        <v>0</v>
      </c>
      <c r="N89" s="36" t="str">
        <f>'Salary Record'!G542</f>
        <v/>
      </c>
      <c r="O89" s="35">
        <f>'Salary Record'!G543</f>
        <v>0</v>
      </c>
      <c r="P89" s="36" t="str">
        <f>'Salary Record'!G544</f>
        <v/>
      </c>
      <c r="Q89" s="250">
        <f>'Salary Record'!K544</f>
        <v>13718.75</v>
      </c>
    </row>
    <row r="90" spans="1:20" ht="14.4" x14ac:dyDescent="0.3">
      <c r="A90" s="37">
        <v>9</v>
      </c>
      <c r="B90" s="256" t="str">
        <f>'Salary Record'!C1370</f>
        <v>Sameer</v>
      </c>
      <c r="C90" s="160"/>
      <c r="D90" s="163"/>
      <c r="E90" s="15">
        <f>'Salary Record'!K1369</f>
        <v>15000</v>
      </c>
      <c r="F90" s="15">
        <f>'Salary Record'!C1375</f>
        <v>27</v>
      </c>
      <c r="G90" s="41">
        <f>'Salary Record'!C1376</f>
        <v>3</v>
      </c>
      <c r="H90" s="15">
        <f>'Salary Record'!I1374</f>
        <v>3.5</v>
      </c>
      <c r="I90" s="15">
        <f>'Salary Record'!I1373</f>
        <v>27</v>
      </c>
      <c r="J90" s="33">
        <f>'Salary Record'!K1374</f>
        <v>218.75</v>
      </c>
      <c r="K90" s="24">
        <f>'Salary Record'!K1375</f>
        <v>13718.75</v>
      </c>
      <c r="L90" s="15">
        <f>'Salary Record'!G1373</f>
        <v>0</v>
      </c>
      <c r="M90" s="15">
        <f>'Salary Record'!G1374</f>
        <v>0</v>
      </c>
      <c r="N90" s="36">
        <f>'Salary Record'!G1375</f>
        <v>0</v>
      </c>
      <c r="O90" s="15">
        <f>'Salary Record'!G1376</f>
        <v>0</v>
      </c>
      <c r="P90" s="36">
        <f>'Salary Record'!G1377</f>
        <v>0</v>
      </c>
      <c r="Q90" s="250">
        <f>'Salary Record'!K1377</f>
        <v>13718.75</v>
      </c>
    </row>
    <row r="91" spans="1:20" ht="14.4" x14ac:dyDescent="0.3">
      <c r="A91" s="37">
        <v>10</v>
      </c>
      <c r="B91" s="255" t="str">
        <f>'Salary Record'!C1290</f>
        <v>Amir (Plumber)</v>
      </c>
      <c r="C91" s="154"/>
      <c r="D91" s="147"/>
      <c r="E91" s="39">
        <f>'Salary Record'!K1289</f>
        <v>23000</v>
      </c>
      <c r="F91" s="39">
        <f>'Salary Record'!C1295</f>
        <v>27</v>
      </c>
      <c r="G91" s="39">
        <f>'Salary Record'!C1296</f>
        <v>3</v>
      </c>
      <c r="H91" s="39">
        <f>'Salary Record'!I1294</f>
        <v>-2</v>
      </c>
      <c r="I91" s="39">
        <f>'Salary Record'!I1293</f>
        <v>30</v>
      </c>
      <c r="J91" s="33">
        <f>'Salary Record'!K1294</f>
        <v>-191.66666666666666</v>
      </c>
      <c r="K91" s="33">
        <f>'Salary Record'!K1295</f>
        <v>22808.333333333332</v>
      </c>
      <c r="L91" s="15">
        <f>'Salary Record'!G1293</f>
        <v>20000</v>
      </c>
      <c r="M91" s="35">
        <f>'Salary Record'!G1294</f>
        <v>50</v>
      </c>
      <c r="N91" s="36">
        <f>'Salary Record'!G1295</f>
        <v>20050</v>
      </c>
      <c r="O91" s="35">
        <f>'Salary Record'!G1296</f>
        <v>5050</v>
      </c>
      <c r="P91" s="36">
        <f>'Salary Record'!G1297</f>
        <v>15000</v>
      </c>
      <c r="Q91" s="250">
        <f>'Salary Record'!K1297</f>
        <v>17758.333333333332</v>
      </c>
      <c r="R91" s="13"/>
    </row>
    <row r="92" spans="1:20" ht="14.4" x14ac:dyDescent="0.3">
      <c r="A92" s="203"/>
      <c r="B92" s="203"/>
      <c r="C92" s="203"/>
      <c r="D92" s="203"/>
      <c r="E92" s="203"/>
      <c r="F92" s="203"/>
      <c r="G92" s="203"/>
      <c r="H92" s="203"/>
      <c r="I92" s="203"/>
      <c r="J92" s="203"/>
      <c r="K92" s="203"/>
      <c r="L92" s="203"/>
      <c r="M92" s="203"/>
      <c r="N92" s="203"/>
      <c r="O92" s="203"/>
      <c r="P92" s="203"/>
      <c r="Q92" s="157">
        <f>SUM(Q82:Q91)</f>
        <v>181088.54166666666</v>
      </c>
      <c r="R92" s="13"/>
      <c r="T92" s="13"/>
    </row>
    <row r="93" spans="1:20" ht="15.6" x14ac:dyDescent="0.3">
      <c r="A93" s="268" t="s">
        <v>195</v>
      </c>
      <c r="B93" s="269"/>
      <c r="C93" s="269"/>
      <c r="D93" s="269"/>
      <c r="E93" s="269"/>
      <c r="F93" s="269"/>
      <c r="G93" s="269"/>
      <c r="H93" s="269"/>
      <c r="I93" s="269"/>
      <c r="J93" s="269"/>
      <c r="K93" s="269"/>
      <c r="L93" s="269"/>
      <c r="M93" s="269"/>
      <c r="N93" s="269"/>
      <c r="O93" s="269"/>
      <c r="P93" s="269"/>
      <c r="Q93" s="270"/>
    </row>
    <row r="94" spans="1:20" ht="14.4" x14ac:dyDescent="0.3">
      <c r="A94" s="31">
        <v>1</v>
      </c>
      <c r="B94" s="259" t="s">
        <v>18</v>
      </c>
      <c r="C94" s="235"/>
      <c r="D94" s="236"/>
      <c r="E94" s="237">
        <f>'Salary Record'!K584</f>
        <v>34000</v>
      </c>
      <c r="F94" s="237">
        <f>'Salary Record'!C590</f>
        <v>29</v>
      </c>
      <c r="G94" s="238">
        <f>'Salary Record'!C591</f>
        <v>1</v>
      </c>
      <c r="H94" s="237">
        <f>'Salary Record'!I589</f>
        <v>67</v>
      </c>
      <c r="I94" s="237">
        <f>'Salary Record'!I588</f>
        <v>30</v>
      </c>
      <c r="J94" s="239">
        <f>'Salary Record'!K589</f>
        <v>9491.6666666666661</v>
      </c>
      <c r="K94" s="239">
        <f>'Salary Record'!K590</f>
        <v>43491.666666666664</v>
      </c>
      <c r="L94" s="240">
        <f>'Salary Record'!G588</f>
        <v>10000</v>
      </c>
      <c r="M94" s="241">
        <f>'Salary Record'!G589</f>
        <v>0</v>
      </c>
      <c r="N94" s="242">
        <f>'Salary Record'!G590</f>
        <v>10000</v>
      </c>
      <c r="O94" s="241">
        <f>'Salary Record'!G591</f>
        <v>5000</v>
      </c>
      <c r="P94" s="242">
        <f>'Salary Record'!G592</f>
        <v>5000</v>
      </c>
      <c r="Q94" s="252">
        <f>'Salary Record'!K592</f>
        <v>38491.666666666664</v>
      </c>
    </row>
    <row r="95" spans="1:20" ht="15.75" customHeight="1" x14ac:dyDescent="0.3">
      <c r="A95" s="31">
        <v>2</v>
      </c>
      <c r="B95" s="255" t="s">
        <v>4</v>
      </c>
      <c r="C95" s="160"/>
      <c r="D95" s="163"/>
      <c r="E95" s="39">
        <f>'Salary Record'!K1000</f>
        <v>27000</v>
      </c>
      <c r="F95" s="39">
        <f>'Salary Record'!C1006</f>
        <v>30</v>
      </c>
      <c r="G95" s="39">
        <f>'Salary Record'!C1007</f>
        <v>0</v>
      </c>
      <c r="H95" s="39">
        <f>'Salary Record'!I1005</f>
        <v>59</v>
      </c>
      <c r="I95" s="39">
        <f>'Salary Record'!I1004</f>
        <v>30</v>
      </c>
      <c r="J95" s="33">
        <f>'Salary Record'!K1005</f>
        <v>6637.5</v>
      </c>
      <c r="K95" s="24">
        <f>'Salary Record'!K1006</f>
        <v>33637.5</v>
      </c>
      <c r="L95" s="15">
        <f>'Salary Record'!G1004</f>
        <v>0</v>
      </c>
      <c r="M95" s="35">
        <f>'Salary Record'!G1005</f>
        <v>0</v>
      </c>
      <c r="N95" s="36">
        <f>'Salary Record'!G1006</f>
        <v>0</v>
      </c>
      <c r="O95" s="35">
        <f>'Salary Record'!G1007</f>
        <v>0</v>
      </c>
      <c r="P95" s="36">
        <f>'Salary Record'!G1008</f>
        <v>0</v>
      </c>
      <c r="Q95" s="250">
        <f>'Salary Record'!K1008</f>
        <v>33637.5</v>
      </c>
    </row>
    <row r="96" spans="1:20" ht="15" customHeight="1" x14ac:dyDescent="0.3">
      <c r="A96" s="37">
        <v>3</v>
      </c>
      <c r="B96" s="255" t="s">
        <v>43</v>
      </c>
      <c r="C96" s="167"/>
      <c r="D96" s="132"/>
      <c r="E96" s="47">
        <f>'Salary Record'!K568</f>
        <v>18000</v>
      </c>
      <c r="F96" s="47">
        <f>'Salary Record'!C574</f>
        <v>27</v>
      </c>
      <c r="G96" s="44">
        <f>'Salary Record'!C575</f>
        <v>3</v>
      </c>
      <c r="H96" s="47">
        <f>'Salary Record'!I573</f>
        <v>34</v>
      </c>
      <c r="I96" s="47">
        <f>'Salary Record'!I572</f>
        <v>30</v>
      </c>
      <c r="J96" s="33">
        <f>'Salary Record'!K573</f>
        <v>2550</v>
      </c>
      <c r="K96" s="24">
        <f>'Salary Record'!K574</f>
        <v>20550</v>
      </c>
      <c r="L96" s="15">
        <f>'Salary Record'!G572</f>
        <v>25000</v>
      </c>
      <c r="M96" s="35">
        <f>'Salary Record'!G573</f>
        <v>0</v>
      </c>
      <c r="N96" s="36">
        <f>'Salary Record'!G574</f>
        <v>25000</v>
      </c>
      <c r="O96" s="35">
        <f>'Salary Record'!G575</f>
        <v>4000</v>
      </c>
      <c r="P96" s="36">
        <f>'Salary Record'!G576</f>
        <v>21000</v>
      </c>
      <c r="Q96" s="250">
        <f>'Salary Record'!K576</f>
        <v>16550</v>
      </c>
    </row>
    <row r="97" spans="1:23" ht="14.4" x14ac:dyDescent="0.3">
      <c r="A97" s="37">
        <v>4</v>
      </c>
      <c r="B97" s="255" t="str">
        <f>'Salary Record'!C153</f>
        <v>Mubarak</v>
      </c>
      <c r="C97" s="165"/>
      <c r="D97" s="161"/>
      <c r="E97" s="35">
        <f>'Salary Record'!K152</f>
        <v>1400</v>
      </c>
      <c r="F97" s="35">
        <f>'Salary Record'!C158</f>
        <v>0</v>
      </c>
      <c r="G97" s="44">
        <f>'Salary Record'!C159</f>
        <v>0</v>
      </c>
      <c r="H97" s="35">
        <f>'Salary Record'!I157</f>
        <v>0</v>
      </c>
      <c r="I97" s="35">
        <f>'Salary Record'!I156</f>
        <v>14</v>
      </c>
      <c r="J97" s="33">
        <f>'Salary Record'!K157</f>
        <v>0</v>
      </c>
      <c r="K97" s="33">
        <f>'Salary Record'!K158</f>
        <v>19600</v>
      </c>
      <c r="L97" s="15">
        <f>'Salary Record'!G156</f>
        <v>0</v>
      </c>
      <c r="M97" s="35">
        <f>'Salary Record'!V155</f>
        <v>17000</v>
      </c>
      <c r="N97" s="36">
        <f>'Salary Record'!G158</f>
        <v>5000</v>
      </c>
      <c r="O97" s="35">
        <f>'Salary Record'!G159</f>
        <v>5000</v>
      </c>
      <c r="P97" s="36">
        <f>'Salary Record'!G160</f>
        <v>0</v>
      </c>
      <c r="Q97" s="250">
        <f>'Salary Record'!K160</f>
        <v>14600</v>
      </c>
    </row>
    <row r="98" spans="1:23" ht="14.4" x14ac:dyDescent="0.3">
      <c r="A98" s="37">
        <v>5</v>
      </c>
      <c r="B98" s="255" t="str">
        <f>'Salary Record'!C729</f>
        <v>Salahuddin</v>
      </c>
      <c r="C98" s="183"/>
      <c r="D98" s="180"/>
      <c r="E98" s="24">
        <f>'Salary Record'!K728</f>
        <v>18000</v>
      </c>
      <c r="F98" s="24">
        <f>'Salary Record'!C734</f>
        <v>29</v>
      </c>
      <c r="G98" s="39">
        <f>'Salary Record'!C735</f>
        <v>1</v>
      </c>
      <c r="H98" s="24">
        <f>'Salary Record'!I733</f>
        <v>36</v>
      </c>
      <c r="I98" s="24">
        <f>'Salary Record'!I732</f>
        <v>29</v>
      </c>
      <c r="J98" s="33">
        <f>'Salary Record'!K733</f>
        <v>2700</v>
      </c>
      <c r="K98" s="33">
        <f>'Salary Record'!K734</f>
        <v>20100</v>
      </c>
      <c r="L98" s="15">
        <f>'Salary Record'!G732</f>
        <v>0</v>
      </c>
      <c r="M98" s="35">
        <f>'Salary Record'!G733</f>
        <v>0</v>
      </c>
      <c r="N98" s="36">
        <f>'Salary Record'!G734</f>
        <v>0</v>
      </c>
      <c r="O98" s="35">
        <f>'Salary Record'!G735</f>
        <v>0</v>
      </c>
      <c r="P98" s="36">
        <f>'Salary Record'!G736</f>
        <v>0</v>
      </c>
      <c r="Q98" s="250">
        <f>'Salary Record'!K736</f>
        <v>20100</v>
      </c>
    </row>
    <row r="99" spans="1:23" ht="14.4" x14ac:dyDescent="0.3">
      <c r="A99" s="37">
        <v>6</v>
      </c>
      <c r="B99" s="255" t="str">
        <f>'Salary Record'!C953</f>
        <v>Abdul Lateef</v>
      </c>
      <c r="C99" s="158"/>
      <c r="D99" s="136"/>
      <c r="E99" s="24">
        <f>'Salary Record'!K952</f>
        <v>22000</v>
      </c>
      <c r="F99" s="24">
        <f>'Salary Record'!C958</f>
        <v>27</v>
      </c>
      <c r="G99" s="39">
        <f>'Salary Record'!C959</f>
        <v>3</v>
      </c>
      <c r="H99" s="24">
        <f>'Salary Record'!I957</f>
        <v>38</v>
      </c>
      <c r="I99" s="24">
        <f>'Salary Record'!I956</f>
        <v>27</v>
      </c>
      <c r="J99" s="33">
        <f>'Salary Record'!K957</f>
        <v>3483.3333333333335</v>
      </c>
      <c r="K99" s="33">
        <f>'Salary Record'!K958</f>
        <v>23283.333333333332</v>
      </c>
      <c r="L99" s="15">
        <f>'Salary Record'!G956</f>
        <v>0</v>
      </c>
      <c r="M99" s="15">
        <f>'Salary Record'!G957</f>
        <v>350</v>
      </c>
      <c r="N99" s="36">
        <f>'Salary Record'!G958</f>
        <v>350</v>
      </c>
      <c r="O99" s="15">
        <f>'Salary Record'!G959</f>
        <v>350</v>
      </c>
      <c r="P99" s="36">
        <f>'Salary Record'!G960</f>
        <v>0</v>
      </c>
      <c r="Q99" s="250">
        <f>'Salary Record'!K960</f>
        <v>22933.333333333332</v>
      </c>
      <c r="R99" s="13"/>
    </row>
    <row r="100" spans="1:23" ht="14.4" x14ac:dyDescent="0.3">
      <c r="A100" s="277" t="s">
        <v>2</v>
      </c>
      <c r="B100" s="278"/>
      <c r="C100" s="278"/>
      <c r="D100" s="278"/>
      <c r="E100" s="278"/>
      <c r="F100" s="278"/>
      <c r="G100" s="278"/>
      <c r="H100" s="278"/>
      <c r="I100" s="278"/>
      <c r="J100" s="278"/>
      <c r="K100" s="278"/>
      <c r="L100" s="278"/>
      <c r="M100" s="278"/>
      <c r="N100" s="278"/>
      <c r="O100" s="278"/>
      <c r="P100" s="279"/>
      <c r="Q100" s="157">
        <f>Q99+Q98+Q97+Q96+Q95+Q94</f>
        <v>146312.5</v>
      </c>
      <c r="R100" s="13"/>
    </row>
    <row r="101" spans="1:23" ht="14.4" hidden="1" x14ac:dyDescent="0.3">
      <c r="A101" s="37">
        <v>4</v>
      </c>
      <c r="B101" s="38">
        <f>'Salary Record'!C1017</f>
        <v>0</v>
      </c>
      <c r="C101" s="29" t="s">
        <v>51</v>
      </c>
      <c r="D101" s="129">
        <f>E101</f>
        <v>0</v>
      </c>
      <c r="E101" s="15">
        <f>'Salary Record'!K1016</f>
        <v>0</v>
      </c>
      <c r="F101" s="15">
        <f>'Salary Record'!C1022</f>
        <v>0</v>
      </c>
      <c r="G101" s="41">
        <f>'Salary Record'!C1023</f>
        <v>0</v>
      </c>
      <c r="H101" s="15">
        <f>'Salary Record'!I1021</f>
        <v>0</v>
      </c>
      <c r="I101" s="15">
        <f>'Salary Record'!I1020</f>
        <v>0</v>
      </c>
      <c r="J101" s="33">
        <f>'Salary Record'!K1021</f>
        <v>0</v>
      </c>
      <c r="K101" s="33">
        <f>'Salary Record'!K1022</f>
        <v>0</v>
      </c>
      <c r="L101" s="15">
        <f>'Salary Record'!U1020</f>
        <v>0</v>
      </c>
      <c r="M101" s="15">
        <f>'Salary Record'!V1020</f>
        <v>0</v>
      </c>
      <c r="N101" s="48">
        <f>'Salary Record'!W1020</f>
        <v>0</v>
      </c>
      <c r="O101" s="15">
        <f>'Salary Record'!X1020</f>
        <v>0</v>
      </c>
      <c r="P101" s="48">
        <f>'Salary Record'!Y1020</f>
        <v>0</v>
      </c>
      <c r="Q101" s="43">
        <f>'Salary Record'!K1024</f>
        <v>0</v>
      </c>
      <c r="U101" s="2"/>
      <c r="V101" s="2"/>
      <c r="W101" s="2"/>
    </row>
    <row r="102" spans="1:23" ht="14.4" hidden="1" x14ac:dyDescent="0.3">
      <c r="A102" s="37">
        <v>5</v>
      </c>
      <c r="B102" s="38">
        <f>'Salary Record'!C137</f>
        <v>0</v>
      </c>
      <c r="C102" s="165"/>
      <c r="D102" s="161"/>
      <c r="E102" s="40">
        <f>'Salary Record'!K136</f>
        <v>0</v>
      </c>
      <c r="F102" s="24">
        <f>'Salary Record'!C142</f>
        <v>0</v>
      </c>
      <c r="G102" s="39">
        <f>'Salary Record'!C143</f>
        <v>0</v>
      </c>
      <c r="H102" s="24">
        <f>'Salary Record'!I141</f>
        <v>0</v>
      </c>
      <c r="I102" s="24">
        <f>'Salary Record'!I140</f>
        <v>0</v>
      </c>
      <c r="J102" s="33">
        <f>'Salary Record'!K141</f>
        <v>0</v>
      </c>
      <c r="K102" s="24">
        <f>'Salary Record'!K142</f>
        <v>0</v>
      </c>
      <c r="L102" s="15">
        <f>'Salary Record'!G140</f>
        <v>0</v>
      </c>
      <c r="M102" s="15">
        <f>'Salary Record'!G141</f>
        <v>0</v>
      </c>
      <c r="N102" s="15" t="str">
        <f>'Salary Record'!G142</f>
        <v/>
      </c>
      <c r="O102" s="15">
        <f>'Salary Record'!G143</f>
        <v>0</v>
      </c>
      <c r="P102" s="15" t="str">
        <f>'Salary Record'!G144</f>
        <v/>
      </c>
      <c r="Q102" s="43">
        <f>'Salary Record'!K144</f>
        <v>0</v>
      </c>
    </row>
    <row r="103" spans="1:23" ht="15" hidden="1" customHeight="1" x14ac:dyDescent="0.3">
      <c r="A103" s="31">
        <v>1</v>
      </c>
      <c r="B103" s="38">
        <f>'Salary Record'!C713</f>
        <v>0</v>
      </c>
      <c r="C103" s="181" t="s">
        <v>54</v>
      </c>
      <c r="D103" s="178">
        <f>SUM(Q103:Q104)</f>
        <v>0</v>
      </c>
      <c r="E103" s="45">
        <f>'Salary Record'!K712</f>
        <v>0</v>
      </c>
      <c r="F103" s="45">
        <f>'Salary Record'!C718</f>
        <v>0</v>
      </c>
      <c r="G103" s="33">
        <f>'Salary Record'!C719</f>
        <v>0</v>
      </c>
      <c r="H103" s="45">
        <f>'Salary Record'!I717</f>
        <v>0</v>
      </c>
      <c r="I103" s="45">
        <f>'Salary Record'!I716</f>
        <v>0</v>
      </c>
      <c r="J103" s="33">
        <f>'Salary Record'!K717</f>
        <v>0</v>
      </c>
      <c r="K103" s="33">
        <f>'Salary Record'!K718</f>
        <v>0</v>
      </c>
      <c r="L103" s="15">
        <f>'Salary Record'!G716</f>
        <v>0</v>
      </c>
      <c r="M103" s="35">
        <f>'Salary Record'!G717</f>
        <v>0</v>
      </c>
      <c r="N103" s="36">
        <f>'Salary Record'!G718</f>
        <v>0</v>
      </c>
      <c r="O103" s="35">
        <f>'Salary Record'!G719</f>
        <v>0</v>
      </c>
      <c r="P103" s="36">
        <f>'Salary Record'!G720</f>
        <v>0</v>
      </c>
      <c r="Q103" s="225">
        <f>'Salary Record'!K720</f>
        <v>0</v>
      </c>
    </row>
    <row r="104" spans="1:23" ht="14.4" hidden="1" x14ac:dyDescent="0.3">
      <c r="A104" s="37">
        <v>2</v>
      </c>
      <c r="B104" s="38">
        <f>'Salary Record'!C745</f>
        <v>0</v>
      </c>
      <c r="C104" s="182"/>
      <c r="D104" s="179"/>
      <c r="E104" s="15">
        <f>'Salary Record'!K744</f>
        <v>0</v>
      </c>
      <c r="F104" s="15">
        <f>'Salary Record'!C750</f>
        <v>0</v>
      </c>
      <c r="G104" s="41">
        <f>'Salary Record'!C751</f>
        <v>0</v>
      </c>
      <c r="H104" s="15">
        <f>'Salary Record'!I749</f>
        <v>0</v>
      </c>
      <c r="I104" s="15">
        <f>'Salary Record'!I748</f>
        <v>0</v>
      </c>
      <c r="J104" s="33">
        <f>'Salary Record'!K749</f>
        <v>0</v>
      </c>
      <c r="K104" s="33">
        <f>'Salary Record'!K750</f>
        <v>0</v>
      </c>
      <c r="L104" s="15">
        <f>'Salary Record'!G748</f>
        <v>0</v>
      </c>
      <c r="M104" s="15">
        <f>'Salary Record'!G749</f>
        <v>0</v>
      </c>
      <c r="N104" s="36">
        <f>'Salary Record'!G750</f>
        <v>0</v>
      </c>
      <c r="O104" s="15">
        <f>'Salary Record'!G751</f>
        <v>0</v>
      </c>
      <c r="P104" s="36">
        <f>'Salary Record'!G752</f>
        <v>0</v>
      </c>
      <c r="Q104" s="225">
        <f>'Salary Record'!K752</f>
        <v>0</v>
      </c>
    </row>
    <row r="105" spans="1:23" ht="14.4" hidden="1" x14ac:dyDescent="0.3">
      <c r="A105" s="31">
        <v>8</v>
      </c>
      <c r="B105" s="38">
        <f>'Salary Record'!C1450</f>
        <v>0</v>
      </c>
      <c r="C105" s="154"/>
      <c r="D105" s="147"/>
      <c r="E105" s="24">
        <f>'Salary Record'!K1449</f>
        <v>0</v>
      </c>
      <c r="F105" s="24">
        <f>'Salary Record'!C1455</f>
        <v>0</v>
      </c>
      <c r="G105" s="39">
        <f>'Salary Record'!C1456</f>
        <v>0</v>
      </c>
      <c r="H105" s="24">
        <f>'Salary Record'!I1454</f>
        <v>0</v>
      </c>
      <c r="I105" s="24">
        <f>'Salary Record'!I1453</f>
        <v>0</v>
      </c>
      <c r="J105" s="33">
        <f>'Salary Record'!K1454</f>
        <v>0</v>
      </c>
      <c r="K105" s="24">
        <f>'Salary Record'!K1455</f>
        <v>0</v>
      </c>
      <c r="L105" s="15">
        <f>'Salary Record'!G1453</f>
        <v>0</v>
      </c>
      <c r="M105" s="35">
        <f>'Salary Record'!G1454</f>
        <v>0</v>
      </c>
      <c r="N105" s="36">
        <f>'Salary Record'!G1455</f>
        <v>0</v>
      </c>
      <c r="O105" s="35">
        <f>'Salary Record'!G1456</f>
        <v>0</v>
      </c>
      <c r="P105" s="36">
        <f>'Salary Record'!G1457</f>
        <v>0</v>
      </c>
      <c r="Q105" s="43">
        <f>'Salary Record'!K1457</f>
        <v>0</v>
      </c>
    </row>
    <row r="106" spans="1:23" ht="15.6" hidden="1" x14ac:dyDescent="0.3">
      <c r="A106" s="31">
        <v>8</v>
      </c>
      <c r="B106" s="38">
        <f>'Salary Record'!C1306</f>
        <v>0</v>
      </c>
      <c r="C106" s="182"/>
      <c r="D106" s="179"/>
      <c r="E106" s="24">
        <f>'Salary Record'!K1305</f>
        <v>0</v>
      </c>
      <c r="F106" s="24">
        <f>'Salary Record'!C1311</f>
        <v>0</v>
      </c>
      <c r="G106" s="39">
        <f>'Salary Record'!C1312</f>
        <v>0</v>
      </c>
      <c r="H106" s="145">
        <f>'Salary Record'!I1310</f>
        <v>0</v>
      </c>
      <c r="I106" s="24">
        <f>'Salary Record'!I1309</f>
        <v>0</v>
      </c>
      <c r="J106" s="33">
        <f>'Salary Record'!K1310</f>
        <v>0</v>
      </c>
      <c r="K106" s="33">
        <f>'Salary Record'!K1311</f>
        <v>0</v>
      </c>
      <c r="L106" s="15">
        <f>'Salary Record'!G1309</f>
        <v>0</v>
      </c>
      <c r="M106" s="35">
        <f>'Salary Record'!G1310</f>
        <v>0</v>
      </c>
      <c r="N106" s="36">
        <f>'Salary Record'!G1311</f>
        <v>0</v>
      </c>
      <c r="O106" s="35">
        <f>'Salary Record'!G1312</f>
        <v>0</v>
      </c>
      <c r="P106" s="36">
        <f>'Salary Record'!G1313</f>
        <v>0</v>
      </c>
      <c r="Q106" s="250">
        <f>'Salary Record'!K1313</f>
        <v>0</v>
      </c>
    </row>
    <row r="107" spans="1:23" s="9" customFormat="1" ht="17.399999999999999" x14ac:dyDescent="0.3">
      <c r="A107" s="17"/>
      <c r="B107" s="6" t="s">
        <v>2</v>
      </c>
      <c r="C107" s="6"/>
      <c r="D107" s="19">
        <f>SUM(D4:D106)</f>
        <v>8959640.1124999989</v>
      </c>
      <c r="E107" s="19">
        <f>SUM(E4:E80)</f>
        <v>1192300</v>
      </c>
      <c r="F107" s="14"/>
      <c r="G107" s="18"/>
      <c r="H107" s="14"/>
      <c r="I107" s="14"/>
      <c r="J107" s="20">
        <f>SUM(J4:J80)</f>
        <v>139660.50416666668</v>
      </c>
      <c r="K107" s="20"/>
      <c r="L107" s="20">
        <f>SUM(L4:L106)</f>
        <v>892800</v>
      </c>
      <c r="M107" s="20">
        <f>SUM(M4:M106)</f>
        <v>125027</v>
      </c>
      <c r="N107" s="20">
        <f>SUM(N4:N106)</f>
        <v>1005827</v>
      </c>
      <c r="O107" s="20">
        <f>SUM(O4:O106)</f>
        <v>131387</v>
      </c>
      <c r="P107" s="16">
        <f>SUM(P4:P106)</f>
        <v>874440</v>
      </c>
      <c r="Q107" s="168">
        <f>Q100+Q92+Q80+Q71+Q64+Q55+Q37+Q28+Q18+Q11+Q5+Q4</f>
        <v>1454649.5458333334</v>
      </c>
      <c r="R107" s="10"/>
      <c r="S107" s="30"/>
      <c r="T107" s="10"/>
      <c r="U107" s="30"/>
      <c r="V107" s="30"/>
      <c r="W107" s="2"/>
    </row>
    <row r="108" spans="1:23" ht="15.6" x14ac:dyDescent="0.3">
      <c r="J108" s="187"/>
      <c r="K108" s="280" t="s">
        <v>133</v>
      </c>
      <c r="L108" s="280"/>
      <c r="M108" s="280"/>
      <c r="N108" s="280"/>
      <c r="O108" s="280"/>
      <c r="P108" s="280"/>
      <c r="Q108" s="176">
        <v>50000</v>
      </c>
      <c r="U108" s="2"/>
      <c r="V108" s="2"/>
      <c r="W108" s="2"/>
    </row>
    <row r="109" spans="1:23" ht="15.6" x14ac:dyDescent="0.3">
      <c r="B109" s="228"/>
      <c r="C109" s="215"/>
      <c r="D109" s="215"/>
      <c r="E109" s="282"/>
      <c r="F109" s="283"/>
      <c r="G109" s="283"/>
      <c r="H109" s="283"/>
      <c r="I109" s="210"/>
      <c r="J109" s="187"/>
      <c r="K109" s="280" t="s">
        <v>109</v>
      </c>
      <c r="L109" s="280"/>
      <c r="M109" s="280"/>
      <c r="N109" s="280"/>
      <c r="O109" s="280"/>
      <c r="P109" s="280"/>
      <c r="Q109" s="207">
        <f>Q107-Q108</f>
        <v>1404649.5458333334</v>
      </c>
      <c r="R109" s="13">
        <f>Q109-Q46-Q49-Q51-Q52</f>
        <v>1398459.5458333334</v>
      </c>
      <c r="U109" s="2"/>
      <c r="V109" s="2"/>
      <c r="W109" s="2"/>
    </row>
    <row r="110" spans="1:23" ht="16.8" customHeight="1" x14ac:dyDescent="0.35">
      <c r="B110" s="220"/>
      <c r="C110" s="215"/>
      <c r="D110" s="215"/>
      <c r="E110" s="282"/>
      <c r="F110" s="283"/>
      <c r="G110" s="283"/>
      <c r="H110" s="283"/>
      <c r="I110" s="210"/>
      <c r="K110" s="280" t="s">
        <v>178</v>
      </c>
      <c r="L110" s="280"/>
      <c r="M110" s="280"/>
      <c r="N110" s="280"/>
      <c r="O110" s="280"/>
      <c r="P110" s="280"/>
      <c r="Q110" s="230"/>
    </row>
    <row r="111" spans="1:23" ht="13.8" x14ac:dyDescent="0.25">
      <c r="B111" s="220"/>
      <c r="C111" s="215"/>
      <c r="D111" s="215"/>
      <c r="E111" s="282"/>
      <c r="F111" s="283"/>
      <c r="G111" s="283"/>
      <c r="H111" s="283"/>
      <c r="I111" s="210"/>
      <c r="K111" s="281" t="s">
        <v>153</v>
      </c>
      <c r="L111" s="281"/>
      <c r="M111" s="281"/>
      <c r="N111" s="281"/>
      <c r="P111" s="28"/>
      <c r="Q111" s="13"/>
      <c r="R111" s="2">
        <v>1450417</v>
      </c>
      <c r="S111"/>
    </row>
    <row r="112" spans="1:23" ht="13.8" x14ac:dyDescent="0.25">
      <c r="B112" s="220"/>
      <c r="C112" s="215"/>
      <c r="D112" s="215"/>
      <c r="E112" s="282"/>
      <c r="F112" s="283"/>
      <c r="G112" s="283"/>
      <c r="H112" s="283"/>
      <c r="I112" s="210"/>
      <c r="K112" s="48" t="s">
        <v>154</v>
      </c>
      <c r="L112" s="222" t="s">
        <v>184</v>
      </c>
      <c r="M112" s="222" t="s">
        <v>189</v>
      </c>
      <c r="N112" s="48" t="s">
        <v>167</v>
      </c>
      <c r="P112" s="28"/>
      <c r="Q112" s="2"/>
      <c r="R112" s="13"/>
      <c r="S112"/>
    </row>
    <row r="113" spans="2:19" x14ac:dyDescent="0.25">
      <c r="B113" s="220"/>
      <c r="C113" s="215"/>
      <c r="D113" s="215"/>
      <c r="E113" s="282"/>
      <c r="F113" s="283"/>
      <c r="G113" s="283"/>
      <c r="H113" s="283"/>
      <c r="I113" s="210"/>
      <c r="K113" s="210" t="s">
        <v>155</v>
      </c>
      <c r="L113" s="218">
        <v>100000</v>
      </c>
      <c r="M113" s="218">
        <f>Q4+Q5</f>
        <v>100000</v>
      </c>
      <c r="N113" s="210">
        <f t="shared" ref="N113:N123" si="0">M113-L113</f>
        <v>0</v>
      </c>
      <c r="P113" s="28"/>
      <c r="Q113" s="2"/>
      <c r="R113" s="13"/>
      <c r="S113"/>
    </row>
    <row r="114" spans="2:19" x14ac:dyDescent="0.25">
      <c r="B114" s="220"/>
      <c r="C114" s="215"/>
      <c r="D114" s="215"/>
      <c r="E114" s="282"/>
      <c r="F114" s="283"/>
      <c r="G114" s="283"/>
      <c r="H114" s="283"/>
      <c r="I114" s="210"/>
      <c r="K114" s="234" t="s">
        <v>50</v>
      </c>
      <c r="L114" s="218">
        <v>30000</v>
      </c>
      <c r="M114" s="218">
        <f>Q11</f>
        <v>30000</v>
      </c>
      <c r="N114" s="210">
        <f t="shared" si="0"/>
        <v>0</v>
      </c>
      <c r="P114" s="205"/>
      <c r="Q114" s="2"/>
      <c r="R114" s="13">
        <f>R111-R109</f>
        <v>51957.454166666605</v>
      </c>
      <c r="S114"/>
    </row>
    <row r="115" spans="2:19" x14ac:dyDescent="0.25">
      <c r="B115" s="215"/>
      <c r="C115" s="215"/>
      <c r="D115" s="215"/>
      <c r="E115" s="282"/>
      <c r="F115" s="283"/>
      <c r="G115" s="283"/>
      <c r="H115" s="283"/>
      <c r="I115" s="218"/>
      <c r="K115" s="210" t="s">
        <v>48</v>
      </c>
      <c r="L115" s="218">
        <v>84181.451612903227</v>
      </c>
      <c r="M115" s="218">
        <f>Q18</f>
        <v>91400</v>
      </c>
      <c r="N115" s="210">
        <f t="shared" si="0"/>
        <v>7218.5483870967728</v>
      </c>
      <c r="P115" s="205"/>
      <c r="Q115" s="2"/>
      <c r="R115" s="13"/>
      <c r="S115"/>
    </row>
    <row r="116" spans="2:19" x14ac:dyDescent="0.25">
      <c r="B116" s="215"/>
      <c r="C116" s="215"/>
      <c r="D116" s="215"/>
      <c r="E116" s="282"/>
      <c r="F116" s="283"/>
      <c r="G116" s="283"/>
      <c r="H116" s="283"/>
      <c r="I116" s="218"/>
      <c r="K116" s="210" t="s">
        <v>156</v>
      </c>
      <c r="L116" s="218">
        <v>133486.29032258064</v>
      </c>
      <c r="M116" s="218">
        <f>Q28</f>
        <v>173726.75000000003</v>
      </c>
      <c r="N116" s="210">
        <f t="shared" si="0"/>
        <v>40240.459677419392</v>
      </c>
      <c r="P116" s="28"/>
      <c r="Q116" s="2"/>
      <c r="S116"/>
    </row>
    <row r="117" spans="2:19" ht="13.8" x14ac:dyDescent="0.25">
      <c r="B117" s="215"/>
      <c r="C117" s="215"/>
      <c r="D117" s="215"/>
      <c r="E117" s="282"/>
      <c r="F117" s="283"/>
      <c r="G117" s="283"/>
      <c r="H117" s="283"/>
      <c r="I117" s="218"/>
      <c r="K117" s="210" t="s">
        <v>157</v>
      </c>
      <c r="L117" s="218">
        <v>142197.5806451613</v>
      </c>
      <c r="M117" s="218">
        <f>Q37</f>
        <v>187618.16666666666</v>
      </c>
      <c r="N117" s="210">
        <f t="shared" si="0"/>
        <v>45420.586021505354</v>
      </c>
      <c r="P117" s="28"/>
      <c r="Q117" s="247"/>
      <c r="R117" s="13"/>
      <c r="S117"/>
    </row>
    <row r="118" spans="2:19" x14ac:dyDescent="0.25">
      <c r="B118" s="215"/>
      <c r="C118" s="215"/>
      <c r="D118" s="215"/>
      <c r="E118" s="282"/>
      <c r="F118" s="283"/>
      <c r="G118" s="283"/>
      <c r="H118" s="283"/>
      <c r="I118" s="221"/>
      <c r="K118" s="210" t="s">
        <v>49</v>
      </c>
      <c r="L118" s="218">
        <v>321949.90322580643</v>
      </c>
      <c r="M118" s="218">
        <f>Q55</f>
        <v>256681.49999999997</v>
      </c>
      <c r="N118" s="210">
        <f t="shared" si="0"/>
        <v>-65268.403225806454</v>
      </c>
      <c r="O118" s="205"/>
      <c r="P118" s="28"/>
      <c r="Q118" s="2"/>
      <c r="S118"/>
    </row>
    <row r="119" spans="2:19" x14ac:dyDescent="0.25">
      <c r="B119" s="215"/>
      <c r="C119" s="219"/>
      <c r="D119" s="219"/>
      <c r="E119" s="282"/>
      <c r="F119" s="283"/>
      <c r="G119" s="283"/>
      <c r="H119" s="283"/>
      <c r="I119" s="218"/>
      <c r="K119" s="210" t="s">
        <v>158</v>
      </c>
      <c r="L119" s="218">
        <v>113572.05645161291</v>
      </c>
      <c r="M119" s="218">
        <f>Q64</f>
        <v>117585.08333333333</v>
      </c>
      <c r="N119" s="210">
        <f t="shared" si="0"/>
        <v>4013.0268817204196</v>
      </c>
      <c r="O119" s="205"/>
      <c r="P119" s="28"/>
      <c r="Q119" s="2"/>
      <c r="R119" s="13"/>
      <c r="S119"/>
    </row>
    <row r="120" spans="2:19" x14ac:dyDescent="0.25">
      <c r="B120"/>
      <c r="C120"/>
      <c r="D120"/>
      <c r="E120"/>
      <c r="F120"/>
      <c r="G120"/>
      <c r="H120"/>
      <c r="I120"/>
      <c r="K120" s="210" t="s">
        <v>160</v>
      </c>
      <c r="L120" s="218">
        <v>107599.51612903224</v>
      </c>
      <c r="M120" s="218">
        <f>Q71</f>
        <v>79654.166666666672</v>
      </c>
      <c r="N120" s="210">
        <f t="shared" si="0"/>
        <v>-27945.349462365572</v>
      </c>
      <c r="O120" s="205"/>
      <c r="P120" s="28"/>
      <c r="Q120" s="13"/>
      <c r="S120"/>
    </row>
    <row r="121" spans="2:19" x14ac:dyDescent="0.25">
      <c r="B121"/>
      <c r="C121"/>
      <c r="D121"/>
      <c r="E121"/>
      <c r="F121"/>
      <c r="G121"/>
      <c r="H121"/>
      <c r="I121"/>
      <c r="K121" s="210" t="s">
        <v>161</v>
      </c>
      <c r="L121" s="218">
        <v>258790.56451612906</v>
      </c>
      <c r="M121" s="218">
        <f>Q80</f>
        <v>90582.837500000009</v>
      </c>
      <c r="N121" s="210">
        <f t="shared" si="0"/>
        <v>-168207.72701612907</v>
      </c>
      <c r="O121" s="205"/>
      <c r="P121" s="28"/>
      <c r="R121" s="13"/>
      <c r="S121"/>
    </row>
    <row r="122" spans="2:19" x14ac:dyDescent="0.25">
      <c r="B122"/>
      <c r="C122"/>
      <c r="D122"/>
      <c r="E122"/>
      <c r="F122"/>
      <c r="G122"/>
      <c r="H122"/>
      <c r="I122"/>
      <c r="K122" s="210" t="s">
        <v>162</v>
      </c>
      <c r="L122" s="134">
        <v>217650.67540322582</v>
      </c>
      <c r="M122" s="210">
        <f>Q92</f>
        <v>181088.54166666666</v>
      </c>
      <c r="N122" s="210">
        <f t="shared" si="0"/>
        <v>-36562.133736559161</v>
      </c>
      <c r="P122" s="28"/>
      <c r="Q122" s="13"/>
      <c r="R122" s="13"/>
      <c r="S122"/>
    </row>
    <row r="123" spans="2:19" x14ac:dyDescent="0.25">
      <c r="B123"/>
      <c r="C123"/>
      <c r="D123"/>
      <c r="E123"/>
      <c r="F123"/>
      <c r="G123"/>
      <c r="H123"/>
      <c r="I123"/>
      <c r="K123" s="210" t="s">
        <v>196</v>
      </c>
      <c r="L123" s="134"/>
      <c r="M123" s="210">
        <f>Q100</f>
        <v>146312.5</v>
      </c>
      <c r="N123" s="210">
        <f t="shared" si="0"/>
        <v>146312.5</v>
      </c>
      <c r="P123" s="28"/>
      <c r="Q123" s="13"/>
      <c r="R123" s="13"/>
      <c r="S123"/>
    </row>
    <row r="124" spans="2:19" x14ac:dyDescent="0.25">
      <c r="B124"/>
      <c r="C124"/>
      <c r="D124"/>
      <c r="E124"/>
      <c r="F124"/>
      <c r="G124"/>
      <c r="H124"/>
      <c r="I124"/>
      <c r="J124"/>
      <c r="K124" s="210" t="s">
        <v>166</v>
      </c>
      <c r="L124" s="232">
        <f>SUM(L113:L122)</f>
        <v>1509428.0383064514</v>
      </c>
      <c r="M124" s="232">
        <f>SUM(M113:M123)</f>
        <v>1454649.5458333334</v>
      </c>
      <c r="N124" s="233">
        <f>SUM(N113:N123)</f>
        <v>-54778.492473118327</v>
      </c>
      <c r="P124"/>
      <c r="R124" s="2"/>
      <c r="S124"/>
    </row>
    <row r="125" spans="2:19" x14ac:dyDescent="0.25">
      <c r="B125"/>
      <c r="C125"/>
      <c r="D125"/>
      <c r="E125"/>
      <c r="F125"/>
      <c r="G125"/>
      <c r="H125"/>
      <c r="I125"/>
      <c r="J125"/>
      <c r="K125"/>
      <c r="L125"/>
      <c r="M125" s="13"/>
      <c r="N125"/>
      <c r="O125" s="13"/>
      <c r="P125"/>
      <c r="R125" s="2"/>
      <c r="S125"/>
    </row>
    <row r="126" spans="2:19" x14ac:dyDescent="0.2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 s="13"/>
      <c r="P126"/>
      <c r="R126" s="13"/>
    </row>
    <row r="127" spans="2:19" x14ac:dyDescent="0.2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 s="13"/>
      <c r="P127" s="28"/>
    </row>
    <row r="128" spans="2:19" x14ac:dyDescent="0.2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 s="13"/>
      <c r="P128" s="28"/>
      <c r="R128" s="13"/>
    </row>
    <row r="129" spans="2:19" x14ac:dyDescent="0.2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 s="13"/>
      <c r="P129" s="13"/>
    </row>
    <row r="130" spans="2:19" x14ac:dyDescent="0.2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 s="13"/>
      <c r="P130" s="13"/>
    </row>
    <row r="131" spans="2:19" x14ac:dyDescent="0.2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 s="13"/>
      <c r="P131" s="13"/>
    </row>
    <row r="132" spans="2:19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 s="13"/>
      <c r="P132" s="13"/>
    </row>
    <row r="133" spans="2:19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 s="13"/>
      <c r="P133" s="2"/>
    </row>
    <row r="134" spans="2:19" ht="13.8" x14ac:dyDescent="0.2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 s="206">
        <f>SUM(O111:O131)</f>
        <v>0</v>
      </c>
      <c r="P134" s="13"/>
    </row>
    <row r="135" spans="2:19" x14ac:dyDescent="0.25">
      <c r="B135"/>
      <c r="C135"/>
      <c r="D135"/>
      <c r="E135"/>
      <c r="F135"/>
      <c r="G135"/>
      <c r="H135"/>
      <c r="I135"/>
      <c r="J135"/>
      <c r="K135"/>
      <c r="L135"/>
      <c r="M135"/>
      <c r="N135"/>
      <c r="P135"/>
    </row>
    <row r="136" spans="2:19" x14ac:dyDescent="0.25">
      <c r="B136"/>
      <c r="C136"/>
      <c r="D136"/>
      <c r="E136"/>
      <c r="F136"/>
      <c r="G136"/>
      <c r="H136"/>
      <c r="I136"/>
      <c r="J136"/>
      <c r="K136"/>
      <c r="L136"/>
      <c r="M136"/>
      <c r="N136"/>
      <c r="P136"/>
    </row>
    <row r="137" spans="2:19" x14ac:dyDescent="0.25">
      <c r="B137"/>
      <c r="C137"/>
      <c r="D137"/>
      <c r="E137"/>
      <c r="F137"/>
      <c r="G137"/>
      <c r="H137"/>
      <c r="I137"/>
      <c r="J137"/>
      <c r="K137"/>
      <c r="L137"/>
      <c r="M137"/>
      <c r="N137"/>
      <c r="P137"/>
      <c r="Q137" s="13"/>
      <c r="R137" s="13">
        <f>Q13+Q15+Q17+Q37+Q55+Q64+Q94+Q74-Q40+Q95</f>
        <v>672230.58333333326</v>
      </c>
    </row>
    <row r="138" spans="2:19" x14ac:dyDescent="0.25">
      <c r="B138"/>
      <c r="C138"/>
      <c r="D138"/>
      <c r="E138"/>
      <c r="F138"/>
      <c r="G138"/>
      <c r="H138"/>
      <c r="I138"/>
      <c r="J138"/>
      <c r="K138"/>
      <c r="L138"/>
      <c r="M138"/>
      <c r="N138"/>
      <c r="P138"/>
      <c r="R138" s="2">
        <v>10000</v>
      </c>
      <c r="S138"/>
    </row>
    <row r="139" spans="2:19" x14ac:dyDescent="0.2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R139" s="2">
        <v>1700</v>
      </c>
      <c r="S139"/>
    </row>
    <row r="140" spans="2:19" x14ac:dyDescent="0.25">
      <c r="J140"/>
      <c r="K140"/>
      <c r="L140"/>
      <c r="M140"/>
      <c r="N140"/>
      <c r="O140"/>
      <c r="P140"/>
      <c r="R140" s="13">
        <f>SUM(R137:R139)</f>
        <v>683930.58333333326</v>
      </c>
      <c r="S140"/>
    </row>
    <row r="141" spans="2:19" x14ac:dyDescent="0.25">
      <c r="J141"/>
      <c r="K141"/>
      <c r="L141"/>
      <c r="M141"/>
      <c r="N141"/>
      <c r="O141"/>
      <c r="P141"/>
      <c r="R141">
        <v>2000</v>
      </c>
      <c r="S141"/>
    </row>
    <row r="142" spans="2:19" x14ac:dyDescent="0.25">
      <c r="J142"/>
      <c r="K142"/>
      <c r="L142"/>
      <c r="M142"/>
      <c r="N142"/>
      <c r="O142"/>
      <c r="P142"/>
      <c r="R142" s="13">
        <f>R141+R140</f>
        <v>685930.58333333326</v>
      </c>
      <c r="S142"/>
    </row>
    <row r="143" spans="2:19" x14ac:dyDescent="0.25">
      <c r="J143"/>
      <c r="K143"/>
      <c r="L143"/>
      <c r="M143"/>
      <c r="N143"/>
      <c r="O143"/>
      <c r="P143"/>
      <c r="S143"/>
    </row>
    <row r="144" spans="2:19" x14ac:dyDescent="0.25">
      <c r="J144"/>
      <c r="K144"/>
      <c r="L144"/>
      <c r="M144"/>
      <c r="N144"/>
      <c r="O144"/>
      <c r="P144"/>
      <c r="S144"/>
    </row>
    <row r="145" spans="10:19" x14ac:dyDescent="0.25">
      <c r="J145"/>
      <c r="K145"/>
      <c r="L145"/>
      <c r="M145"/>
      <c r="N145"/>
      <c r="O145"/>
      <c r="P145"/>
      <c r="S145"/>
    </row>
    <row r="146" spans="10:19" x14ac:dyDescent="0.25">
      <c r="K146"/>
      <c r="L146"/>
      <c r="M146"/>
      <c r="N146"/>
      <c r="O146"/>
      <c r="P146"/>
    </row>
    <row r="147" spans="10:19" x14ac:dyDescent="0.25">
      <c r="P147"/>
    </row>
    <row r="148" spans="10:19" x14ac:dyDescent="0.25">
      <c r="P148"/>
    </row>
    <row r="149" spans="10:19" x14ac:dyDescent="0.25">
      <c r="P149" s="3">
        <f>Q71+Q11</f>
        <v>109654.16666666667</v>
      </c>
    </row>
    <row r="150" spans="10:19" x14ac:dyDescent="0.25">
      <c r="P150" s="3">
        <v>14580</v>
      </c>
    </row>
    <row r="151" spans="10:19" x14ac:dyDescent="0.25">
      <c r="P151" s="3">
        <v>20000</v>
      </c>
    </row>
    <row r="152" spans="10:19" x14ac:dyDescent="0.25">
      <c r="P152" s="3">
        <v>4150</v>
      </c>
    </row>
  </sheetData>
  <autoFilter ref="A3:W109"/>
  <mergeCells count="39">
    <mergeCell ref="K110:P110"/>
    <mergeCell ref="K111:N111"/>
    <mergeCell ref="E118:H118"/>
    <mergeCell ref="E119:H119"/>
    <mergeCell ref="E109:H109"/>
    <mergeCell ref="E110:H110"/>
    <mergeCell ref="E111:H111"/>
    <mergeCell ref="E112:H112"/>
    <mergeCell ref="E113:H113"/>
    <mergeCell ref="E114:H114"/>
    <mergeCell ref="E115:H115"/>
    <mergeCell ref="E116:H116"/>
    <mergeCell ref="E117:H117"/>
    <mergeCell ref="A11:P11"/>
    <mergeCell ref="A18:P18"/>
    <mergeCell ref="A12:Q12"/>
    <mergeCell ref="A38:Q38"/>
    <mergeCell ref="A55:P55"/>
    <mergeCell ref="A19:Q19"/>
    <mergeCell ref="A28:P28"/>
    <mergeCell ref="A29:Q29"/>
    <mergeCell ref="A37:P37"/>
    <mergeCell ref="A56:Q56"/>
    <mergeCell ref="A64:P64"/>
    <mergeCell ref="A65:Q65"/>
    <mergeCell ref="A71:P71"/>
    <mergeCell ref="K109:P109"/>
    <mergeCell ref="K108:P108"/>
    <mergeCell ref="A72:Q72"/>
    <mergeCell ref="A80:P80"/>
    <mergeCell ref="A81:Q81"/>
    <mergeCell ref="A93:Q93"/>
    <mergeCell ref="A100:P100"/>
    <mergeCell ref="N1:O2"/>
    <mergeCell ref="A1:M2"/>
    <mergeCell ref="P1:P2"/>
    <mergeCell ref="A6:Q6"/>
    <mergeCell ref="C7:C10"/>
    <mergeCell ref="D7:D10"/>
  </mergeCells>
  <phoneticPr fontId="4" type="noConversion"/>
  <printOptions horizontalCentered="1"/>
  <pageMargins left="0" right="0" top="0" bottom="0" header="0.16" footer="0.19"/>
  <pageSetup paperSize="9" scale="84" orientation="landscape" r:id="rId1"/>
  <headerFooter alignWithMargins="0"/>
  <rowBreaks count="2" manualBreakCount="2">
    <brk id="37" max="16" man="1"/>
    <brk id="71" max="16" man="1"/>
  </rowBreaks>
  <colBreaks count="1" manualBreakCount="1">
    <brk id="1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77"/>
  <sheetViews>
    <sheetView view="pageBreakPreview" topLeftCell="A54" zoomScale="70" zoomScaleNormal="60" zoomScaleSheetLayoutView="70" workbookViewId="0">
      <selection activeCell="K60" sqref="K60"/>
    </sheetView>
  </sheetViews>
  <sheetFormatPr defaultColWidth="9.109375" defaultRowHeight="14.4" x14ac:dyDescent="0.3"/>
  <cols>
    <col min="1" max="1" width="1" style="4" customWidth="1"/>
    <col min="2" max="2" width="15.33203125" style="4" customWidth="1"/>
    <col min="3" max="3" width="7.6640625" style="4" customWidth="1"/>
    <col min="4" max="4" width="0.44140625" style="4" customWidth="1"/>
    <col min="5" max="5" width="1.6640625" style="4" customWidth="1"/>
    <col min="6" max="6" width="25.21875" style="4" customWidth="1"/>
    <col min="7" max="7" width="13.33203125" style="4" customWidth="1"/>
    <col min="8" max="8" width="1.33203125" style="4" customWidth="1"/>
    <col min="9" max="9" width="6.88671875" style="4" customWidth="1"/>
    <col min="10" max="10" width="17.5546875" style="4" customWidth="1"/>
    <col min="11" max="11" width="14" style="4" customWidth="1"/>
    <col min="12" max="12" width="1.33203125" style="4" customWidth="1"/>
    <col min="13" max="13" width="1" style="4" customWidth="1"/>
    <col min="14" max="14" width="1.6640625" style="4" customWidth="1"/>
    <col min="15" max="15" width="9.6640625" style="4" customWidth="1"/>
    <col min="16" max="16" width="9" style="4" customWidth="1"/>
    <col min="17" max="17" width="8.44140625" style="4" customWidth="1"/>
    <col min="18" max="18" width="16.44140625" style="4" customWidth="1"/>
    <col min="19" max="19" width="1.33203125" style="4" customWidth="1"/>
    <col min="20" max="20" width="9.44140625" style="4" customWidth="1"/>
    <col min="21" max="21" width="14.5546875" style="4" customWidth="1"/>
    <col min="22" max="22" width="12.6640625" style="4" customWidth="1"/>
    <col min="23" max="23" width="12.88671875" style="4" customWidth="1"/>
    <col min="24" max="24" width="10.6640625" style="4" customWidth="1"/>
    <col min="25" max="25" width="14.44140625" style="4" customWidth="1"/>
    <col min="26" max="26" width="1.5546875" style="4" customWidth="1"/>
    <col min="27" max="27" width="8.44140625" style="4" customWidth="1"/>
    <col min="28" max="28" width="12.109375" style="4" bestFit="1" customWidth="1"/>
    <col min="29" max="16384" width="9.109375" style="4"/>
  </cols>
  <sheetData>
    <row r="1" spans="1:27" ht="21" x14ac:dyDescent="0.3">
      <c r="C1" s="327" t="s">
        <v>82</v>
      </c>
      <c r="D1" s="327"/>
      <c r="E1" s="327"/>
      <c r="F1" s="327"/>
      <c r="G1" s="327"/>
      <c r="H1" s="327"/>
      <c r="I1" s="327"/>
      <c r="J1" s="27" t="s">
        <v>65</v>
      </c>
      <c r="K1" s="26">
        <v>2019</v>
      </c>
      <c r="L1" s="26"/>
      <c r="R1" s="119">
        <f>K224+K448+K1184+K1088+K1072+K1056+K1040+K1024+K304+K208+K1168+K1008+K272+K240+K992+K288+K976+K960+K944+K912+K896+K880+K864+K848+K832+K1152+K816+K800+K784+K768+K336+K752+K256+K736+K720+K128+K704+K688+K672+K656+K640+K624+K608+K592+K576+K560+K544+K528+K512+K496+K480+K464+K144+K48+K64+K112+K96+K80+K32+K16+K1120+K1136+K320+K432+K1200+K928+K160+K176+K192+K1104+K368+K384+K400+K416+K352+K1217+K1233+K1249+K1265+K1281+K1297+K1313+K1329+K1345+K1377+K1393+K1409+K1361+K1425+K1441+K1457+K1473</f>
        <v>1454649.5458333332</v>
      </c>
    </row>
    <row r="2" spans="1:27" ht="18" x14ac:dyDescent="0.35">
      <c r="J2" s="25" t="s">
        <v>76</v>
      </c>
      <c r="K2" s="4">
        <v>30</v>
      </c>
      <c r="U2" s="185"/>
    </row>
    <row r="4" spans="1:27" s="123" customFormat="1" ht="21" customHeight="1" x14ac:dyDescent="0.25"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</row>
    <row r="5" spans="1:27" s="123" customFormat="1" ht="21" customHeight="1" thickBot="1" x14ac:dyDescent="0.3"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</row>
    <row r="6" spans="1:27" s="55" customFormat="1" ht="21" customHeight="1" x14ac:dyDescent="0.25">
      <c r="A6" s="300" t="s">
        <v>56</v>
      </c>
      <c r="B6" s="301"/>
      <c r="C6" s="301"/>
      <c r="D6" s="301"/>
      <c r="E6" s="301"/>
      <c r="F6" s="301"/>
      <c r="G6" s="301"/>
      <c r="H6" s="301"/>
      <c r="I6" s="301"/>
      <c r="J6" s="301"/>
      <c r="K6" s="301"/>
      <c r="L6" s="302"/>
      <c r="M6" s="124"/>
      <c r="N6" s="93"/>
      <c r="O6" s="285" t="s">
        <v>58</v>
      </c>
      <c r="P6" s="286"/>
      <c r="Q6" s="286"/>
      <c r="R6" s="287"/>
      <c r="S6" s="94"/>
      <c r="T6" s="285" t="s">
        <v>59</v>
      </c>
      <c r="U6" s="286"/>
      <c r="V6" s="286"/>
      <c r="W6" s="286"/>
      <c r="X6" s="286"/>
      <c r="Y6" s="326"/>
      <c r="Z6" s="122"/>
      <c r="AA6" s="54"/>
    </row>
    <row r="7" spans="1:27" s="55" customFormat="1" ht="21" customHeight="1" x14ac:dyDescent="0.25">
      <c r="A7" s="56"/>
      <c r="B7" s="57"/>
      <c r="C7" s="288" t="s">
        <v>114</v>
      </c>
      <c r="D7" s="288"/>
      <c r="E7" s="288"/>
      <c r="F7" s="288"/>
      <c r="G7" s="58" t="str">
        <f>$J$1</f>
        <v>June</v>
      </c>
      <c r="H7" s="289">
        <f>$K$1</f>
        <v>2019</v>
      </c>
      <c r="I7" s="289"/>
      <c r="J7" s="57"/>
      <c r="K7" s="59"/>
      <c r="L7" s="60"/>
      <c r="M7" s="125"/>
      <c r="N7" s="96"/>
      <c r="O7" s="97" t="s">
        <v>69</v>
      </c>
      <c r="P7" s="97" t="s">
        <v>7</v>
      </c>
      <c r="Q7" s="97" t="s">
        <v>6</v>
      </c>
      <c r="R7" s="97" t="s">
        <v>70</v>
      </c>
      <c r="S7" s="98"/>
      <c r="T7" s="97" t="s">
        <v>69</v>
      </c>
      <c r="U7" s="97" t="s">
        <v>71</v>
      </c>
      <c r="V7" s="97" t="s">
        <v>29</v>
      </c>
      <c r="W7" s="97" t="s">
        <v>28</v>
      </c>
      <c r="X7" s="97" t="s">
        <v>30</v>
      </c>
      <c r="Y7" s="126" t="s">
        <v>75</v>
      </c>
      <c r="Z7" s="99"/>
      <c r="AA7" s="59"/>
    </row>
    <row r="8" spans="1:27" s="55" customFormat="1" ht="21" customHeight="1" x14ac:dyDescent="0.25">
      <c r="A8" s="56"/>
      <c r="B8" s="57"/>
      <c r="C8" s="57"/>
      <c r="D8" s="62"/>
      <c r="E8" s="62"/>
      <c r="F8" s="62"/>
      <c r="G8" s="62"/>
      <c r="H8" s="62"/>
      <c r="I8" s="57"/>
      <c r="J8" s="63" t="s">
        <v>1</v>
      </c>
      <c r="K8" s="64">
        <v>50000</v>
      </c>
      <c r="L8" s="65"/>
      <c r="M8" s="56"/>
      <c r="N8" s="100"/>
      <c r="O8" s="101" t="s">
        <v>61</v>
      </c>
      <c r="P8" s="101">
        <v>31</v>
      </c>
      <c r="Q8" s="101"/>
      <c r="R8" s="101">
        <f>15-Q8</f>
        <v>15</v>
      </c>
      <c r="S8" s="102"/>
      <c r="T8" s="101" t="s">
        <v>61</v>
      </c>
      <c r="U8" s="103"/>
      <c r="V8" s="103"/>
      <c r="W8" s="103">
        <f>V8+U8</f>
        <v>0</v>
      </c>
      <c r="X8" s="103"/>
      <c r="Y8" s="127">
        <f>W8-X8</f>
        <v>0</v>
      </c>
      <c r="Z8" s="99"/>
      <c r="AA8" s="57"/>
    </row>
    <row r="9" spans="1:27" s="55" customFormat="1" ht="21" customHeight="1" x14ac:dyDescent="0.25">
      <c r="A9" s="56"/>
      <c r="B9" s="57" t="s">
        <v>0</v>
      </c>
      <c r="C9" s="112" t="s">
        <v>88</v>
      </c>
      <c r="D9" s="57"/>
      <c r="E9" s="57"/>
      <c r="F9" s="57"/>
      <c r="G9" s="57"/>
      <c r="H9" s="68"/>
      <c r="I9" s="62"/>
      <c r="J9" s="57"/>
      <c r="K9" s="57"/>
      <c r="L9" s="69"/>
      <c r="M9" s="124"/>
      <c r="N9" s="104"/>
      <c r="O9" s="101" t="s">
        <v>87</v>
      </c>
      <c r="P9" s="101">
        <v>28</v>
      </c>
      <c r="Q9" s="101"/>
      <c r="R9" s="101" t="str">
        <f>IF(Q9="","",R8-Q9)</f>
        <v/>
      </c>
      <c r="S9" s="105"/>
      <c r="T9" s="101" t="s">
        <v>87</v>
      </c>
      <c r="U9" s="177" t="str">
        <f>IF($J$1="February",Y8,"")</f>
        <v/>
      </c>
      <c r="V9" s="103"/>
      <c r="W9" s="177" t="str">
        <f>IF(U9="","",U9+V9)</f>
        <v/>
      </c>
      <c r="X9" s="103"/>
      <c r="Y9" s="177" t="str">
        <f>IF(W9="","",W9-X9)</f>
        <v/>
      </c>
      <c r="Z9" s="106"/>
      <c r="AA9" s="54"/>
    </row>
    <row r="10" spans="1:27" s="55" customFormat="1" ht="21" customHeight="1" x14ac:dyDescent="0.25">
      <c r="A10" s="56"/>
      <c r="B10" s="71" t="s">
        <v>57</v>
      </c>
      <c r="C10" s="72"/>
      <c r="D10" s="57"/>
      <c r="E10" s="57"/>
      <c r="F10" s="290" t="s">
        <v>59</v>
      </c>
      <c r="G10" s="290"/>
      <c r="H10" s="57"/>
      <c r="I10" s="290" t="s">
        <v>60</v>
      </c>
      <c r="J10" s="290"/>
      <c r="K10" s="290"/>
      <c r="L10" s="73"/>
      <c r="M10" s="56"/>
      <c r="N10" s="100"/>
      <c r="O10" s="101" t="s">
        <v>62</v>
      </c>
      <c r="P10" s="101"/>
      <c r="Q10" s="101"/>
      <c r="R10" s="101" t="str">
        <f t="shared" ref="R10:R19" si="0">IF(Q10="","",R9-Q10)</f>
        <v/>
      </c>
      <c r="S10" s="105"/>
      <c r="T10" s="101" t="s">
        <v>62</v>
      </c>
      <c r="U10" s="177" t="str">
        <f>IF($J$1="March",Y9,"")</f>
        <v/>
      </c>
      <c r="V10" s="103"/>
      <c r="W10" s="177" t="str">
        <f t="shared" ref="W10:W19" si="1">IF(U10="","",U10+V10)</f>
        <v/>
      </c>
      <c r="X10" s="103"/>
      <c r="Y10" s="177" t="str">
        <f t="shared" ref="Y10:Y19" si="2">IF(W10="","",W10-X10)</f>
        <v/>
      </c>
      <c r="Z10" s="106"/>
      <c r="AA10" s="57"/>
    </row>
    <row r="11" spans="1:27" s="55" customFormat="1" ht="21" customHeight="1" x14ac:dyDescent="0.25">
      <c r="A11" s="56"/>
      <c r="B11" s="57"/>
      <c r="C11" s="57"/>
      <c r="D11" s="57"/>
      <c r="E11" s="57"/>
      <c r="F11" s="57"/>
      <c r="G11" s="57"/>
      <c r="H11" s="74"/>
      <c r="I11" s="57"/>
      <c r="J11" s="57"/>
      <c r="K11" s="57"/>
      <c r="L11" s="61"/>
      <c r="M11" s="56"/>
      <c r="N11" s="100"/>
      <c r="O11" s="101" t="s">
        <v>63</v>
      </c>
      <c r="P11" s="101"/>
      <c r="Q11" s="101"/>
      <c r="R11" s="101" t="str">
        <f t="shared" si="0"/>
        <v/>
      </c>
      <c r="S11" s="105"/>
      <c r="T11" s="101" t="s">
        <v>63</v>
      </c>
      <c r="U11" s="177" t="str">
        <f>IF($J$1="April",Y10,"")</f>
        <v/>
      </c>
      <c r="V11" s="103"/>
      <c r="W11" s="177" t="str">
        <f t="shared" si="1"/>
        <v/>
      </c>
      <c r="X11" s="103"/>
      <c r="Y11" s="177" t="str">
        <f t="shared" si="2"/>
        <v/>
      </c>
      <c r="Z11" s="106"/>
      <c r="AA11" s="57"/>
    </row>
    <row r="12" spans="1:27" s="55" customFormat="1" ht="21" customHeight="1" x14ac:dyDescent="0.25">
      <c r="A12" s="56"/>
      <c r="B12" s="291" t="s">
        <v>58</v>
      </c>
      <c r="C12" s="292"/>
      <c r="D12" s="57"/>
      <c r="E12" s="57"/>
      <c r="F12" s="75" t="s">
        <v>80</v>
      </c>
      <c r="G12" s="70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74"/>
      <c r="I12" s="76">
        <f>IF(C16&gt;=C15,$K$2,C14-C15+C16)</f>
        <v>30</v>
      </c>
      <c r="J12" s="77" t="s">
        <v>77</v>
      </c>
      <c r="K12" s="78">
        <f>K8/$K$2*I12</f>
        <v>50000</v>
      </c>
      <c r="L12" s="79"/>
      <c r="M12" s="56"/>
      <c r="N12" s="100"/>
      <c r="O12" s="101" t="s">
        <v>64</v>
      </c>
      <c r="P12" s="101"/>
      <c r="Q12" s="101"/>
      <c r="R12" s="101" t="str">
        <f t="shared" si="0"/>
        <v/>
      </c>
      <c r="S12" s="105"/>
      <c r="T12" s="101" t="s">
        <v>64</v>
      </c>
      <c r="U12" s="177" t="str">
        <f>IF($J$1="May",Y11,"")</f>
        <v/>
      </c>
      <c r="V12" s="103"/>
      <c r="W12" s="177" t="str">
        <f t="shared" si="1"/>
        <v/>
      </c>
      <c r="X12" s="103"/>
      <c r="Y12" s="177" t="str">
        <f t="shared" si="2"/>
        <v/>
      </c>
      <c r="Z12" s="106"/>
      <c r="AA12" s="57"/>
    </row>
    <row r="13" spans="1:27" s="55" customFormat="1" ht="21" customHeight="1" x14ac:dyDescent="0.25">
      <c r="A13" s="56"/>
      <c r="B13" s="66"/>
      <c r="C13" s="66"/>
      <c r="D13" s="57"/>
      <c r="E13" s="57"/>
      <c r="F13" s="75" t="s">
        <v>29</v>
      </c>
      <c r="G13" s="70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74"/>
      <c r="I13" s="76"/>
      <c r="J13" s="77" t="s">
        <v>78</v>
      </c>
      <c r="K13" s="80">
        <f>K8/$K$2/8*I13</f>
        <v>0</v>
      </c>
      <c r="L13" s="81"/>
      <c r="M13" s="56"/>
      <c r="N13" s="100"/>
      <c r="O13" s="101" t="s">
        <v>65</v>
      </c>
      <c r="P13" s="101"/>
      <c r="Q13" s="101"/>
      <c r="R13" s="101" t="str">
        <f t="shared" si="0"/>
        <v/>
      </c>
      <c r="S13" s="105"/>
      <c r="T13" s="101" t="s">
        <v>65</v>
      </c>
      <c r="U13" s="177" t="str">
        <f>IF($J$1="June",Y12,"")</f>
        <v/>
      </c>
      <c r="V13" s="103"/>
      <c r="W13" s="177" t="str">
        <f t="shared" si="1"/>
        <v/>
      </c>
      <c r="X13" s="103"/>
      <c r="Y13" s="177" t="str">
        <f t="shared" si="2"/>
        <v/>
      </c>
      <c r="Z13" s="106"/>
      <c r="AA13" s="57"/>
    </row>
    <row r="14" spans="1:27" s="55" customFormat="1" ht="21" customHeight="1" x14ac:dyDescent="0.25">
      <c r="A14" s="56"/>
      <c r="B14" s="75" t="s">
        <v>7</v>
      </c>
      <c r="C14" s="66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57"/>
      <c r="E14" s="57"/>
      <c r="F14" s="75" t="s">
        <v>81</v>
      </c>
      <c r="G14" s="70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74"/>
      <c r="I14" s="293" t="s">
        <v>85</v>
      </c>
      <c r="J14" s="294"/>
      <c r="K14" s="80">
        <f>K12+K13</f>
        <v>50000</v>
      </c>
      <c r="L14" s="81"/>
      <c r="M14" s="56"/>
      <c r="N14" s="100"/>
      <c r="O14" s="101" t="s">
        <v>66</v>
      </c>
      <c r="P14" s="101"/>
      <c r="Q14" s="101"/>
      <c r="R14" s="101" t="str">
        <f t="shared" si="0"/>
        <v/>
      </c>
      <c r="S14" s="105"/>
      <c r="T14" s="101" t="s">
        <v>66</v>
      </c>
      <c r="U14" s="177" t="str">
        <f>IF($J$1="July",Y13,"")</f>
        <v/>
      </c>
      <c r="V14" s="103"/>
      <c r="W14" s="177" t="str">
        <f t="shared" si="1"/>
        <v/>
      </c>
      <c r="X14" s="103"/>
      <c r="Y14" s="177" t="str">
        <f t="shared" si="2"/>
        <v/>
      </c>
      <c r="Z14" s="106"/>
      <c r="AA14" s="57"/>
    </row>
    <row r="15" spans="1:27" s="55" customFormat="1" ht="21" customHeight="1" x14ac:dyDescent="0.25">
      <c r="A15" s="56"/>
      <c r="B15" s="75" t="s">
        <v>6</v>
      </c>
      <c r="C15" s="66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57"/>
      <c r="E15" s="57"/>
      <c r="F15" s="75" t="s">
        <v>30</v>
      </c>
      <c r="G15" s="70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74"/>
      <c r="I15" s="293" t="s">
        <v>86</v>
      </c>
      <c r="J15" s="294"/>
      <c r="K15" s="70">
        <f>G15</f>
        <v>0</v>
      </c>
      <c r="L15" s="82"/>
      <c r="M15" s="56"/>
      <c r="N15" s="100"/>
      <c r="O15" s="101" t="s">
        <v>67</v>
      </c>
      <c r="P15" s="101"/>
      <c r="Q15" s="101"/>
      <c r="R15" s="101" t="str">
        <f t="shared" si="0"/>
        <v/>
      </c>
      <c r="S15" s="105"/>
      <c r="T15" s="101" t="s">
        <v>67</v>
      </c>
      <c r="U15" s="177" t="str">
        <f>IF($J$1="August",Y14,"")</f>
        <v/>
      </c>
      <c r="V15" s="103"/>
      <c r="W15" s="177" t="str">
        <f t="shared" si="1"/>
        <v/>
      </c>
      <c r="X15" s="103"/>
      <c r="Y15" s="177" t="str">
        <f t="shared" si="2"/>
        <v/>
      </c>
      <c r="Z15" s="106"/>
      <c r="AA15" s="57"/>
    </row>
    <row r="16" spans="1:27" s="55" customFormat="1" ht="21" customHeight="1" x14ac:dyDescent="0.25">
      <c r="A16" s="56"/>
      <c r="B16" s="83" t="s">
        <v>84</v>
      </c>
      <c r="C16" s="66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57"/>
      <c r="E16" s="57"/>
      <c r="F16" s="75" t="s">
        <v>83</v>
      </c>
      <c r="G16" s="70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H16" s="57"/>
      <c r="I16" s="295" t="s">
        <v>79</v>
      </c>
      <c r="J16" s="296"/>
      <c r="K16" s="84">
        <f>K14-K15</f>
        <v>50000</v>
      </c>
      <c r="L16" s="85"/>
      <c r="M16" s="56"/>
      <c r="N16" s="100"/>
      <c r="O16" s="101" t="s">
        <v>72</v>
      </c>
      <c r="P16" s="101"/>
      <c r="Q16" s="101"/>
      <c r="R16" s="101" t="str">
        <f t="shared" si="0"/>
        <v/>
      </c>
      <c r="S16" s="105"/>
      <c r="T16" s="101" t="s">
        <v>72</v>
      </c>
      <c r="U16" s="177" t="str">
        <f>IF($J$1="September",Y15,"")</f>
        <v/>
      </c>
      <c r="V16" s="103"/>
      <c r="W16" s="177" t="str">
        <f t="shared" si="1"/>
        <v/>
      </c>
      <c r="X16" s="103"/>
      <c r="Y16" s="177" t="str">
        <f t="shared" si="2"/>
        <v/>
      </c>
      <c r="Z16" s="106"/>
      <c r="AA16" s="57"/>
    </row>
    <row r="17" spans="1:27" s="55" customFormat="1" ht="21" customHeight="1" x14ac:dyDescent="0.25">
      <c r="A17" s="56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73"/>
      <c r="M17" s="56"/>
      <c r="N17" s="100"/>
      <c r="O17" s="101" t="s">
        <v>68</v>
      </c>
      <c r="P17" s="101"/>
      <c r="Q17" s="101"/>
      <c r="R17" s="101" t="str">
        <f t="shared" si="0"/>
        <v/>
      </c>
      <c r="S17" s="105"/>
      <c r="T17" s="101" t="s">
        <v>68</v>
      </c>
      <c r="U17" s="177" t="str">
        <f>IF($J$1="October",Y16,"")</f>
        <v/>
      </c>
      <c r="V17" s="103"/>
      <c r="W17" s="177" t="str">
        <f t="shared" si="1"/>
        <v/>
      </c>
      <c r="X17" s="103"/>
      <c r="Y17" s="177" t="str">
        <f t="shared" si="2"/>
        <v/>
      </c>
      <c r="Z17" s="106"/>
      <c r="AA17" s="57"/>
    </row>
    <row r="18" spans="1:27" s="55" customFormat="1" ht="21" customHeight="1" x14ac:dyDescent="0.25">
      <c r="A18" s="56"/>
      <c r="B18" s="328"/>
      <c r="C18" s="328"/>
      <c r="D18" s="328"/>
      <c r="E18" s="328"/>
      <c r="F18" s="328"/>
      <c r="G18" s="328"/>
      <c r="H18" s="328"/>
      <c r="I18" s="328"/>
      <c r="J18" s="328"/>
      <c r="K18" s="328"/>
      <c r="L18" s="73"/>
      <c r="M18" s="56"/>
      <c r="N18" s="100"/>
      <c r="O18" s="101" t="s">
        <v>73</v>
      </c>
      <c r="P18" s="101"/>
      <c r="Q18" s="101"/>
      <c r="R18" s="101" t="str">
        <f t="shared" si="0"/>
        <v/>
      </c>
      <c r="S18" s="105"/>
      <c r="T18" s="101" t="s">
        <v>73</v>
      </c>
      <c r="U18" s="177" t="str">
        <f>IF($J$1="November",Y17,"")</f>
        <v/>
      </c>
      <c r="V18" s="103"/>
      <c r="W18" s="177" t="str">
        <f t="shared" si="1"/>
        <v/>
      </c>
      <c r="X18" s="103"/>
      <c r="Y18" s="177" t="str">
        <f t="shared" si="2"/>
        <v/>
      </c>
      <c r="Z18" s="106"/>
      <c r="AA18" s="57"/>
    </row>
    <row r="19" spans="1:27" s="55" customFormat="1" ht="21" customHeight="1" x14ac:dyDescent="0.25">
      <c r="A19" s="56"/>
      <c r="B19" s="57"/>
      <c r="C19" s="57"/>
      <c r="D19" s="57"/>
      <c r="E19" s="57"/>
      <c r="F19" s="57"/>
      <c r="G19" s="71" t="s">
        <v>117</v>
      </c>
      <c r="H19" s="57"/>
      <c r="I19" s="57"/>
      <c r="J19" s="57"/>
      <c r="K19" s="57"/>
      <c r="L19" s="73"/>
      <c r="M19" s="56"/>
      <c r="N19" s="100"/>
      <c r="O19" s="101" t="s">
        <v>74</v>
      </c>
      <c r="P19" s="101"/>
      <c r="Q19" s="101"/>
      <c r="R19" s="101" t="str">
        <f t="shared" si="0"/>
        <v/>
      </c>
      <c r="S19" s="105"/>
      <c r="T19" s="101" t="s">
        <v>74</v>
      </c>
      <c r="U19" s="177" t="str">
        <f>IF($J$1="December",Y18,"")</f>
        <v/>
      </c>
      <c r="V19" s="103"/>
      <c r="W19" s="177" t="str">
        <f t="shared" si="1"/>
        <v/>
      </c>
      <c r="X19" s="103"/>
      <c r="Y19" s="177" t="str">
        <f t="shared" si="2"/>
        <v/>
      </c>
      <c r="Z19" s="106"/>
      <c r="AA19" s="57"/>
    </row>
    <row r="20" spans="1:27" s="55" customFormat="1" ht="21" customHeight="1" thickBot="1" x14ac:dyDescent="0.3">
      <c r="A20" s="86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8"/>
      <c r="M20" s="86"/>
      <c r="N20" s="107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9"/>
      <c r="Z20" s="109"/>
    </row>
    <row r="21" spans="1:27" s="55" customFormat="1" ht="21" customHeight="1" thickBot="1" x14ac:dyDescent="0.3"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</row>
    <row r="22" spans="1:27" s="55" customFormat="1" ht="21" customHeight="1" x14ac:dyDescent="0.25">
      <c r="A22" s="300" t="s">
        <v>56</v>
      </c>
      <c r="B22" s="301"/>
      <c r="C22" s="301"/>
      <c r="D22" s="301"/>
      <c r="E22" s="301"/>
      <c r="F22" s="301"/>
      <c r="G22" s="301"/>
      <c r="H22" s="301"/>
      <c r="I22" s="301"/>
      <c r="J22" s="301"/>
      <c r="K22" s="301"/>
      <c r="L22" s="302"/>
      <c r="M22" s="54"/>
      <c r="N22" s="93"/>
      <c r="O22" s="285" t="s">
        <v>58</v>
      </c>
      <c r="P22" s="286"/>
      <c r="Q22" s="286"/>
      <c r="R22" s="287"/>
      <c r="S22" s="94"/>
      <c r="T22" s="285" t="s">
        <v>59</v>
      </c>
      <c r="U22" s="286"/>
      <c r="V22" s="286"/>
      <c r="W22" s="286"/>
      <c r="X22" s="286"/>
      <c r="Y22" s="287"/>
      <c r="Z22" s="95"/>
      <c r="AA22" s="54"/>
    </row>
    <row r="23" spans="1:27" s="55" customFormat="1" ht="21" customHeight="1" x14ac:dyDescent="0.25">
      <c r="A23" s="56"/>
      <c r="B23" s="57"/>
      <c r="C23" s="288" t="s">
        <v>114</v>
      </c>
      <c r="D23" s="288"/>
      <c r="E23" s="288"/>
      <c r="F23" s="288"/>
      <c r="G23" s="58" t="str">
        <f>$J$1</f>
        <v>June</v>
      </c>
      <c r="H23" s="289">
        <f>$K$1</f>
        <v>2019</v>
      </c>
      <c r="I23" s="289"/>
      <c r="J23" s="57"/>
      <c r="K23" s="59"/>
      <c r="L23" s="60"/>
      <c r="M23" s="59"/>
      <c r="N23" s="96"/>
      <c r="O23" s="97" t="s">
        <v>69</v>
      </c>
      <c r="P23" s="97" t="s">
        <v>7</v>
      </c>
      <c r="Q23" s="97" t="s">
        <v>6</v>
      </c>
      <c r="R23" s="97" t="s">
        <v>70</v>
      </c>
      <c r="S23" s="98"/>
      <c r="T23" s="97" t="s">
        <v>69</v>
      </c>
      <c r="U23" s="97" t="s">
        <v>71</v>
      </c>
      <c r="V23" s="97" t="s">
        <v>29</v>
      </c>
      <c r="W23" s="97" t="s">
        <v>28</v>
      </c>
      <c r="X23" s="97" t="s">
        <v>30</v>
      </c>
      <c r="Y23" s="97" t="s">
        <v>75</v>
      </c>
      <c r="Z23" s="99"/>
      <c r="AA23" s="59"/>
    </row>
    <row r="24" spans="1:27" s="55" customFormat="1" ht="21" customHeight="1" x14ac:dyDescent="0.25">
      <c r="A24" s="56"/>
      <c r="B24" s="57"/>
      <c r="C24" s="57"/>
      <c r="D24" s="62"/>
      <c r="E24" s="62"/>
      <c r="F24" s="62"/>
      <c r="G24" s="62"/>
      <c r="H24" s="62"/>
      <c r="I24" s="57"/>
      <c r="J24" s="63" t="s">
        <v>1</v>
      </c>
      <c r="K24" s="64">
        <v>50000</v>
      </c>
      <c r="L24" s="65"/>
      <c r="M24" s="57"/>
      <c r="N24" s="100"/>
      <c r="O24" s="101" t="s">
        <v>61</v>
      </c>
      <c r="P24" s="101">
        <v>31</v>
      </c>
      <c r="Q24" s="101"/>
      <c r="R24" s="101">
        <f>15-Q24</f>
        <v>15</v>
      </c>
      <c r="S24" s="102"/>
      <c r="T24" s="101" t="s">
        <v>61</v>
      </c>
      <c r="U24" s="103"/>
      <c r="V24" s="103"/>
      <c r="W24" s="103">
        <f>V24+U24</f>
        <v>0</v>
      </c>
      <c r="X24" s="103"/>
      <c r="Y24" s="103">
        <f>W24-X24</f>
        <v>0</v>
      </c>
      <c r="Z24" s="99"/>
      <c r="AA24" s="57"/>
    </row>
    <row r="25" spans="1:27" s="55" customFormat="1" ht="21" customHeight="1" x14ac:dyDescent="0.25">
      <c r="A25" s="56"/>
      <c r="B25" s="57" t="s">
        <v>0</v>
      </c>
      <c r="C25" s="67" t="s">
        <v>89</v>
      </c>
      <c r="D25" s="57"/>
      <c r="E25" s="57"/>
      <c r="F25" s="57"/>
      <c r="G25" s="57"/>
      <c r="H25" s="68"/>
      <c r="I25" s="62"/>
      <c r="J25" s="57"/>
      <c r="K25" s="57"/>
      <c r="L25" s="69"/>
      <c r="M25" s="54"/>
      <c r="N25" s="104"/>
      <c r="O25" s="101" t="s">
        <v>87</v>
      </c>
      <c r="P25" s="101">
        <v>28</v>
      </c>
      <c r="Q25" s="101"/>
      <c r="R25" s="101" t="str">
        <f t="shared" ref="R25:R35" si="3">IF(Q25="","",R24-Q25)</f>
        <v/>
      </c>
      <c r="S25" s="105"/>
      <c r="T25" s="101" t="s">
        <v>87</v>
      </c>
      <c r="U25" s="177" t="str">
        <f>IF($J$1="February",Y24,"")</f>
        <v/>
      </c>
      <c r="V25" s="103"/>
      <c r="W25" s="177" t="str">
        <f>IF(U25="","",U25+V25)</f>
        <v/>
      </c>
      <c r="X25" s="103"/>
      <c r="Y25" s="177" t="str">
        <f>IF(W25="","",W25-X25)</f>
        <v/>
      </c>
      <c r="Z25" s="106"/>
      <c r="AA25" s="54"/>
    </row>
    <row r="26" spans="1:27" s="55" customFormat="1" ht="21" customHeight="1" x14ac:dyDescent="0.25">
      <c r="A26" s="56"/>
      <c r="B26" s="71" t="s">
        <v>57</v>
      </c>
      <c r="C26" s="72"/>
      <c r="D26" s="57"/>
      <c r="E26" s="57"/>
      <c r="F26" s="290" t="s">
        <v>59</v>
      </c>
      <c r="G26" s="290"/>
      <c r="H26" s="57"/>
      <c r="I26" s="290" t="s">
        <v>60</v>
      </c>
      <c r="J26" s="290"/>
      <c r="K26" s="290"/>
      <c r="L26" s="73"/>
      <c r="M26" s="57"/>
      <c r="N26" s="100"/>
      <c r="O26" s="101" t="s">
        <v>62</v>
      </c>
      <c r="P26" s="101"/>
      <c r="Q26" s="101"/>
      <c r="R26" s="101" t="str">
        <f t="shared" si="3"/>
        <v/>
      </c>
      <c r="S26" s="105"/>
      <c r="T26" s="101" t="s">
        <v>62</v>
      </c>
      <c r="U26" s="177" t="str">
        <f>IF($J$1="March",Y25,"")</f>
        <v/>
      </c>
      <c r="V26" s="103"/>
      <c r="W26" s="177" t="str">
        <f t="shared" ref="W26:W35" si="4">IF(U26="","",U26+V26)</f>
        <v/>
      </c>
      <c r="X26" s="103"/>
      <c r="Y26" s="177" t="str">
        <f t="shared" ref="Y26:Y35" si="5">IF(W26="","",W26-X26)</f>
        <v/>
      </c>
      <c r="Z26" s="106"/>
      <c r="AA26" s="57"/>
    </row>
    <row r="27" spans="1:27" s="55" customFormat="1" ht="21" customHeight="1" x14ac:dyDescent="0.25">
      <c r="A27" s="56"/>
      <c r="B27" s="57"/>
      <c r="C27" s="57"/>
      <c r="D27" s="57"/>
      <c r="E27" s="57"/>
      <c r="F27" s="57"/>
      <c r="G27" s="57"/>
      <c r="H27" s="74"/>
      <c r="L27" s="61"/>
      <c r="M27" s="57"/>
      <c r="N27" s="100"/>
      <c r="O27" s="101" t="s">
        <v>63</v>
      </c>
      <c r="P27" s="101"/>
      <c r="Q27" s="101"/>
      <c r="R27" s="101" t="str">
        <f t="shared" si="3"/>
        <v/>
      </c>
      <c r="S27" s="105"/>
      <c r="T27" s="101" t="s">
        <v>63</v>
      </c>
      <c r="U27" s="177" t="str">
        <f>IF($J$1="April",Y26,"")</f>
        <v/>
      </c>
      <c r="V27" s="103"/>
      <c r="W27" s="177" t="str">
        <f t="shared" si="4"/>
        <v/>
      </c>
      <c r="X27" s="103"/>
      <c r="Y27" s="177" t="str">
        <f t="shared" si="5"/>
        <v/>
      </c>
      <c r="Z27" s="106"/>
      <c r="AA27" s="57"/>
    </row>
    <row r="28" spans="1:27" s="55" customFormat="1" ht="21" customHeight="1" x14ac:dyDescent="0.25">
      <c r="A28" s="56"/>
      <c r="B28" s="291" t="s">
        <v>58</v>
      </c>
      <c r="C28" s="292"/>
      <c r="D28" s="57"/>
      <c r="E28" s="57"/>
      <c r="F28" s="75" t="s">
        <v>80</v>
      </c>
      <c r="G28" s="70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74"/>
      <c r="I28" s="76">
        <f>IF(C32&gt;=C31,$K$2,C30-C31+C32)</f>
        <v>30</v>
      </c>
      <c r="J28" s="77" t="s">
        <v>77</v>
      </c>
      <c r="K28" s="78">
        <f>K24/$K$2*I28</f>
        <v>50000</v>
      </c>
      <c r="L28" s="79"/>
      <c r="M28" s="57"/>
      <c r="N28" s="100"/>
      <c r="O28" s="101" t="s">
        <v>64</v>
      </c>
      <c r="P28" s="101"/>
      <c r="Q28" s="101"/>
      <c r="R28" s="101" t="str">
        <f t="shared" si="3"/>
        <v/>
      </c>
      <c r="S28" s="105"/>
      <c r="T28" s="101" t="s">
        <v>64</v>
      </c>
      <c r="U28" s="177" t="str">
        <f>IF($J$1="May",Y27,"")</f>
        <v/>
      </c>
      <c r="V28" s="103"/>
      <c r="W28" s="177" t="str">
        <f t="shared" si="4"/>
        <v/>
      </c>
      <c r="X28" s="103"/>
      <c r="Y28" s="177" t="str">
        <f t="shared" si="5"/>
        <v/>
      </c>
      <c r="Z28" s="106"/>
      <c r="AA28" s="57"/>
    </row>
    <row r="29" spans="1:27" s="55" customFormat="1" ht="21" customHeight="1" x14ac:dyDescent="0.25">
      <c r="A29" s="56"/>
      <c r="B29" s="66"/>
      <c r="C29" s="66"/>
      <c r="D29" s="57"/>
      <c r="E29" s="57"/>
      <c r="F29" s="75" t="s">
        <v>29</v>
      </c>
      <c r="G29" s="70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74"/>
      <c r="I29" s="76"/>
      <c r="J29" s="77" t="s">
        <v>78</v>
      </c>
      <c r="K29" s="80">
        <f>K24/$K$2/8*I29</f>
        <v>0</v>
      </c>
      <c r="L29" s="81"/>
      <c r="M29" s="57"/>
      <c r="N29" s="100"/>
      <c r="O29" s="101" t="s">
        <v>65</v>
      </c>
      <c r="P29" s="101"/>
      <c r="Q29" s="101"/>
      <c r="R29" s="101" t="str">
        <f t="shared" si="3"/>
        <v/>
      </c>
      <c r="S29" s="105"/>
      <c r="T29" s="101" t="s">
        <v>65</v>
      </c>
      <c r="U29" s="177" t="str">
        <f>IF($J$1="June",Y28,"")</f>
        <v/>
      </c>
      <c r="V29" s="103"/>
      <c r="W29" s="177" t="str">
        <f t="shared" si="4"/>
        <v/>
      </c>
      <c r="X29" s="103"/>
      <c r="Y29" s="177" t="str">
        <f t="shared" si="5"/>
        <v/>
      </c>
      <c r="Z29" s="106"/>
      <c r="AA29" s="57"/>
    </row>
    <row r="30" spans="1:27" s="55" customFormat="1" ht="21" customHeight="1" x14ac:dyDescent="0.25">
      <c r="A30" s="56"/>
      <c r="B30" s="75" t="s">
        <v>7</v>
      </c>
      <c r="C30" s="66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57"/>
      <c r="E30" s="57"/>
      <c r="F30" s="75" t="s">
        <v>81</v>
      </c>
      <c r="G30" s="70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74"/>
      <c r="I30" s="293" t="s">
        <v>85</v>
      </c>
      <c r="J30" s="294"/>
      <c r="K30" s="80">
        <f>K28+K29</f>
        <v>50000</v>
      </c>
      <c r="L30" s="81"/>
      <c r="M30" s="57"/>
      <c r="N30" s="100"/>
      <c r="O30" s="101" t="s">
        <v>66</v>
      </c>
      <c r="P30" s="101"/>
      <c r="Q30" s="101"/>
      <c r="R30" s="101" t="str">
        <f t="shared" si="3"/>
        <v/>
      </c>
      <c r="S30" s="105"/>
      <c r="T30" s="101" t="s">
        <v>66</v>
      </c>
      <c r="U30" s="177" t="str">
        <f>IF($J$1="July",Y29,"")</f>
        <v/>
      </c>
      <c r="V30" s="103"/>
      <c r="W30" s="177" t="str">
        <f t="shared" si="4"/>
        <v/>
      </c>
      <c r="X30" s="103"/>
      <c r="Y30" s="177" t="str">
        <f t="shared" si="5"/>
        <v/>
      </c>
      <c r="Z30" s="106"/>
      <c r="AA30" s="57"/>
    </row>
    <row r="31" spans="1:27" s="55" customFormat="1" ht="21" customHeight="1" x14ac:dyDescent="0.25">
      <c r="A31" s="56"/>
      <c r="B31" s="75" t="s">
        <v>6</v>
      </c>
      <c r="C31" s="66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57"/>
      <c r="E31" s="57"/>
      <c r="F31" s="75" t="s">
        <v>30</v>
      </c>
      <c r="G31" s="70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74"/>
      <c r="I31" s="293" t="s">
        <v>86</v>
      </c>
      <c r="J31" s="294"/>
      <c r="K31" s="70">
        <f>G31</f>
        <v>0</v>
      </c>
      <c r="L31" s="82"/>
      <c r="M31" s="57"/>
      <c r="N31" s="100"/>
      <c r="O31" s="101" t="s">
        <v>67</v>
      </c>
      <c r="P31" s="101"/>
      <c r="Q31" s="101"/>
      <c r="R31" s="101" t="str">
        <f t="shared" si="3"/>
        <v/>
      </c>
      <c r="S31" s="105"/>
      <c r="T31" s="101" t="s">
        <v>67</v>
      </c>
      <c r="U31" s="177" t="str">
        <f>IF($J$1="August",Y30,"")</f>
        <v/>
      </c>
      <c r="V31" s="103"/>
      <c r="W31" s="177" t="str">
        <f t="shared" si="4"/>
        <v/>
      </c>
      <c r="X31" s="103"/>
      <c r="Y31" s="177" t="str">
        <f t="shared" si="5"/>
        <v/>
      </c>
      <c r="Z31" s="106"/>
      <c r="AA31" s="57"/>
    </row>
    <row r="32" spans="1:27" s="55" customFormat="1" ht="21" customHeight="1" x14ac:dyDescent="0.25">
      <c r="A32" s="56"/>
      <c r="B32" s="83" t="s">
        <v>84</v>
      </c>
      <c r="C32" s="66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57"/>
      <c r="E32" s="57"/>
      <c r="F32" s="75" t="s">
        <v>83</v>
      </c>
      <c r="G32" s="70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57"/>
      <c r="I32" s="295" t="s">
        <v>79</v>
      </c>
      <c r="J32" s="296"/>
      <c r="K32" s="84">
        <f>K30-K31</f>
        <v>50000</v>
      </c>
      <c r="L32" s="85"/>
      <c r="M32" s="57"/>
      <c r="N32" s="100"/>
      <c r="O32" s="101" t="s">
        <v>72</v>
      </c>
      <c r="P32" s="101"/>
      <c r="Q32" s="101"/>
      <c r="R32" s="101" t="str">
        <f t="shared" si="3"/>
        <v/>
      </c>
      <c r="S32" s="105"/>
      <c r="T32" s="101" t="s">
        <v>72</v>
      </c>
      <c r="U32" s="177" t="str">
        <f>IF($J$1="September",Y31,"")</f>
        <v/>
      </c>
      <c r="V32" s="103"/>
      <c r="W32" s="177" t="str">
        <f t="shared" si="4"/>
        <v/>
      </c>
      <c r="X32" s="103"/>
      <c r="Y32" s="177" t="str">
        <f t="shared" si="5"/>
        <v/>
      </c>
      <c r="Z32" s="106"/>
      <c r="AA32" s="57"/>
    </row>
    <row r="33" spans="1:27" s="55" customFormat="1" ht="21" customHeight="1" x14ac:dyDescent="0.25">
      <c r="A33" s="56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73"/>
      <c r="M33" s="57"/>
      <c r="N33" s="100"/>
      <c r="O33" s="101" t="s">
        <v>68</v>
      </c>
      <c r="P33" s="101"/>
      <c r="Q33" s="101"/>
      <c r="R33" s="101" t="str">
        <f t="shared" si="3"/>
        <v/>
      </c>
      <c r="S33" s="105"/>
      <c r="T33" s="101" t="s">
        <v>68</v>
      </c>
      <c r="U33" s="177" t="str">
        <f>IF($J$1="October",Y32,"")</f>
        <v/>
      </c>
      <c r="V33" s="103"/>
      <c r="W33" s="177" t="str">
        <f t="shared" si="4"/>
        <v/>
      </c>
      <c r="X33" s="103"/>
      <c r="Y33" s="177" t="str">
        <f t="shared" si="5"/>
        <v/>
      </c>
      <c r="Z33" s="106"/>
      <c r="AA33" s="57"/>
    </row>
    <row r="34" spans="1:27" s="55" customFormat="1" ht="21" customHeight="1" x14ac:dyDescent="0.25">
      <c r="A34" s="56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73"/>
      <c r="M34" s="57"/>
      <c r="N34" s="100"/>
      <c r="O34" s="101" t="s">
        <v>73</v>
      </c>
      <c r="P34" s="101"/>
      <c r="Q34" s="101"/>
      <c r="R34" s="101" t="str">
        <f t="shared" si="3"/>
        <v/>
      </c>
      <c r="S34" s="105"/>
      <c r="T34" s="101" t="s">
        <v>73</v>
      </c>
      <c r="U34" s="177" t="str">
        <f>IF($J$1="November",Y33,"")</f>
        <v/>
      </c>
      <c r="V34" s="103"/>
      <c r="W34" s="177" t="str">
        <f t="shared" si="4"/>
        <v/>
      </c>
      <c r="X34" s="103"/>
      <c r="Y34" s="177" t="str">
        <f t="shared" si="5"/>
        <v/>
      </c>
      <c r="Z34" s="106"/>
      <c r="AA34" s="57"/>
    </row>
    <row r="35" spans="1:27" s="55" customFormat="1" ht="21" customHeight="1" x14ac:dyDescent="0.25">
      <c r="A35" s="56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73"/>
      <c r="M35" s="57"/>
      <c r="N35" s="100"/>
      <c r="O35" s="101" t="s">
        <v>74</v>
      </c>
      <c r="P35" s="101"/>
      <c r="Q35" s="101"/>
      <c r="R35" s="101" t="str">
        <f t="shared" si="3"/>
        <v/>
      </c>
      <c r="S35" s="105"/>
      <c r="T35" s="101" t="s">
        <v>74</v>
      </c>
      <c r="U35" s="177" t="str">
        <f>IF($J$1="December",Y34,"")</f>
        <v/>
      </c>
      <c r="V35" s="103"/>
      <c r="W35" s="177" t="str">
        <f t="shared" si="4"/>
        <v/>
      </c>
      <c r="X35" s="103"/>
      <c r="Y35" s="177" t="str">
        <f t="shared" si="5"/>
        <v/>
      </c>
      <c r="Z35" s="106"/>
      <c r="AA35" s="57"/>
    </row>
    <row r="36" spans="1:27" s="55" customFormat="1" ht="21" customHeight="1" thickBot="1" x14ac:dyDescent="0.3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8"/>
      <c r="N36" s="107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9"/>
    </row>
    <row r="37" spans="1:27" s="55" customFormat="1" ht="21" customHeight="1" thickBot="1" x14ac:dyDescent="0.3"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</row>
    <row r="38" spans="1:27" s="55" customFormat="1" ht="21" customHeight="1" x14ac:dyDescent="0.25">
      <c r="A38" s="300" t="s">
        <v>56</v>
      </c>
      <c r="B38" s="301"/>
      <c r="C38" s="301"/>
      <c r="D38" s="301"/>
      <c r="E38" s="301"/>
      <c r="F38" s="301"/>
      <c r="G38" s="301"/>
      <c r="H38" s="301"/>
      <c r="I38" s="301"/>
      <c r="J38" s="301"/>
      <c r="K38" s="301"/>
      <c r="L38" s="302"/>
      <c r="M38" s="54"/>
      <c r="N38" s="93"/>
      <c r="O38" s="285" t="s">
        <v>58</v>
      </c>
      <c r="P38" s="286"/>
      <c r="Q38" s="286"/>
      <c r="R38" s="287"/>
      <c r="S38" s="94"/>
      <c r="T38" s="285" t="s">
        <v>59</v>
      </c>
      <c r="U38" s="286"/>
      <c r="V38" s="286"/>
      <c r="W38" s="286"/>
      <c r="X38" s="286"/>
      <c r="Y38" s="287"/>
      <c r="Z38" s="95"/>
      <c r="AA38" s="54"/>
    </row>
    <row r="39" spans="1:27" s="55" customFormat="1" ht="21" customHeight="1" x14ac:dyDescent="0.25">
      <c r="A39" s="56"/>
      <c r="B39" s="57"/>
      <c r="C39" s="288" t="s">
        <v>114</v>
      </c>
      <c r="D39" s="288"/>
      <c r="E39" s="288"/>
      <c r="F39" s="288"/>
      <c r="G39" s="58" t="str">
        <f>$J$1</f>
        <v>June</v>
      </c>
      <c r="H39" s="289">
        <f>$K$1</f>
        <v>2019</v>
      </c>
      <c r="I39" s="289"/>
      <c r="J39" s="57"/>
      <c r="K39" s="59"/>
      <c r="L39" s="60"/>
      <c r="M39" s="59"/>
      <c r="N39" s="96"/>
      <c r="O39" s="97" t="s">
        <v>69</v>
      </c>
      <c r="P39" s="97" t="s">
        <v>7</v>
      </c>
      <c r="Q39" s="97" t="s">
        <v>6</v>
      </c>
      <c r="R39" s="97" t="s">
        <v>70</v>
      </c>
      <c r="S39" s="98"/>
      <c r="T39" s="97" t="s">
        <v>69</v>
      </c>
      <c r="U39" s="97" t="s">
        <v>71</v>
      </c>
      <c r="V39" s="97" t="s">
        <v>29</v>
      </c>
      <c r="W39" s="97" t="s">
        <v>28</v>
      </c>
      <c r="X39" s="97" t="s">
        <v>30</v>
      </c>
      <c r="Y39" s="97" t="s">
        <v>75</v>
      </c>
      <c r="Z39" s="99"/>
      <c r="AA39" s="59"/>
    </row>
    <row r="40" spans="1:27" s="55" customFormat="1" ht="21" customHeight="1" x14ac:dyDescent="0.25">
      <c r="A40" s="56"/>
      <c r="B40" s="57"/>
      <c r="C40" s="57"/>
      <c r="D40" s="62"/>
      <c r="E40" s="62"/>
      <c r="F40" s="62"/>
      <c r="G40" s="62"/>
      <c r="H40" s="62"/>
      <c r="I40" s="57"/>
      <c r="J40" s="63" t="s">
        <v>1</v>
      </c>
      <c r="K40" s="64">
        <v>35000</v>
      </c>
      <c r="L40" s="65"/>
      <c r="M40" s="57"/>
      <c r="N40" s="100"/>
      <c r="O40" s="101" t="s">
        <v>61</v>
      </c>
      <c r="P40" s="101">
        <v>31</v>
      </c>
      <c r="Q40" s="101">
        <v>0</v>
      </c>
      <c r="R40" s="101">
        <f>15-Q40</f>
        <v>15</v>
      </c>
      <c r="S40" s="102"/>
      <c r="T40" s="101" t="s">
        <v>61</v>
      </c>
      <c r="U40" s="103"/>
      <c r="V40" s="103"/>
      <c r="W40" s="103">
        <f>V40+U40</f>
        <v>0</v>
      </c>
      <c r="X40" s="103"/>
      <c r="Y40" s="103">
        <f>W40-X40</f>
        <v>0</v>
      </c>
      <c r="Z40" s="99"/>
      <c r="AA40" s="57"/>
    </row>
    <row r="41" spans="1:27" s="55" customFormat="1" ht="21" customHeight="1" x14ac:dyDescent="0.25">
      <c r="A41" s="56"/>
      <c r="B41" s="57" t="s">
        <v>0</v>
      </c>
      <c r="C41" s="67" t="s">
        <v>92</v>
      </c>
      <c r="D41" s="57"/>
      <c r="E41" s="57"/>
      <c r="F41" s="57"/>
      <c r="G41" s="57"/>
      <c r="H41" s="68"/>
      <c r="I41" s="62"/>
      <c r="J41" s="57"/>
      <c r="K41" s="57"/>
      <c r="L41" s="69"/>
      <c r="M41" s="54"/>
      <c r="N41" s="104"/>
      <c r="O41" s="101" t="s">
        <v>87</v>
      </c>
      <c r="P41" s="101"/>
      <c r="Q41" s="101"/>
      <c r="R41" s="101" t="str">
        <f t="shared" ref="R41:R51" si="6">IF(Q41="","",R40-Q41)</f>
        <v/>
      </c>
      <c r="S41" s="105"/>
      <c r="T41" s="101" t="s">
        <v>87</v>
      </c>
      <c r="U41" s="177" t="str">
        <f>IF($J$1="February",Y40,"")</f>
        <v/>
      </c>
      <c r="V41" s="103"/>
      <c r="W41" s="177" t="str">
        <f>IF(U41="","",U41+V41)</f>
        <v/>
      </c>
      <c r="X41" s="103"/>
      <c r="Y41" s="177" t="str">
        <f>IF(W41="","",W41-X41)</f>
        <v/>
      </c>
      <c r="Z41" s="106"/>
      <c r="AA41" s="54"/>
    </row>
    <row r="42" spans="1:27" s="55" customFormat="1" ht="21" customHeight="1" x14ac:dyDescent="0.25">
      <c r="A42" s="56"/>
      <c r="B42" s="71" t="s">
        <v>57</v>
      </c>
      <c r="C42" s="72"/>
      <c r="D42" s="57"/>
      <c r="E42" s="57"/>
      <c r="F42" s="290" t="s">
        <v>59</v>
      </c>
      <c r="G42" s="290"/>
      <c r="H42" s="57"/>
      <c r="I42" s="290" t="s">
        <v>60</v>
      </c>
      <c r="J42" s="290"/>
      <c r="K42" s="290"/>
      <c r="L42" s="73"/>
      <c r="M42" s="57"/>
      <c r="N42" s="100"/>
      <c r="O42" s="101" t="s">
        <v>62</v>
      </c>
      <c r="P42" s="101"/>
      <c r="Q42" s="101"/>
      <c r="R42" s="101" t="str">
        <f t="shared" si="6"/>
        <v/>
      </c>
      <c r="S42" s="105"/>
      <c r="T42" s="101" t="s">
        <v>62</v>
      </c>
      <c r="U42" s="177" t="str">
        <f>IF($J$1="March",Y41,"")</f>
        <v/>
      </c>
      <c r="V42" s="103"/>
      <c r="W42" s="177" t="str">
        <f t="shared" ref="W42:W51" si="7">IF(U42="","",U42+V42)</f>
        <v/>
      </c>
      <c r="X42" s="103"/>
      <c r="Y42" s="177" t="str">
        <f t="shared" ref="Y42:Y51" si="8">IF(W42="","",W42-X42)</f>
        <v/>
      </c>
      <c r="Z42" s="106"/>
      <c r="AA42" s="57"/>
    </row>
    <row r="43" spans="1:27" s="55" customFormat="1" ht="21" customHeight="1" x14ac:dyDescent="0.25">
      <c r="A43" s="56"/>
      <c r="B43" s="57"/>
      <c r="C43" s="57"/>
      <c r="D43" s="57"/>
      <c r="E43" s="57"/>
      <c r="F43" s="57"/>
      <c r="G43" s="57"/>
      <c r="H43" s="74"/>
      <c r="L43" s="61"/>
      <c r="M43" s="57"/>
      <c r="N43" s="100"/>
      <c r="O43" s="101" t="s">
        <v>63</v>
      </c>
      <c r="P43" s="101"/>
      <c r="Q43" s="101"/>
      <c r="R43" s="101" t="str">
        <f t="shared" si="6"/>
        <v/>
      </c>
      <c r="S43" s="105"/>
      <c r="T43" s="101" t="s">
        <v>63</v>
      </c>
      <c r="U43" s="177" t="str">
        <f>IF($J$1="April",Y42,"")</f>
        <v/>
      </c>
      <c r="V43" s="103"/>
      <c r="W43" s="177" t="str">
        <f t="shared" si="7"/>
        <v/>
      </c>
      <c r="X43" s="103"/>
      <c r="Y43" s="177" t="str">
        <f t="shared" si="8"/>
        <v/>
      </c>
      <c r="Z43" s="106"/>
      <c r="AA43" s="57"/>
    </row>
    <row r="44" spans="1:27" s="55" customFormat="1" ht="21" customHeight="1" x14ac:dyDescent="0.25">
      <c r="A44" s="56"/>
      <c r="B44" s="291" t="s">
        <v>58</v>
      </c>
      <c r="C44" s="292"/>
      <c r="D44" s="57"/>
      <c r="E44" s="57"/>
      <c r="F44" s="75" t="s">
        <v>80</v>
      </c>
      <c r="G44" s="70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74"/>
      <c r="I44" s="76">
        <v>30</v>
      </c>
      <c r="J44" s="77" t="s">
        <v>77</v>
      </c>
      <c r="K44" s="78">
        <f>K40/$K$2*I44</f>
        <v>35000</v>
      </c>
      <c r="L44" s="79"/>
      <c r="M44" s="57"/>
      <c r="N44" s="100"/>
      <c r="O44" s="101" t="s">
        <v>64</v>
      </c>
      <c r="P44" s="101"/>
      <c r="Q44" s="101"/>
      <c r="R44" s="101" t="str">
        <f t="shared" si="6"/>
        <v/>
      </c>
      <c r="S44" s="105"/>
      <c r="T44" s="101" t="s">
        <v>64</v>
      </c>
      <c r="U44" s="177" t="str">
        <f>IF($J$1="May",Y43,"")</f>
        <v/>
      </c>
      <c r="V44" s="103"/>
      <c r="W44" s="177" t="str">
        <f t="shared" si="7"/>
        <v/>
      </c>
      <c r="X44" s="103"/>
      <c r="Y44" s="177" t="str">
        <f t="shared" si="8"/>
        <v/>
      </c>
      <c r="Z44" s="106"/>
      <c r="AA44" s="57"/>
    </row>
    <row r="45" spans="1:27" s="55" customFormat="1" ht="21" customHeight="1" x14ac:dyDescent="0.25">
      <c r="A45" s="56"/>
      <c r="B45" s="66"/>
      <c r="C45" s="66"/>
      <c r="D45" s="57"/>
      <c r="E45" s="57"/>
      <c r="F45" s="75" t="s">
        <v>29</v>
      </c>
      <c r="G45" s="70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74"/>
      <c r="I45" s="76"/>
      <c r="J45" s="77" t="s">
        <v>78</v>
      </c>
      <c r="K45" s="80">
        <f>K40/$K$2/8*I45</f>
        <v>0</v>
      </c>
      <c r="L45" s="81"/>
      <c r="M45" s="57"/>
      <c r="N45" s="100"/>
      <c r="O45" s="101" t="s">
        <v>65</v>
      </c>
      <c r="P45" s="101"/>
      <c r="Q45" s="101"/>
      <c r="R45" s="101" t="str">
        <f t="shared" si="6"/>
        <v/>
      </c>
      <c r="S45" s="105"/>
      <c r="T45" s="101" t="s">
        <v>65</v>
      </c>
      <c r="U45" s="177" t="str">
        <f>IF($J$1="June",Y44,"")</f>
        <v/>
      </c>
      <c r="V45" s="103"/>
      <c r="W45" s="177" t="str">
        <f t="shared" si="7"/>
        <v/>
      </c>
      <c r="X45" s="103"/>
      <c r="Y45" s="177" t="str">
        <f t="shared" si="8"/>
        <v/>
      </c>
      <c r="Z45" s="106"/>
      <c r="AA45" s="57"/>
    </row>
    <row r="46" spans="1:27" s="55" customFormat="1" ht="21" customHeight="1" x14ac:dyDescent="0.25">
      <c r="A46" s="56"/>
      <c r="B46" s="75" t="s">
        <v>7</v>
      </c>
      <c r="C46" s="66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0</v>
      </c>
      <c r="D46" s="57"/>
      <c r="E46" s="57"/>
      <c r="F46" s="75" t="s">
        <v>81</v>
      </c>
      <c r="G46" s="70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74"/>
      <c r="I46" s="293" t="s">
        <v>85</v>
      </c>
      <c r="J46" s="294"/>
      <c r="K46" s="80">
        <f>K44+K45</f>
        <v>35000</v>
      </c>
      <c r="L46" s="81"/>
      <c r="M46" s="57"/>
      <c r="N46" s="100"/>
      <c r="O46" s="101" t="s">
        <v>66</v>
      </c>
      <c r="P46" s="101"/>
      <c r="Q46" s="101"/>
      <c r="R46" s="101" t="str">
        <f t="shared" si="6"/>
        <v/>
      </c>
      <c r="S46" s="105"/>
      <c r="T46" s="101" t="s">
        <v>66</v>
      </c>
      <c r="U46" s="177" t="str">
        <f>IF($J$1="July",Y45,"")</f>
        <v/>
      </c>
      <c r="V46" s="103"/>
      <c r="W46" s="177" t="str">
        <f t="shared" si="7"/>
        <v/>
      </c>
      <c r="X46" s="103"/>
      <c r="Y46" s="177" t="str">
        <f t="shared" si="8"/>
        <v/>
      </c>
      <c r="Z46" s="106"/>
      <c r="AA46" s="57"/>
    </row>
    <row r="47" spans="1:27" s="55" customFormat="1" ht="21" customHeight="1" x14ac:dyDescent="0.25">
      <c r="A47" s="56"/>
      <c r="B47" s="75" t="s">
        <v>6</v>
      </c>
      <c r="C47" s="66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0</v>
      </c>
      <c r="D47" s="57"/>
      <c r="E47" s="57"/>
      <c r="F47" s="75" t="s">
        <v>30</v>
      </c>
      <c r="G47" s="70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74"/>
      <c r="I47" s="293" t="s">
        <v>86</v>
      </c>
      <c r="J47" s="294"/>
      <c r="K47" s="70">
        <f>G47</f>
        <v>0</v>
      </c>
      <c r="L47" s="82"/>
      <c r="M47" s="57"/>
      <c r="N47" s="100"/>
      <c r="O47" s="101" t="s">
        <v>67</v>
      </c>
      <c r="P47" s="101"/>
      <c r="Q47" s="101"/>
      <c r="R47" s="101" t="str">
        <f t="shared" si="6"/>
        <v/>
      </c>
      <c r="S47" s="105"/>
      <c r="T47" s="101" t="s">
        <v>67</v>
      </c>
      <c r="U47" s="177" t="str">
        <f>IF($J$1="August",Y46,"")</f>
        <v/>
      </c>
      <c r="V47" s="103"/>
      <c r="W47" s="177" t="str">
        <f t="shared" si="7"/>
        <v/>
      </c>
      <c r="X47" s="103"/>
      <c r="Y47" s="177" t="str">
        <f t="shared" si="8"/>
        <v/>
      </c>
      <c r="Z47" s="106"/>
      <c r="AA47" s="57"/>
    </row>
    <row r="48" spans="1:27" s="55" customFormat="1" ht="21" customHeight="1" x14ac:dyDescent="0.25">
      <c r="A48" s="56"/>
      <c r="B48" s="83" t="s">
        <v>84</v>
      </c>
      <c r="C48" s="66" t="str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/>
      </c>
      <c r="D48" s="57"/>
      <c r="E48" s="57"/>
      <c r="F48" s="75" t="s">
        <v>83</v>
      </c>
      <c r="G48" s="70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H48" s="57"/>
      <c r="I48" s="295" t="s">
        <v>79</v>
      </c>
      <c r="J48" s="296"/>
      <c r="K48" s="84">
        <f>K46-K47</f>
        <v>35000</v>
      </c>
      <c r="L48" s="85"/>
      <c r="M48" s="57"/>
      <c r="N48" s="100"/>
      <c r="O48" s="101" t="s">
        <v>72</v>
      </c>
      <c r="P48" s="101"/>
      <c r="Q48" s="101"/>
      <c r="R48" s="101" t="str">
        <f t="shared" si="6"/>
        <v/>
      </c>
      <c r="S48" s="105"/>
      <c r="T48" s="101" t="s">
        <v>72</v>
      </c>
      <c r="U48" s="177" t="str">
        <f>IF($J$1="September",Y47,"")</f>
        <v/>
      </c>
      <c r="V48" s="103"/>
      <c r="W48" s="177" t="str">
        <f t="shared" si="7"/>
        <v/>
      </c>
      <c r="X48" s="103"/>
      <c r="Y48" s="177" t="str">
        <f t="shared" si="8"/>
        <v/>
      </c>
      <c r="Z48" s="106"/>
      <c r="AA48" s="57"/>
    </row>
    <row r="49" spans="1:27" s="55" customFormat="1" ht="21" customHeight="1" x14ac:dyDescent="0.25">
      <c r="A49" s="56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73"/>
      <c r="M49" s="57"/>
      <c r="N49" s="100"/>
      <c r="O49" s="101" t="s">
        <v>68</v>
      </c>
      <c r="P49" s="101"/>
      <c r="Q49" s="101"/>
      <c r="R49" s="101">
        <v>0</v>
      </c>
      <c r="S49" s="105"/>
      <c r="T49" s="101" t="s">
        <v>68</v>
      </c>
      <c r="U49" s="177" t="str">
        <f>IF($J$1="October",Y48,"")</f>
        <v/>
      </c>
      <c r="V49" s="103"/>
      <c r="W49" s="177" t="str">
        <f t="shared" si="7"/>
        <v/>
      </c>
      <c r="X49" s="103"/>
      <c r="Y49" s="177" t="str">
        <f t="shared" si="8"/>
        <v/>
      </c>
      <c r="Z49" s="106"/>
      <c r="AA49" s="57"/>
    </row>
    <row r="50" spans="1:27" s="55" customFormat="1" ht="21" customHeight="1" x14ac:dyDescent="0.25">
      <c r="A50" s="56"/>
      <c r="B50" s="284" t="s">
        <v>116</v>
      </c>
      <c r="C50" s="284"/>
      <c r="D50" s="284"/>
      <c r="E50" s="284"/>
      <c r="F50" s="284"/>
      <c r="G50" s="284"/>
      <c r="H50" s="284"/>
      <c r="I50" s="284"/>
      <c r="J50" s="284"/>
      <c r="K50" s="284"/>
      <c r="L50" s="73"/>
      <c r="M50" s="57"/>
      <c r="N50" s="100"/>
      <c r="O50" s="101" t="s">
        <v>73</v>
      </c>
      <c r="P50" s="101"/>
      <c r="Q50" s="101"/>
      <c r="R50" s="101">
        <v>0</v>
      </c>
      <c r="S50" s="105"/>
      <c r="T50" s="101" t="s">
        <v>73</v>
      </c>
      <c r="U50" s="177" t="str">
        <f>IF($J$1="November",Y49,"")</f>
        <v/>
      </c>
      <c r="V50" s="103"/>
      <c r="W50" s="177" t="str">
        <f t="shared" si="7"/>
        <v/>
      </c>
      <c r="X50" s="103"/>
      <c r="Y50" s="177" t="str">
        <f t="shared" si="8"/>
        <v/>
      </c>
      <c r="Z50" s="106"/>
      <c r="AA50" s="57"/>
    </row>
    <row r="51" spans="1:27" s="55" customFormat="1" ht="21" customHeight="1" x14ac:dyDescent="0.25">
      <c r="A51" s="56"/>
      <c r="B51" s="284"/>
      <c r="C51" s="284"/>
      <c r="D51" s="284"/>
      <c r="E51" s="284"/>
      <c r="F51" s="284"/>
      <c r="G51" s="284"/>
      <c r="H51" s="284"/>
      <c r="I51" s="284"/>
      <c r="J51" s="284"/>
      <c r="K51" s="284"/>
      <c r="L51" s="73"/>
      <c r="M51" s="57"/>
      <c r="N51" s="100"/>
      <c r="O51" s="101" t="s">
        <v>74</v>
      </c>
      <c r="P51" s="101"/>
      <c r="Q51" s="101"/>
      <c r="R51" s="101" t="str">
        <f t="shared" si="6"/>
        <v/>
      </c>
      <c r="S51" s="105"/>
      <c r="T51" s="101" t="s">
        <v>74</v>
      </c>
      <c r="U51" s="177" t="str">
        <f>IF($J$1="December",Y50,"")</f>
        <v/>
      </c>
      <c r="V51" s="103"/>
      <c r="W51" s="177" t="str">
        <f t="shared" si="7"/>
        <v/>
      </c>
      <c r="X51" s="103"/>
      <c r="Y51" s="177" t="str">
        <f t="shared" si="8"/>
        <v/>
      </c>
      <c r="Z51" s="106"/>
      <c r="AA51" s="57"/>
    </row>
    <row r="52" spans="1:27" s="55" customFormat="1" ht="21" customHeight="1" x14ac:dyDescent="0.25">
      <c r="A52" s="56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73"/>
      <c r="N52" s="100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21"/>
    </row>
    <row r="53" spans="1:27" s="155" customFormat="1" ht="21" customHeight="1" x14ac:dyDescent="0.25"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</row>
    <row r="54" spans="1:27" s="55" customFormat="1" ht="21" customHeight="1" x14ac:dyDescent="0.25">
      <c r="A54" s="323" t="s">
        <v>56</v>
      </c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5"/>
      <c r="M54" s="54"/>
      <c r="N54" s="104"/>
      <c r="O54" s="320" t="s">
        <v>58</v>
      </c>
      <c r="P54" s="321"/>
      <c r="Q54" s="321"/>
      <c r="R54" s="322"/>
      <c r="S54" s="105"/>
      <c r="T54" s="320" t="s">
        <v>59</v>
      </c>
      <c r="U54" s="321"/>
      <c r="V54" s="321"/>
      <c r="W54" s="321"/>
      <c r="X54" s="321"/>
      <c r="Y54" s="322"/>
      <c r="Z54" s="122"/>
      <c r="AA54" s="54"/>
    </row>
    <row r="55" spans="1:27" s="55" customFormat="1" ht="21" customHeight="1" x14ac:dyDescent="0.25">
      <c r="A55" s="56"/>
      <c r="B55" s="57"/>
      <c r="C55" s="288" t="s">
        <v>114</v>
      </c>
      <c r="D55" s="288"/>
      <c r="E55" s="288"/>
      <c r="F55" s="288"/>
      <c r="G55" s="58" t="str">
        <f>$J$1</f>
        <v>June</v>
      </c>
      <c r="H55" s="289">
        <f>$K$1</f>
        <v>2019</v>
      </c>
      <c r="I55" s="289"/>
      <c r="J55" s="57"/>
      <c r="K55" s="59"/>
      <c r="L55" s="60"/>
      <c r="M55" s="59"/>
      <c r="N55" s="96"/>
      <c r="O55" s="97" t="s">
        <v>69</v>
      </c>
      <c r="P55" s="97" t="s">
        <v>7</v>
      </c>
      <c r="Q55" s="97" t="s">
        <v>6</v>
      </c>
      <c r="R55" s="97" t="s">
        <v>70</v>
      </c>
      <c r="S55" s="98"/>
      <c r="T55" s="97" t="s">
        <v>69</v>
      </c>
      <c r="U55" s="97" t="s">
        <v>71</v>
      </c>
      <c r="V55" s="97" t="s">
        <v>29</v>
      </c>
      <c r="W55" s="97" t="s">
        <v>28</v>
      </c>
      <c r="X55" s="97" t="s">
        <v>30</v>
      </c>
      <c r="Y55" s="97" t="s">
        <v>75</v>
      </c>
      <c r="Z55" s="99"/>
      <c r="AA55" s="59"/>
    </row>
    <row r="56" spans="1:27" s="55" customFormat="1" ht="21" customHeight="1" x14ac:dyDescent="0.25">
      <c r="A56" s="56"/>
      <c r="B56" s="57"/>
      <c r="C56" s="57"/>
      <c r="D56" s="62"/>
      <c r="E56" s="62"/>
      <c r="F56" s="62"/>
      <c r="G56" s="62"/>
      <c r="H56" s="62"/>
      <c r="I56" s="57"/>
      <c r="J56" s="63" t="s">
        <v>1</v>
      </c>
      <c r="K56" s="64">
        <v>6000</v>
      </c>
      <c r="L56" s="65"/>
      <c r="M56" s="57"/>
      <c r="N56" s="100"/>
      <c r="O56" s="101" t="s">
        <v>61</v>
      </c>
      <c r="P56" s="101"/>
      <c r="Q56" s="101"/>
      <c r="R56" s="101"/>
      <c r="S56" s="102"/>
      <c r="T56" s="101" t="s">
        <v>61</v>
      </c>
      <c r="U56" s="103">
        <v>4800</v>
      </c>
      <c r="V56" s="103">
        <v>1000</v>
      </c>
      <c r="W56" s="103">
        <f>V56+U56</f>
        <v>5800</v>
      </c>
      <c r="X56" s="103"/>
      <c r="Y56" s="103">
        <f>W56-X56</f>
        <v>5800</v>
      </c>
      <c r="Z56" s="99"/>
      <c r="AA56" s="57"/>
    </row>
    <row r="57" spans="1:27" s="55" customFormat="1" ht="21" customHeight="1" x14ac:dyDescent="0.25">
      <c r="A57" s="56"/>
      <c r="B57" s="57" t="s">
        <v>0</v>
      </c>
      <c r="C57" s="67" t="s">
        <v>138</v>
      </c>
      <c r="D57" s="57"/>
      <c r="E57" s="57"/>
      <c r="F57" s="57"/>
      <c r="G57" s="57"/>
      <c r="H57" s="68"/>
      <c r="I57" s="62"/>
      <c r="J57" s="57"/>
      <c r="K57" s="57"/>
      <c r="L57" s="69"/>
      <c r="M57" s="54"/>
      <c r="N57" s="104"/>
      <c r="O57" s="101" t="s">
        <v>87</v>
      </c>
      <c r="P57" s="101"/>
      <c r="Q57" s="101"/>
      <c r="R57" s="101"/>
      <c r="S57" s="105"/>
      <c r="T57" s="101" t="s">
        <v>87</v>
      </c>
      <c r="U57" s="177" t="str">
        <f>IF($J$1="February",Y56,"")</f>
        <v/>
      </c>
      <c r="V57" s="103"/>
      <c r="W57" s="177" t="str">
        <f>IF(U57="","",U57+V57)</f>
        <v/>
      </c>
      <c r="X57" s="103"/>
      <c r="Y57" s="177" t="str">
        <f>IF(W57="","",W57-X57)</f>
        <v/>
      </c>
      <c r="Z57" s="106"/>
      <c r="AA57" s="54"/>
    </row>
    <row r="58" spans="1:27" s="55" customFormat="1" ht="21" customHeight="1" x14ac:dyDescent="0.25">
      <c r="A58" s="56"/>
      <c r="B58" s="71" t="s">
        <v>57</v>
      </c>
      <c r="C58" s="72"/>
      <c r="D58" s="57"/>
      <c r="E58" s="57"/>
      <c r="F58" s="290" t="s">
        <v>59</v>
      </c>
      <c r="G58" s="290"/>
      <c r="H58" s="57"/>
      <c r="I58" s="290" t="s">
        <v>60</v>
      </c>
      <c r="J58" s="290"/>
      <c r="K58" s="290"/>
      <c r="L58" s="73"/>
      <c r="M58" s="57"/>
      <c r="N58" s="100"/>
      <c r="O58" s="101" t="s">
        <v>62</v>
      </c>
      <c r="P58" s="101"/>
      <c r="Q58" s="101"/>
      <c r="R58" s="101" t="str">
        <f t="shared" ref="R58:R67" si="9">IF(Q58="","",R57-Q58)</f>
        <v/>
      </c>
      <c r="S58" s="105"/>
      <c r="T58" s="101" t="s">
        <v>62</v>
      </c>
      <c r="U58" s="177">
        <f>Y56</f>
        <v>5800</v>
      </c>
      <c r="V58" s="103">
        <v>2000</v>
      </c>
      <c r="W58" s="177">
        <f t="shared" ref="W58:W67" si="10">IF(U58="","",U58+V58)</f>
        <v>7800</v>
      </c>
      <c r="X58" s="103">
        <v>2000</v>
      </c>
      <c r="Y58" s="177">
        <f t="shared" ref="Y58:Y67" si="11">IF(W58="","",W58-X58)</f>
        <v>5800</v>
      </c>
      <c r="Z58" s="106"/>
      <c r="AA58" s="57"/>
    </row>
    <row r="59" spans="1:27" s="55" customFormat="1" ht="21" customHeight="1" x14ac:dyDescent="0.25">
      <c r="A59" s="56"/>
      <c r="B59" s="57"/>
      <c r="C59" s="57"/>
      <c r="D59" s="57"/>
      <c r="E59" s="57"/>
      <c r="F59" s="57"/>
      <c r="G59" s="57"/>
      <c r="H59" s="74"/>
      <c r="L59" s="61"/>
      <c r="M59" s="57"/>
      <c r="N59" s="100"/>
      <c r="O59" s="101" t="s">
        <v>63</v>
      </c>
      <c r="P59" s="101"/>
      <c r="Q59" s="101"/>
      <c r="R59" s="101" t="str">
        <f t="shared" si="9"/>
        <v/>
      </c>
      <c r="S59" s="105"/>
      <c r="T59" s="101" t="s">
        <v>63</v>
      </c>
      <c r="U59" s="177">
        <f>Y58</f>
        <v>5800</v>
      </c>
      <c r="V59" s="103">
        <v>6000</v>
      </c>
      <c r="W59" s="177">
        <f>V59+U59</f>
        <v>11800</v>
      </c>
      <c r="X59" s="103">
        <v>1000</v>
      </c>
      <c r="Y59" s="177">
        <f t="shared" si="11"/>
        <v>10800</v>
      </c>
      <c r="Z59" s="106"/>
      <c r="AA59" s="57"/>
    </row>
    <row r="60" spans="1:27" s="55" customFormat="1" ht="21" customHeight="1" x14ac:dyDescent="0.25">
      <c r="A60" s="56"/>
      <c r="B60" s="291" t="s">
        <v>58</v>
      </c>
      <c r="C60" s="292"/>
      <c r="D60" s="57"/>
      <c r="E60" s="57"/>
      <c r="F60" s="75" t="s">
        <v>80</v>
      </c>
      <c r="G60" s="70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9800</v>
      </c>
      <c r="H60" s="74"/>
      <c r="I60" s="76">
        <v>27</v>
      </c>
      <c r="J60" s="77" t="s">
        <v>77</v>
      </c>
      <c r="K60" s="78">
        <f>K56/$K$2*I60</f>
        <v>5400</v>
      </c>
      <c r="L60" s="79"/>
      <c r="M60" s="57"/>
      <c r="N60" s="100"/>
      <c r="O60" s="101" t="s">
        <v>64</v>
      </c>
      <c r="P60" s="101"/>
      <c r="Q60" s="101"/>
      <c r="R60" s="101" t="str">
        <f t="shared" si="9"/>
        <v/>
      </c>
      <c r="S60" s="105"/>
      <c r="T60" s="101" t="s">
        <v>64</v>
      </c>
      <c r="U60" s="177">
        <f>Y59</f>
        <v>10800</v>
      </c>
      <c r="V60" s="103"/>
      <c r="W60" s="177">
        <f t="shared" si="10"/>
        <v>10800</v>
      </c>
      <c r="X60" s="103">
        <v>1000</v>
      </c>
      <c r="Y60" s="177">
        <f t="shared" si="11"/>
        <v>9800</v>
      </c>
      <c r="Z60" s="106"/>
      <c r="AA60" s="57"/>
    </row>
    <row r="61" spans="1:27" s="55" customFormat="1" ht="21" customHeight="1" x14ac:dyDescent="0.25">
      <c r="A61" s="56"/>
      <c r="B61" s="66"/>
      <c r="C61" s="66"/>
      <c r="D61" s="57"/>
      <c r="E61" s="57"/>
      <c r="F61" s="75" t="s">
        <v>29</v>
      </c>
      <c r="G61" s="70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0</v>
      </c>
      <c r="H61" s="74"/>
      <c r="I61" s="76"/>
      <c r="J61" s="77" t="s">
        <v>78</v>
      </c>
      <c r="K61" s="80">
        <f>K56/$K$2/8*I61</f>
        <v>0</v>
      </c>
      <c r="L61" s="81"/>
      <c r="M61" s="57"/>
      <c r="N61" s="100"/>
      <c r="O61" s="101" t="s">
        <v>65</v>
      </c>
      <c r="P61" s="101"/>
      <c r="Q61" s="101"/>
      <c r="R61" s="101" t="str">
        <f t="shared" si="9"/>
        <v/>
      </c>
      <c r="S61" s="105"/>
      <c r="T61" s="101" t="s">
        <v>65</v>
      </c>
      <c r="U61" s="177">
        <f>IF($J$1="June",Y60,"")</f>
        <v>9800</v>
      </c>
      <c r="V61" s="103"/>
      <c r="W61" s="177">
        <f t="shared" si="10"/>
        <v>9800</v>
      </c>
      <c r="X61" s="103">
        <v>1000</v>
      </c>
      <c r="Y61" s="177">
        <f t="shared" si="11"/>
        <v>8800</v>
      </c>
      <c r="Z61" s="106"/>
      <c r="AA61" s="57"/>
    </row>
    <row r="62" spans="1:27" s="55" customFormat="1" ht="21" customHeight="1" x14ac:dyDescent="0.25">
      <c r="A62" s="56"/>
      <c r="B62" s="75" t="s">
        <v>7</v>
      </c>
      <c r="C62" s="66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57"/>
      <c r="E62" s="57"/>
      <c r="F62" s="75" t="s">
        <v>81</v>
      </c>
      <c r="G62" s="70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>9800</v>
      </c>
      <c r="H62" s="74"/>
      <c r="I62" s="293" t="s">
        <v>85</v>
      </c>
      <c r="J62" s="294"/>
      <c r="K62" s="80">
        <f>K60+K61</f>
        <v>5400</v>
      </c>
      <c r="L62" s="81"/>
      <c r="M62" s="57"/>
      <c r="N62" s="100"/>
      <c r="O62" s="101" t="s">
        <v>66</v>
      </c>
      <c r="P62" s="101"/>
      <c r="Q62" s="101"/>
      <c r="R62" s="101" t="str">
        <f t="shared" si="9"/>
        <v/>
      </c>
      <c r="S62" s="105"/>
      <c r="T62" s="101" t="s">
        <v>66</v>
      </c>
      <c r="U62" s="177"/>
      <c r="V62" s="103"/>
      <c r="W62" s="177">
        <f>V62</f>
        <v>0</v>
      </c>
      <c r="X62" s="103"/>
      <c r="Y62" s="177">
        <f t="shared" si="11"/>
        <v>0</v>
      </c>
      <c r="Z62" s="106"/>
      <c r="AA62" s="57"/>
    </row>
    <row r="63" spans="1:27" s="55" customFormat="1" ht="21" customHeight="1" x14ac:dyDescent="0.25">
      <c r="A63" s="56"/>
      <c r="B63" s="75" t="s">
        <v>6</v>
      </c>
      <c r="C63" s="66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57"/>
      <c r="E63" s="57"/>
      <c r="F63" s="75" t="s">
        <v>30</v>
      </c>
      <c r="G63" s="70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1000</v>
      </c>
      <c r="H63" s="74"/>
      <c r="I63" s="293" t="s">
        <v>86</v>
      </c>
      <c r="J63" s="294"/>
      <c r="K63" s="70">
        <f>X59</f>
        <v>1000</v>
      </c>
      <c r="L63" s="82"/>
      <c r="M63" s="57"/>
      <c r="N63" s="100"/>
      <c r="O63" s="101" t="s">
        <v>67</v>
      </c>
      <c r="P63" s="101"/>
      <c r="Q63" s="101"/>
      <c r="R63" s="101" t="str">
        <f t="shared" si="9"/>
        <v/>
      </c>
      <c r="S63" s="105"/>
      <c r="T63" s="101" t="s">
        <v>67</v>
      </c>
      <c r="U63" s="177" t="str">
        <f>IF($J$1="July",Y62,"")</f>
        <v/>
      </c>
      <c r="V63" s="103"/>
      <c r="W63" s="177">
        <f>V63</f>
        <v>0</v>
      </c>
      <c r="X63" s="103"/>
      <c r="Y63" s="177">
        <f t="shared" si="11"/>
        <v>0</v>
      </c>
      <c r="Z63" s="106"/>
      <c r="AA63" s="57"/>
    </row>
    <row r="64" spans="1:27" s="55" customFormat="1" ht="21" customHeight="1" x14ac:dyDescent="0.25">
      <c r="A64" s="56"/>
      <c r="B64" s="83" t="s">
        <v>84</v>
      </c>
      <c r="C64" s="66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D64" s="57"/>
      <c r="E64" s="57"/>
      <c r="F64" s="75" t="s">
        <v>83</v>
      </c>
      <c r="G64" s="70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>8800</v>
      </c>
      <c r="H64" s="57"/>
      <c r="I64" s="295" t="s">
        <v>79</v>
      </c>
      <c r="J64" s="296"/>
      <c r="K64" s="84">
        <f>K62-K63</f>
        <v>4400</v>
      </c>
      <c r="L64" s="85"/>
      <c r="M64" s="57"/>
      <c r="N64" s="100"/>
      <c r="O64" s="101" t="s">
        <v>72</v>
      </c>
      <c r="P64" s="101"/>
      <c r="Q64" s="101"/>
      <c r="R64" s="101" t="str">
        <f t="shared" si="9"/>
        <v/>
      </c>
      <c r="S64" s="105"/>
      <c r="T64" s="101" t="s">
        <v>72</v>
      </c>
      <c r="U64" s="177">
        <f>Y63</f>
        <v>0</v>
      </c>
      <c r="V64" s="103"/>
      <c r="W64" s="177">
        <f t="shared" si="10"/>
        <v>0</v>
      </c>
      <c r="X64" s="103"/>
      <c r="Y64" s="177">
        <f t="shared" si="11"/>
        <v>0</v>
      </c>
      <c r="Z64" s="106"/>
      <c r="AA64" s="57"/>
    </row>
    <row r="65" spans="1:27" s="55" customFormat="1" ht="21" customHeight="1" x14ac:dyDescent="0.25">
      <c r="A65" s="56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73"/>
      <c r="M65" s="57"/>
      <c r="N65" s="100"/>
      <c r="O65" s="101" t="s">
        <v>68</v>
      </c>
      <c r="P65" s="101"/>
      <c r="Q65" s="101"/>
      <c r="R65" s="101" t="str">
        <f t="shared" si="9"/>
        <v/>
      </c>
      <c r="S65" s="105"/>
      <c r="T65" s="101" t="s">
        <v>68</v>
      </c>
      <c r="U65" s="177">
        <f>Y64</f>
        <v>0</v>
      </c>
      <c r="V65" s="103"/>
      <c r="W65" s="177">
        <f t="shared" si="10"/>
        <v>0</v>
      </c>
      <c r="X65" s="103"/>
      <c r="Y65" s="177">
        <f t="shared" si="11"/>
        <v>0</v>
      </c>
      <c r="Z65" s="106"/>
      <c r="AA65" s="57"/>
    </row>
    <row r="66" spans="1:27" s="55" customFormat="1" ht="21" customHeight="1" x14ac:dyDescent="0.25">
      <c r="A66" s="56"/>
      <c r="B66" s="284" t="s">
        <v>116</v>
      </c>
      <c r="C66" s="284"/>
      <c r="D66" s="284"/>
      <c r="E66" s="284"/>
      <c r="F66" s="284"/>
      <c r="G66" s="284"/>
      <c r="H66" s="284"/>
      <c r="I66" s="284"/>
      <c r="J66" s="284"/>
      <c r="K66" s="284"/>
      <c r="L66" s="73"/>
      <c r="M66" s="57"/>
      <c r="N66" s="100"/>
      <c r="O66" s="101" t="s">
        <v>73</v>
      </c>
      <c r="P66" s="101"/>
      <c r="Q66" s="101"/>
      <c r="R66" s="101" t="str">
        <f t="shared" si="9"/>
        <v/>
      </c>
      <c r="S66" s="105"/>
      <c r="T66" s="101" t="s">
        <v>73</v>
      </c>
      <c r="U66" s="177">
        <f>Y65</f>
        <v>0</v>
      </c>
      <c r="V66" s="103"/>
      <c r="W66" s="177">
        <f t="shared" si="10"/>
        <v>0</v>
      </c>
      <c r="X66" s="103"/>
      <c r="Y66" s="177">
        <f t="shared" si="11"/>
        <v>0</v>
      </c>
      <c r="Z66" s="106"/>
      <c r="AA66" s="57"/>
    </row>
    <row r="67" spans="1:27" s="55" customFormat="1" ht="21" customHeight="1" x14ac:dyDescent="0.25">
      <c r="A67" s="56"/>
      <c r="B67" s="284"/>
      <c r="C67" s="284"/>
      <c r="D67" s="284"/>
      <c r="E67" s="284"/>
      <c r="F67" s="284"/>
      <c r="G67" s="284"/>
      <c r="H67" s="284"/>
      <c r="I67" s="284"/>
      <c r="J67" s="284"/>
      <c r="K67" s="284"/>
      <c r="L67" s="73"/>
      <c r="M67" s="57"/>
      <c r="N67" s="100"/>
      <c r="O67" s="101" t="s">
        <v>74</v>
      </c>
      <c r="P67" s="101"/>
      <c r="Q67" s="101"/>
      <c r="R67" s="101" t="str">
        <f t="shared" si="9"/>
        <v/>
      </c>
      <c r="S67" s="105"/>
      <c r="T67" s="101" t="s">
        <v>74</v>
      </c>
      <c r="U67" s="177" t="str">
        <f>IF($J$1="December",Y66,"")</f>
        <v/>
      </c>
      <c r="V67" s="103"/>
      <c r="W67" s="177" t="str">
        <f t="shared" si="10"/>
        <v/>
      </c>
      <c r="X67" s="103"/>
      <c r="Y67" s="177" t="str">
        <f t="shared" si="11"/>
        <v/>
      </c>
      <c r="Z67" s="106"/>
      <c r="AA67" s="57"/>
    </row>
    <row r="68" spans="1:27" s="55" customFormat="1" ht="21" customHeight="1" thickBot="1" x14ac:dyDescent="0.3">
      <c r="A68" s="86"/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8"/>
      <c r="N68" s="107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9"/>
    </row>
    <row r="69" spans="1:27" s="57" customFormat="1" ht="21" customHeight="1" x14ac:dyDescent="0.25"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7" s="55" customFormat="1" ht="21" customHeight="1" x14ac:dyDescent="0.25">
      <c r="A70" s="323" t="s">
        <v>56</v>
      </c>
      <c r="B70" s="324"/>
      <c r="C70" s="324"/>
      <c r="D70" s="324"/>
      <c r="E70" s="324"/>
      <c r="F70" s="324"/>
      <c r="G70" s="324"/>
      <c r="H70" s="324"/>
      <c r="I70" s="324"/>
      <c r="J70" s="324"/>
      <c r="K70" s="324"/>
      <c r="L70" s="325"/>
      <c r="M70" s="54"/>
      <c r="N70" s="104"/>
      <c r="O70" s="320" t="s">
        <v>58</v>
      </c>
      <c r="P70" s="321"/>
      <c r="Q70" s="321"/>
      <c r="R70" s="322"/>
      <c r="S70" s="105"/>
      <c r="T70" s="320" t="s">
        <v>59</v>
      </c>
      <c r="U70" s="321"/>
      <c r="V70" s="321"/>
      <c r="W70" s="321"/>
      <c r="X70" s="321"/>
      <c r="Y70" s="322"/>
      <c r="Z70" s="122"/>
      <c r="AA70" s="54"/>
    </row>
    <row r="71" spans="1:27" s="55" customFormat="1" ht="21" customHeight="1" x14ac:dyDescent="0.25">
      <c r="A71" s="56"/>
      <c r="B71" s="57"/>
      <c r="C71" s="288" t="s">
        <v>114</v>
      </c>
      <c r="D71" s="288"/>
      <c r="E71" s="288"/>
      <c r="F71" s="288"/>
      <c r="G71" s="58" t="str">
        <f>$J$1</f>
        <v>June</v>
      </c>
      <c r="H71" s="289">
        <f>$K$1</f>
        <v>2019</v>
      </c>
      <c r="I71" s="289"/>
      <c r="J71" s="57"/>
      <c r="K71" s="59"/>
      <c r="L71" s="60"/>
      <c r="M71" s="59"/>
      <c r="N71" s="96"/>
      <c r="O71" s="97" t="s">
        <v>69</v>
      </c>
      <c r="P71" s="97" t="s">
        <v>7</v>
      </c>
      <c r="Q71" s="97" t="s">
        <v>6</v>
      </c>
      <c r="R71" s="97" t="s">
        <v>70</v>
      </c>
      <c r="S71" s="98"/>
      <c r="T71" s="97" t="s">
        <v>69</v>
      </c>
      <c r="U71" s="97" t="s">
        <v>71</v>
      </c>
      <c r="V71" s="97" t="s">
        <v>29</v>
      </c>
      <c r="W71" s="97" t="s">
        <v>28</v>
      </c>
      <c r="X71" s="97" t="s">
        <v>30</v>
      </c>
      <c r="Y71" s="97" t="s">
        <v>75</v>
      </c>
      <c r="Z71" s="99"/>
      <c r="AA71" s="59"/>
    </row>
    <row r="72" spans="1:27" s="55" customFormat="1" ht="21" customHeight="1" x14ac:dyDescent="0.25">
      <c r="A72" s="56"/>
      <c r="B72" s="57"/>
      <c r="C72" s="57"/>
      <c r="D72" s="62"/>
      <c r="E72" s="62"/>
      <c r="F72" s="62"/>
      <c r="G72" s="62"/>
      <c r="H72" s="62"/>
      <c r="I72" s="57"/>
      <c r="J72" s="63" t="s">
        <v>1</v>
      </c>
      <c r="K72" s="64">
        <v>10000</v>
      </c>
      <c r="L72" s="65"/>
      <c r="M72" s="57"/>
      <c r="N72" s="100"/>
      <c r="O72" s="101" t="s">
        <v>61</v>
      </c>
      <c r="P72" s="101"/>
      <c r="Q72" s="101"/>
      <c r="R72" s="101"/>
      <c r="S72" s="102"/>
      <c r="T72" s="101" t="s">
        <v>61</v>
      </c>
      <c r="U72" s="103"/>
      <c r="V72" s="103"/>
      <c r="W72" s="103">
        <f>V72+U72</f>
        <v>0</v>
      </c>
      <c r="X72" s="103"/>
      <c r="Y72" s="103">
        <f>W72-X72</f>
        <v>0</v>
      </c>
      <c r="Z72" s="99"/>
      <c r="AA72" s="57"/>
    </row>
    <row r="73" spans="1:27" s="55" customFormat="1" ht="21" customHeight="1" x14ac:dyDescent="0.25">
      <c r="A73" s="56"/>
      <c r="B73" s="57" t="s">
        <v>0</v>
      </c>
      <c r="C73" s="67" t="s">
        <v>90</v>
      </c>
      <c r="D73" s="57"/>
      <c r="E73" s="57"/>
      <c r="F73" s="57"/>
      <c r="G73" s="57"/>
      <c r="H73" s="68"/>
      <c r="I73" s="62"/>
      <c r="J73" s="57"/>
      <c r="K73" s="57"/>
      <c r="L73" s="69"/>
      <c r="M73" s="54"/>
      <c r="N73" s="104"/>
      <c r="O73" s="101" t="s">
        <v>87</v>
      </c>
      <c r="P73" s="101"/>
      <c r="Q73" s="101"/>
      <c r="R73" s="101" t="str">
        <f t="shared" ref="R73:R83" si="12">IF(Q73="","",R72-Q73)</f>
        <v/>
      </c>
      <c r="S73" s="105"/>
      <c r="T73" s="101" t="s">
        <v>87</v>
      </c>
      <c r="U73" s="177" t="str">
        <f>IF($J$1="February",Y72,"")</f>
        <v/>
      </c>
      <c r="V73" s="103"/>
      <c r="W73" s="177" t="str">
        <f>IF(U73="","",U73+V73)</f>
        <v/>
      </c>
      <c r="X73" s="103"/>
      <c r="Y73" s="177" t="str">
        <f>IF(W73="","",W73-X73)</f>
        <v/>
      </c>
      <c r="Z73" s="106"/>
      <c r="AA73" s="54"/>
    </row>
    <row r="74" spans="1:27" s="55" customFormat="1" ht="21" customHeight="1" x14ac:dyDescent="0.25">
      <c r="A74" s="56"/>
      <c r="B74" s="71" t="s">
        <v>57</v>
      </c>
      <c r="C74" s="72"/>
      <c r="D74" s="57"/>
      <c r="E74" s="57"/>
      <c r="F74" s="290" t="s">
        <v>59</v>
      </c>
      <c r="G74" s="290"/>
      <c r="H74" s="57"/>
      <c r="I74" s="290" t="s">
        <v>60</v>
      </c>
      <c r="J74" s="290"/>
      <c r="K74" s="290"/>
      <c r="L74" s="73"/>
      <c r="M74" s="57"/>
      <c r="N74" s="100"/>
      <c r="O74" s="101" t="s">
        <v>62</v>
      </c>
      <c r="P74" s="101"/>
      <c r="Q74" s="101"/>
      <c r="R74" s="101" t="str">
        <f t="shared" si="12"/>
        <v/>
      </c>
      <c r="S74" s="105"/>
      <c r="T74" s="101" t="s">
        <v>62</v>
      </c>
      <c r="U74" s="177" t="str">
        <f>IF($J$1="March",Y73,"")</f>
        <v/>
      </c>
      <c r="V74" s="103"/>
      <c r="W74" s="177" t="str">
        <f t="shared" ref="W74:W83" si="13">IF(U74="","",U74+V74)</f>
        <v/>
      </c>
      <c r="X74" s="103"/>
      <c r="Y74" s="177" t="str">
        <f t="shared" ref="Y74:Y83" si="14">IF(W74="","",W74-X74)</f>
        <v/>
      </c>
      <c r="Z74" s="106"/>
      <c r="AA74" s="57"/>
    </row>
    <row r="75" spans="1:27" s="55" customFormat="1" ht="21" customHeight="1" x14ac:dyDescent="0.25">
      <c r="A75" s="56"/>
      <c r="B75" s="57"/>
      <c r="C75" s="57"/>
      <c r="D75" s="57"/>
      <c r="E75" s="57"/>
      <c r="F75" s="57"/>
      <c r="G75" s="57"/>
      <c r="H75" s="74"/>
      <c r="L75" s="61"/>
      <c r="M75" s="57"/>
      <c r="N75" s="100"/>
      <c r="O75" s="101" t="s">
        <v>63</v>
      </c>
      <c r="P75" s="101"/>
      <c r="Q75" s="101"/>
      <c r="R75" s="101" t="str">
        <f t="shared" si="12"/>
        <v/>
      </c>
      <c r="S75" s="105"/>
      <c r="T75" s="101" t="s">
        <v>63</v>
      </c>
      <c r="U75" s="177" t="str">
        <f>IF($J$1="April",Y74,"")</f>
        <v/>
      </c>
      <c r="V75" s="103"/>
      <c r="W75" s="177" t="str">
        <f t="shared" si="13"/>
        <v/>
      </c>
      <c r="X75" s="103"/>
      <c r="Y75" s="177" t="str">
        <f t="shared" si="14"/>
        <v/>
      </c>
      <c r="Z75" s="106"/>
      <c r="AA75" s="57"/>
    </row>
    <row r="76" spans="1:27" s="55" customFormat="1" ht="21" customHeight="1" x14ac:dyDescent="0.25">
      <c r="A76" s="56"/>
      <c r="B76" s="291" t="s">
        <v>58</v>
      </c>
      <c r="C76" s="292"/>
      <c r="D76" s="57"/>
      <c r="E76" s="57"/>
      <c r="F76" s="75" t="s">
        <v>80</v>
      </c>
      <c r="G76" s="70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74"/>
      <c r="I76" s="76">
        <f>IF(C80&gt;=C79,$K$2,C78-C79+C80)</f>
        <v>30</v>
      </c>
      <c r="J76" s="77" t="s">
        <v>77</v>
      </c>
      <c r="K76" s="78">
        <f>K72/$K$2*I76</f>
        <v>10000</v>
      </c>
      <c r="L76" s="79"/>
      <c r="M76" s="57"/>
      <c r="N76" s="100"/>
      <c r="O76" s="101" t="s">
        <v>64</v>
      </c>
      <c r="P76" s="101"/>
      <c r="Q76" s="101"/>
      <c r="R76" s="101" t="str">
        <f t="shared" si="12"/>
        <v/>
      </c>
      <c r="S76" s="105"/>
      <c r="T76" s="101" t="s">
        <v>64</v>
      </c>
      <c r="U76" s="177" t="str">
        <f>IF($J$1="May",Y75,"")</f>
        <v/>
      </c>
      <c r="V76" s="103"/>
      <c r="W76" s="177" t="str">
        <f t="shared" si="13"/>
        <v/>
      </c>
      <c r="X76" s="103"/>
      <c r="Y76" s="177" t="str">
        <f t="shared" si="14"/>
        <v/>
      </c>
      <c r="Z76" s="106"/>
      <c r="AA76" s="57"/>
    </row>
    <row r="77" spans="1:27" s="55" customFormat="1" ht="21" customHeight="1" x14ac:dyDescent="0.25">
      <c r="A77" s="56"/>
      <c r="B77" s="66"/>
      <c r="C77" s="66"/>
      <c r="D77" s="57"/>
      <c r="E77" s="57"/>
      <c r="F77" s="75" t="s">
        <v>29</v>
      </c>
      <c r="G77" s="70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74"/>
      <c r="I77" s="76"/>
      <c r="J77" s="77" t="s">
        <v>78</v>
      </c>
      <c r="K77" s="80">
        <f>K72/$K$2/8*I77</f>
        <v>0</v>
      </c>
      <c r="L77" s="81"/>
      <c r="M77" s="57"/>
      <c r="N77" s="100"/>
      <c r="O77" s="101" t="s">
        <v>65</v>
      </c>
      <c r="P77" s="101"/>
      <c r="Q77" s="101"/>
      <c r="R77" s="101" t="str">
        <f t="shared" si="12"/>
        <v/>
      </c>
      <c r="S77" s="105"/>
      <c r="T77" s="101" t="s">
        <v>65</v>
      </c>
      <c r="U77" s="177" t="str">
        <f>IF($J$1="June",Y76,"")</f>
        <v/>
      </c>
      <c r="V77" s="103"/>
      <c r="W77" s="177" t="str">
        <f t="shared" si="13"/>
        <v/>
      </c>
      <c r="X77" s="103"/>
      <c r="Y77" s="177" t="str">
        <f t="shared" si="14"/>
        <v/>
      </c>
      <c r="Z77" s="106"/>
      <c r="AA77" s="57"/>
    </row>
    <row r="78" spans="1:27" s="55" customFormat="1" ht="21" customHeight="1" x14ac:dyDescent="0.25">
      <c r="A78" s="56"/>
      <c r="B78" s="75" t="s">
        <v>7</v>
      </c>
      <c r="C78" s="66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57"/>
      <c r="E78" s="57"/>
      <c r="F78" s="75" t="s">
        <v>81</v>
      </c>
      <c r="G78" s="70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74"/>
      <c r="I78" s="293" t="s">
        <v>85</v>
      </c>
      <c r="J78" s="294"/>
      <c r="K78" s="80">
        <f>K76+K77</f>
        <v>10000</v>
      </c>
      <c r="L78" s="81"/>
      <c r="M78" s="57"/>
      <c r="N78" s="100"/>
      <c r="O78" s="101" t="s">
        <v>66</v>
      </c>
      <c r="P78" s="101"/>
      <c r="Q78" s="101"/>
      <c r="R78" s="101" t="str">
        <f t="shared" si="12"/>
        <v/>
      </c>
      <c r="S78" s="105"/>
      <c r="T78" s="101" t="s">
        <v>66</v>
      </c>
      <c r="U78" s="177" t="str">
        <f>IF($J$1="July",Y77,"")</f>
        <v/>
      </c>
      <c r="V78" s="103"/>
      <c r="W78" s="177" t="str">
        <f t="shared" si="13"/>
        <v/>
      </c>
      <c r="X78" s="103"/>
      <c r="Y78" s="177" t="str">
        <f t="shared" si="14"/>
        <v/>
      </c>
      <c r="Z78" s="106"/>
      <c r="AA78" s="57"/>
    </row>
    <row r="79" spans="1:27" s="55" customFormat="1" ht="21" customHeight="1" x14ac:dyDescent="0.25">
      <c r="A79" s="56"/>
      <c r="B79" s="75" t="s">
        <v>6</v>
      </c>
      <c r="C79" s="66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57"/>
      <c r="E79" s="57"/>
      <c r="F79" s="75" t="s">
        <v>30</v>
      </c>
      <c r="G79" s="70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74"/>
      <c r="I79" s="293" t="s">
        <v>86</v>
      </c>
      <c r="J79" s="294"/>
      <c r="K79" s="70">
        <f>G79</f>
        <v>0</v>
      </c>
      <c r="L79" s="82"/>
      <c r="M79" s="57"/>
      <c r="N79" s="100"/>
      <c r="O79" s="101" t="s">
        <v>67</v>
      </c>
      <c r="P79" s="101"/>
      <c r="Q79" s="101"/>
      <c r="R79" s="101" t="str">
        <f t="shared" si="12"/>
        <v/>
      </c>
      <c r="S79" s="105"/>
      <c r="T79" s="101" t="s">
        <v>67</v>
      </c>
      <c r="U79" s="177" t="str">
        <f>IF($J$1="August",Y78,"")</f>
        <v/>
      </c>
      <c r="V79" s="103"/>
      <c r="W79" s="177" t="str">
        <f t="shared" si="13"/>
        <v/>
      </c>
      <c r="X79" s="103"/>
      <c r="Y79" s="177" t="str">
        <f t="shared" si="14"/>
        <v/>
      </c>
      <c r="Z79" s="106"/>
      <c r="AA79" s="57"/>
    </row>
    <row r="80" spans="1:27" s="55" customFormat="1" ht="21" customHeight="1" x14ac:dyDescent="0.25">
      <c r="A80" s="56"/>
      <c r="B80" s="83" t="s">
        <v>84</v>
      </c>
      <c r="C80" s="66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57"/>
      <c r="E80" s="57"/>
      <c r="F80" s="75" t="s">
        <v>83</v>
      </c>
      <c r="G80" s="70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H80" s="57"/>
      <c r="I80" s="295" t="s">
        <v>79</v>
      </c>
      <c r="J80" s="296"/>
      <c r="K80" s="84">
        <f>K78-K79</f>
        <v>10000</v>
      </c>
      <c r="L80" s="85"/>
      <c r="M80" s="57"/>
      <c r="N80" s="100"/>
      <c r="O80" s="101" t="s">
        <v>72</v>
      </c>
      <c r="P80" s="101"/>
      <c r="Q80" s="101"/>
      <c r="R80" s="101" t="str">
        <f t="shared" si="12"/>
        <v/>
      </c>
      <c r="S80" s="105"/>
      <c r="T80" s="101" t="s">
        <v>72</v>
      </c>
      <c r="U80" s="177" t="str">
        <f>IF($J$1="September",Y79,"")</f>
        <v/>
      </c>
      <c r="V80" s="103"/>
      <c r="W80" s="177" t="str">
        <f t="shared" si="13"/>
        <v/>
      </c>
      <c r="X80" s="103"/>
      <c r="Y80" s="177" t="str">
        <f t="shared" si="14"/>
        <v/>
      </c>
      <c r="Z80" s="106"/>
      <c r="AA80" s="57"/>
    </row>
    <row r="81" spans="1:27" s="55" customFormat="1" ht="21" customHeight="1" x14ac:dyDescent="0.25">
      <c r="A81" s="56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73"/>
      <c r="M81" s="57"/>
      <c r="N81" s="100"/>
      <c r="O81" s="101" t="s">
        <v>68</v>
      </c>
      <c r="P81" s="101"/>
      <c r="Q81" s="101"/>
      <c r="R81" s="101" t="str">
        <f t="shared" si="12"/>
        <v/>
      </c>
      <c r="S81" s="105"/>
      <c r="T81" s="101" t="s">
        <v>68</v>
      </c>
      <c r="U81" s="177" t="str">
        <f>IF($J$1="October",Y80,"")</f>
        <v/>
      </c>
      <c r="V81" s="103"/>
      <c r="W81" s="177" t="str">
        <f t="shared" si="13"/>
        <v/>
      </c>
      <c r="X81" s="103"/>
      <c r="Y81" s="177" t="str">
        <f t="shared" si="14"/>
        <v/>
      </c>
      <c r="Z81" s="106"/>
      <c r="AA81" s="57"/>
    </row>
    <row r="82" spans="1:27" s="55" customFormat="1" ht="21" customHeight="1" x14ac:dyDescent="0.25">
      <c r="A82" s="56"/>
      <c r="B82" s="284" t="s">
        <v>116</v>
      </c>
      <c r="C82" s="284"/>
      <c r="D82" s="284"/>
      <c r="E82" s="284"/>
      <c r="F82" s="284"/>
      <c r="G82" s="284"/>
      <c r="H82" s="284"/>
      <c r="I82" s="284"/>
      <c r="J82" s="284"/>
      <c r="K82" s="284"/>
      <c r="L82" s="73"/>
      <c r="M82" s="57"/>
      <c r="N82" s="100"/>
      <c r="O82" s="101" t="s">
        <v>73</v>
      </c>
      <c r="P82" s="101"/>
      <c r="Q82" s="101"/>
      <c r="R82" s="101" t="str">
        <f t="shared" si="12"/>
        <v/>
      </c>
      <c r="S82" s="105"/>
      <c r="T82" s="101" t="s">
        <v>73</v>
      </c>
      <c r="U82" s="177" t="str">
        <f>IF($J$1="November",Y81,"")</f>
        <v/>
      </c>
      <c r="V82" s="103"/>
      <c r="W82" s="177" t="str">
        <f t="shared" si="13"/>
        <v/>
      </c>
      <c r="X82" s="103"/>
      <c r="Y82" s="177" t="str">
        <f t="shared" si="14"/>
        <v/>
      </c>
      <c r="Z82" s="106"/>
      <c r="AA82" s="57"/>
    </row>
    <row r="83" spans="1:27" s="55" customFormat="1" ht="21" customHeight="1" x14ac:dyDescent="0.25">
      <c r="A83" s="56"/>
      <c r="B83" s="284"/>
      <c r="C83" s="284"/>
      <c r="D83" s="284"/>
      <c r="E83" s="284"/>
      <c r="F83" s="284"/>
      <c r="G83" s="284"/>
      <c r="H83" s="284"/>
      <c r="I83" s="284"/>
      <c r="J83" s="284"/>
      <c r="K83" s="284"/>
      <c r="L83" s="73"/>
      <c r="M83" s="57"/>
      <c r="N83" s="100"/>
      <c r="O83" s="101" t="s">
        <v>74</v>
      </c>
      <c r="P83" s="101"/>
      <c r="Q83" s="101"/>
      <c r="R83" s="101" t="str">
        <f t="shared" si="12"/>
        <v/>
      </c>
      <c r="S83" s="105"/>
      <c r="T83" s="101" t="s">
        <v>74</v>
      </c>
      <c r="U83" s="177" t="str">
        <f>IF($J$1="December",Y82,"")</f>
        <v/>
      </c>
      <c r="V83" s="103"/>
      <c r="W83" s="177" t="str">
        <f t="shared" si="13"/>
        <v/>
      </c>
      <c r="X83" s="103"/>
      <c r="Y83" s="177" t="str">
        <f t="shared" si="14"/>
        <v/>
      </c>
      <c r="Z83" s="106"/>
      <c r="AA83" s="57"/>
    </row>
    <row r="84" spans="1:27" s="55" customFormat="1" ht="21" customHeight="1" thickBot="1" x14ac:dyDescent="0.3">
      <c r="A84" s="86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8"/>
      <c r="N84" s="107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9"/>
    </row>
    <row r="85" spans="1:27" s="57" customFormat="1" ht="21" customHeight="1" thickBot="1" x14ac:dyDescent="0.3"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</row>
    <row r="86" spans="1:27" s="55" customFormat="1" ht="21" customHeight="1" x14ac:dyDescent="0.25">
      <c r="A86" s="300" t="s">
        <v>56</v>
      </c>
      <c r="B86" s="301"/>
      <c r="C86" s="301"/>
      <c r="D86" s="301"/>
      <c r="E86" s="301"/>
      <c r="F86" s="301"/>
      <c r="G86" s="301"/>
      <c r="H86" s="301"/>
      <c r="I86" s="301"/>
      <c r="J86" s="301"/>
      <c r="K86" s="301"/>
      <c r="L86" s="302"/>
      <c r="M86" s="54"/>
      <c r="N86" s="93"/>
      <c r="O86" s="285" t="s">
        <v>58</v>
      </c>
      <c r="P86" s="286"/>
      <c r="Q86" s="286"/>
      <c r="R86" s="287"/>
      <c r="S86" s="94"/>
      <c r="T86" s="285" t="s">
        <v>59</v>
      </c>
      <c r="U86" s="286"/>
      <c r="V86" s="286"/>
      <c r="W86" s="286"/>
      <c r="X86" s="286"/>
      <c r="Y86" s="287"/>
      <c r="Z86" s="95"/>
      <c r="AA86" s="54"/>
    </row>
    <row r="87" spans="1:27" s="55" customFormat="1" ht="21" customHeight="1" x14ac:dyDescent="0.25">
      <c r="A87" s="56"/>
      <c r="B87" s="57"/>
      <c r="C87" s="288" t="s">
        <v>114</v>
      </c>
      <c r="D87" s="288"/>
      <c r="E87" s="288"/>
      <c r="F87" s="288"/>
      <c r="G87" s="58" t="str">
        <f>$J$1</f>
        <v>June</v>
      </c>
      <c r="H87" s="289">
        <f>$K$1</f>
        <v>2019</v>
      </c>
      <c r="I87" s="289"/>
      <c r="J87" s="57"/>
      <c r="K87" s="59"/>
      <c r="L87" s="60"/>
      <c r="M87" s="59"/>
      <c r="N87" s="96"/>
      <c r="O87" s="97" t="s">
        <v>69</v>
      </c>
      <c r="P87" s="97" t="s">
        <v>7</v>
      </c>
      <c r="Q87" s="97" t="s">
        <v>6</v>
      </c>
      <c r="R87" s="97" t="s">
        <v>70</v>
      </c>
      <c r="S87" s="98"/>
      <c r="T87" s="97" t="s">
        <v>69</v>
      </c>
      <c r="U87" s="97" t="s">
        <v>71</v>
      </c>
      <c r="V87" s="97" t="s">
        <v>29</v>
      </c>
      <c r="W87" s="97" t="s">
        <v>28</v>
      </c>
      <c r="X87" s="97" t="s">
        <v>30</v>
      </c>
      <c r="Y87" s="97" t="s">
        <v>75</v>
      </c>
      <c r="Z87" s="99"/>
      <c r="AA87" s="59"/>
    </row>
    <row r="88" spans="1:27" s="55" customFormat="1" ht="21" customHeight="1" x14ac:dyDescent="0.25">
      <c r="A88" s="56"/>
      <c r="B88" s="57"/>
      <c r="C88" s="57"/>
      <c r="D88" s="62"/>
      <c r="E88" s="62"/>
      <c r="F88" s="62"/>
      <c r="G88" s="62"/>
      <c r="H88" s="62"/>
      <c r="I88" s="57"/>
      <c r="J88" s="63" t="s">
        <v>1</v>
      </c>
      <c r="K88" s="64">
        <v>10000</v>
      </c>
      <c r="L88" s="65"/>
      <c r="M88" s="57"/>
      <c r="N88" s="100"/>
      <c r="O88" s="101" t="s">
        <v>61</v>
      </c>
      <c r="P88" s="101"/>
      <c r="Q88" s="101"/>
      <c r="R88" s="101"/>
      <c r="S88" s="102"/>
      <c r="T88" s="101" t="s">
        <v>61</v>
      </c>
      <c r="U88" s="103"/>
      <c r="V88" s="103"/>
      <c r="W88" s="103">
        <f>V88+U88</f>
        <v>0</v>
      </c>
      <c r="X88" s="103"/>
      <c r="Y88" s="103">
        <f>W88-X88</f>
        <v>0</v>
      </c>
      <c r="Z88" s="99"/>
      <c r="AA88" s="57"/>
    </row>
    <row r="89" spans="1:27" s="55" customFormat="1" ht="21" customHeight="1" x14ac:dyDescent="0.25">
      <c r="A89" s="56"/>
      <c r="B89" s="57" t="s">
        <v>0</v>
      </c>
      <c r="C89" s="67" t="s">
        <v>91</v>
      </c>
      <c r="D89" s="57"/>
      <c r="E89" s="57"/>
      <c r="F89" s="57"/>
      <c r="G89" s="57"/>
      <c r="H89" s="68"/>
      <c r="I89" s="62"/>
      <c r="J89" s="57"/>
      <c r="K89" s="57"/>
      <c r="L89" s="69"/>
      <c r="M89" s="54"/>
      <c r="N89" s="104"/>
      <c r="O89" s="101" t="s">
        <v>87</v>
      </c>
      <c r="P89" s="101"/>
      <c r="Q89" s="101"/>
      <c r="R89" s="101"/>
      <c r="S89" s="105"/>
      <c r="T89" s="101" t="s">
        <v>87</v>
      </c>
      <c r="U89" s="177" t="str">
        <f>IF($J$1="February",Y88,"")</f>
        <v/>
      </c>
      <c r="V89" s="103"/>
      <c r="W89" s="177" t="str">
        <f>IF(U89="","",U89+V89)</f>
        <v/>
      </c>
      <c r="X89" s="103"/>
      <c r="Y89" s="177" t="str">
        <f>IF(W89="","",W89-X89)</f>
        <v/>
      </c>
      <c r="Z89" s="106"/>
      <c r="AA89" s="54"/>
    </row>
    <row r="90" spans="1:27" s="55" customFormat="1" ht="21" customHeight="1" x14ac:dyDescent="0.25">
      <c r="A90" s="56"/>
      <c r="B90" s="71" t="s">
        <v>57</v>
      </c>
      <c r="C90" s="72"/>
      <c r="D90" s="57"/>
      <c r="E90" s="57"/>
      <c r="F90" s="290" t="s">
        <v>59</v>
      </c>
      <c r="G90" s="290"/>
      <c r="H90" s="57"/>
      <c r="I90" s="290" t="s">
        <v>60</v>
      </c>
      <c r="J90" s="290"/>
      <c r="K90" s="290"/>
      <c r="L90" s="73"/>
      <c r="M90" s="57"/>
      <c r="N90" s="100"/>
      <c r="O90" s="101" t="s">
        <v>62</v>
      </c>
      <c r="P90" s="101"/>
      <c r="Q90" s="101"/>
      <c r="R90" s="101" t="str">
        <f t="shared" ref="R90:R99" si="15">IF(Q90="","",R89-Q90)</f>
        <v/>
      </c>
      <c r="S90" s="105"/>
      <c r="T90" s="101" t="s">
        <v>62</v>
      </c>
      <c r="U90" s="177" t="str">
        <f>IF($J$1="March",Y89,"")</f>
        <v/>
      </c>
      <c r="V90" s="103"/>
      <c r="W90" s="177" t="str">
        <f t="shared" ref="W90:W99" si="16">IF(U90="","",U90+V90)</f>
        <v/>
      </c>
      <c r="X90" s="103"/>
      <c r="Y90" s="177" t="str">
        <f t="shared" ref="Y90:Y99" si="17">IF(W90="","",W90-X90)</f>
        <v/>
      </c>
      <c r="Z90" s="106"/>
      <c r="AA90" s="57"/>
    </row>
    <row r="91" spans="1:27" s="55" customFormat="1" ht="21" customHeight="1" x14ac:dyDescent="0.25">
      <c r="A91" s="56"/>
      <c r="B91" s="57"/>
      <c r="C91" s="57"/>
      <c r="D91" s="57"/>
      <c r="E91" s="57"/>
      <c r="F91" s="57"/>
      <c r="G91" s="57"/>
      <c r="H91" s="74"/>
      <c r="L91" s="61"/>
      <c r="M91" s="57"/>
      <c r="N91" s="100"/>
      <c r="O91" s="101" t="s">
        <v>63</v>
      </c>
      <c r="P91" s="101"/>
      <c r="Q91" s="101"/>
      <c r="R91" s="101" t="str">
        <f t="shared" si="15"/>
        <v/>
      </c>
      <c r="S91" s="105"/>
      <c r="T91" s="101" t="s">
        <v>63</v>
      </c>
      <c r="U91" s="177" t="str">
        <f>IF($J$1="April",Y90,"")</f>
        <v/>
      </c>
      <c r="V91" s="103"/>
      <c r="W91" s="177" t="str">
        <f t="shared" si="16"/>
        <v/>
      </c>
      <c r="X91" s="103"/>
      <c r="Y91" s="177" t="str">
        <f t="shared" si="17"/>
        <v/>
      </c>
      <c r="Z91" s="106"/>
      <c r="AA91" s="57"/>
    </row>
    <row r="92" spans="1:27" s="55" customFormat="1" ht="21" customHeight="1" x14ac:dyDescent="0.25">
      <c r="A92" s="56"/>
      <c r="B92" s="291" t="s">
        <v>58</v>
      </c>
      <c r="C92" s="292"/>
      <c r="D92" s="57"/>
      <c r="E92" s="57"/>
      <c r="F92" s="75" t="s">
        <v>80</v>
      </c>
      <c r="G92" s="70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74"/>
      <c r="I92" s="76">
        <f>IF(C96&gt;=C95,$K$2,C94-C95+C96)</f>
        <v>30</v>
      </c>
      <c r="J92" s="77" t="s">
        <v>77</v>
      </c>
      <c r="K92" s="78">
        <f>K88/$K$2*I92</f>
        <v>10000</v>
      </c>
      <c r="L92" s="79"/>
      <c r="M92" s="57"/>
      <c r="N92" s="100"/>
      <c r="O92" s="101" t="s">
        <v>64</v>
      </c>
      <c r="P92" s="101"/>
      <c r="Q92" s="101"/>
      <c r="R92" s="101" t="str">
        <f t="shared" si="15"/>
        <v/>
      </c>
      <c r="S92" s="105"/>
      <c r="T92" s="101" t="s">
        <v>64</v>
      </c>
      <c r="U92" s="177" t="str">
        <f>IF($J$1="May",Y91,"")</f>
        <v/>
      </c>
      <c r="V92" s="103"/>
      <c r="W92" s="177" t="str">
        <f t="shared" si="16"/>
        <v/>
      </c>
      <c r="X92" s="103"/>
      <c r="Y92" s="177" t="str">
        <f t="shared" si="17"/>
        <v/>
      </c>
      <c r="Z92" s="106"/>
      <c r="AA92" s="57"/>
    </row>
    <row r="93" spans="1:27" s="55" customFormat="1" ht="21" customHeight="1" x14ac:dyDescent="0.25">
      <c r="A93" s="56"/>
      <c r="B93" s="66"/>
      <c r="C93" s="66"/>
      <c r="D93" s="57"/>
      <c r="E93" s="57"/>
      <c r="F93" s="75" t="s">
        <v>29</v>
      </c>
      <c r="G93" s="70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74"/>
      <c r="I93" s="76"/>
      <c r="J93" s="77" t="s">
        <v>78</v>
      </c>
      <c r="K93" s="80">
        <f>K88/$K$2/8*I93</f>
        <v>0</v>
      </c>
      <c r="L93" s="81"/>
      <c r="M93" s="57"/>
      <c r="N93" s="100"/>
      <c r="O93" s="101" t="s">
        <v>65</v>
      </c>
      <c r="P93" s="101"/>
      <c r="Q93" s="101"/>
      <c r="R93" s="101" t="str">
        <f t="shared" si="15"/>
        <v/>
      </c>
      <c r="S93" s="105"/>
      <c r="T93" s="101" t="s">
        <v>65</v>
      </c>
      <c r="U93" s="177" t="str">
        <f>IF($J$1="June",Y92,"")</f>
        <v/>
      </c>
      <c r="V93" s="103"/>
      <c r="W93" s="177" t="str">
        <f t="shared" si="16"/>
        <v/>
      </c>
      <c r="X93" s="103"/>
      <c r="Y93" s="177" t="str">
        <f t="shared" si="17"/>
        <v/>
      </c>
      <c r="Z93" s="106"/>
      <c r="AA93" s="57"/>
    </row>
    <row r="94" spans="1:27" s="55" customFormat="1" ht="21" customHeight="1" x14ac:dyDescent="0.25">
      <c r="A94" s="56"/>
      <c r="B94" s="75" t="s">
        <v>7</v>
      </c>
      <c r="C94" s="66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57"/>
      <c r="E94" s="57"/>
      <c r="F94" s="75" t="s">
        <v>81</v>
      </c>
      <c r="G94" s="70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74"/>
      <c r="I94" s="293" t="s">
        <v>85</v>
      </c>
      <c r="J94" s="294"/>
      <c r="K94" s="80">
        <f>K92+K93</f>
        <v>10000</v>
      </c>
      <c r="L94" s="81"/>
      <c r="M94" s="57"/>
      <c r="N94" s="100"/>
      <c r="O94" s="101" t="s">
        <v>66</v>
      </c>
      <c r="P94" s="101"/>
      <c r="Q94" s="101"/>
      <c r="R94" s="101" t="str">
        <f t="shared" si="15"/>
        <v/>
      </c>
      <c r="S94" s="105"/>
      <c r="T94" s="101" t="s">
        <v>66</v>
      </c>
      <c r="U94" s="177" t="str">
        <f>IF($J$1="July",Y93,"")</f>
        <v/>
      </c>
      <c r="V94" s="103"/>
      <c r="W94" s="177" t="str">
        <f t="shared" si="16"/>
        <v/>
      </c>
      <c r="X94" s="103"/>
      <c r="Y94" s="177" t="str">
        <f t="shared" si="17"/>
        <v/>
      </c>
      <c r="Z94" s="106"/>
      <c r="AA94" s="57"/>
    </row>
    <row r="95" spans="1:27" s="55" customFormat="1" ht="21" customHeight="1" x14ac:dyDescent="0.25">
      <c r="A95" s="56"/>
      <c r="B95" s="75" t="s">
        <v>6</v>
      </c>
      <c r="C95" s="66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57"/>
      <c r="E95" s="57"/>
      <c r="F95" s="75" t="s">
        <v>30</v>
      </c>
      <c r="G95" s="70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74"/>
      <c r="I95" s="293" t="s">
        <v>86</v>
      </c>
      <c r="J95" s="294"/>
      <c r="K95" s="70">
        <f>G95</f>
        <v>0</v>
      </c>
      <c r="L95" s="82"/>
      <c r="M95" s="57"/>
      <c r="N95" s="100"/>
      <c r="O95" s="101" t="s">
        <v>67</v>
      </c>
      <c r="P95" s="101"/>
      <c r="Q95" s="101"/>
      <c r="R95" s="101" t="str">
        <f t="shared" si="15"/>
        <v/>
      </c>
      <c r="S95" s="105"/>
      <c r="T95" s="101" t="s">
        <v>67</v>
      </c>
      <c r="U95" s="177" t="str">
        <f>IF($J$1="August",Y94,"")</f>
        <v/>
      </c>
      <c r="V95" s="103"/>
      <c r="W95" s="177" t="str">
        <f t="shared" si="16"/>
        <v/>
      </c>
      <c r="X95" s="103"/>
      <c r="Y95" s="177" t="str">
        <f t="shared" si="17"/>
        <v/>
      </c>
      <c r="Z95" s="106"/>
      <c r="AA95" s="57"/>
    </row>
    <row r="96" spans="1:27" s="55" customFormat="1" ht="21" customHeight="1" x14ac:dyDescent="0.25">
      <c r="A96" s="56"/>
      <c r="B96" s="83" t="s">
        <v>84</v>
      </c>
      <c r="C96" s="66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D96" s="57"/>
      <c r="E96" s="57"/>
      <c r="F96" s="75" t="s">
        <v>83</v>
      </c>
      <c r="G96" s="70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H96" s="57"/>
      <c r="I96" s="295" t="s">
        <v>79</v>
      </c>
      <c r="J96" s="296"/>
      <c r="K96" s="84">
        <f>K94-K95</f>
        <v>10000</v>
      </c>
      <c r="L96" s="85"/>
      <c r="M96" s="57"/>
      <c r="N96" s="100"/>
      <c r="O96" s="101" t="s">
        <v>72</v>
      </c>
      <c r="P96" s="101"/>
      <c r="Q96" s="101"/>
      <c r="R96" s="101" t="str">
        <f t="shared" si="15"/>
        <v/>
      </c>
      <c r="S96" s="105"/>
      <c r="T96" s="101" t="s">
        <v>72</v>
      </c>
      <c r="U96" s="177" t="str">
        <f>IF($J$1="September",Y95,"")</f>
        <v/>
      </c>
      <c r="V96" s="103"/>
      <c r="W96" s="177" t="str">
        <f t="shared" si="16"/>
        <v/>
      </c>
      <c r="X96" s="103"/>
      <c r="Y96" s="177" t="str">
        <f t="shared" si="17"/>
        <v/>
      </c>
      <c r="Z96" s="106"/>
      <c r="AA96" s="57"/>
    </row>
    <row r="97" spans="1:27" s="55" customFormat="1" ht="21" customHeight="1" x14ac:dyDescent="0.25">
      <c r="A97" s="56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73"/>
      <c r="M97" s="57"/>
      <c r="N97" s="100"/>
      <c r="O97" s="101" t="s">
        <v>68</v>
      </c>
      <c r="P97" s="101"/>
      <c r="Q97" s="101"/>
      <c r="R97" s="101" t="str">
        <f t="shared" si="15"/>
        <v/>
      </c>
      <c r="S97" s="105"/>
      <c r="T97" s="101" t="s">
        <v>68</v>
      </c>
      <c r="U97" s="177" t="str">
        <f>IF($J$1="October",Y96,"")</f>
        <v/>
      </c>
      <c r="V97" s="103"/>
      <c r="W97" s="177" t="str">
        <f t="shared" si="16"/>
        <v/>
      </c>
      <c r="X97" s="103"/>
      <c r="Y97" s="177" t="str">
        <f t="shared" si="17"/>
        <v/>
      </c>
      <c r="Z97" s="106"/>
      <c r="AA97" s="57"/>
    </row>
    <row r="98" spans="1:27" s="55" customFormat="1" ht="21" customHeight="1" x14ac:dyDescent="0.25">
      <c r="A98" s="56"/>
      <c r="B98" s="284" t="s">
        <v>116</v>
      </c>
      <c r="C98" s="284"/>
      <c r="D98" s="284"/>
      <c r="E98" s="284"/>
      <c r="F98" s="284"/>
      <c r="G98" s="284"/>
      <c r="H98" s="284"/>
      <c r="I98" s="284"/>
      <c r="J98" s="284"/>
      <c r="K98" s="284"/>
      <c r="L98" s="73"/>
      <c r="M98" s="57"/>
      <c r="N98" s="100"/>
      <c r="O98" s="101" t="s">
        <v>73</v>
      </c>
      <c r="P98" s="101"/>
      <c r="Q98" s="101"/>
      <c r="R98" s="101" t="str">
        <f t="shared" si="15"/>
        <v/>
      </c>
      <c r="S98" s="105"/>
      <c r="T98" s="101" t="s">
        <v>73</v>
      </c>
      <c r="U98" s="177" t="str">
        <f>IF($J$1="November",Y97,"")</f>
        <v/>
      </c>
      <c r="V98" s="103"/>
      <c r="W98" s="177" t="str">
        <f t="shared" si="16"/>
        <v/>
      </c>
      <c r="X98" s="103"/>
      <c r="Y98" s="177" t="str">
        <f t="shared" si="17"/>
        <v/>
      </c>
      <c r="Z98" s="106"/>
      <c r="AA98" s="57"/>
    </row>
    <row r="99" spans="1:27" s="55" customFormat="1" ht="21" customHeight="1" x14ac:dyDescent="0.25">
      <c r="A99" s="56"/>
      <c r="B99" s="284"/>
      <c r="C99" s="284"/>
      <c r="D99" s="284"/>
      <c r="E99" s="284"/>
      <c r="F99" s="284"/>
      <c r="G99" s="284"/>
      <c r="H99" s="284"/>
      <c r="I99" s="284"/>
      <c r="J99" s="284"/>
      <c r="K99" s="284"/>
      <c r="L99" s="73"/>
      <c r="M99" s="57"/>
      <c r="N99" s="100"/>
      <c r="O99" s="101" t="s">
        <v>74</v>
      </c>
      <c r="P99" s="101"/>
      <c r="Q99" s="101"/>
      <c r="R99" s="101" t="str">
        <f t="shared" si="15"/>
        <v/>
      </c>
      <c r="S99" s="105"/>
      <c r="T99" s="101" t="s">
        <v>74</v>
      </c>
      <c r="U99" s="177" t="str">
        <f>IF($J$1="December",Y98,"")</f>
        <v/>
      </c>
      <c r="V99" s="103"/>
      <c r="W99" s="177" t="str">
        <f t="shared" si="16"/>
        <v/>
      </c>
      <c r="X99" s="103"/>
      <c r="Y99" s="177" t="str">
        <f t="shared" si="17"/>
        <v/>
      </c>
      <c r="Z99" s="106"/>
      <c r="AA99" s="57"/>
    </row>
    <row r="100" spans="1:27" s="55" customFormat="1" ht="21" customHeight="1" thickBot="1" x14ac:dyDescent="0.3">
      <c r="A100" s="86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8"/>
      <c r="N100" s="107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9"/>
    </row>
    <row r="101" spans="1:27" s="57" customFormat="1" ht="21" customHeight="1" thickBot="1" x14ac:dyDescent="0.3"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</row>
    <row r="102" spans="1:27" s="55" customFormat="1" ht="21" customHeight="1" x14ac:dyDescent="0.25">
      <c r="A102" s="300" t="s">
        <v>56</v>
      </c>
      <c r="B102" s="301"/>
      <c r="C102" s="301"/>
      <c r="D102" s="301"/>
      <c r="E102" s="301"/>
      <c r="F102" s="301"/>
      <c r="G102" s="301"/>
      <c r="H102" s="301"/>
      <c r="I102" s="301"/>
      <c r="J102" s="301"/>
      <c r="K102" s="301"/>
      <c r="L102" s="302"/>
      <c r="M102" s="54"/>
      <c r="N102" s="93"/>
      <c r="O102" s="285" t="s">
        <v>58</v>
      </c>
      <c r="P102" s="286"/>
      <c r="Q102" s="286"/>
      <c r="R102" s="287"/>
      <c r="S102" s="94"/>
      <c r="T102" s="285" t="s">
        <v>59</v>
      </c>
      <c r="U102" s="286"/>
      <c r="V102" s="286"/>
      <c r="W102" s="286"/>
      <c r="X102" s="286"/>
      <c r="Y102" s="287"/>
      <c r="Z102" s="95"/>
      <c r="AA102" s="54"/>
    </row>
    <row r="103" spans="1:27" s="55" customFormat="1" ht="21" customHeight="1" x14ac:dyDescent="0.25">
      <c r="A103" s="56"/>
      <c r="B103" s="57"/>
      <c r="C103" s="288" t="s">
        <v>114</v>
      </c>
      <c r="D103" s="288"/>
      <c r="E103" s="288"/>
      <c r="F103" s="288"/>
      <c r="G103" s="58" t="str">
        <f>$J$1</f>
        <v>June</v>
      </c>
      <c r="H103" s="289">
        <f>$K$1</f>
        <v>2019</v>
      </c>
      <c r="I103" s="289"/>
      <c r="J103" s="57"/>
      <c r="K103" s="59"/>
      <c r="L103" s="60"/>
      <c r="M103" s="59"/>
      <c r="N103" s="96"/>
      <c r="O103" s="97" t="s">
        <v>69</v>
      </c>
      <c r="P103" s="97" t="s">
        <v>7</v>
      </c>
      <c r="Q103" s="97" t="s">
        <v>6</v>
      </c>
      <c r="R103" s="97" t="s">
        <v>70</v>
      </c>
      <c r="S103" s="98"/>
      <c r="T103" s="97" t="s">
        <v>69</v>
      </c>
      <c r="U103" s="97" t="s">
        <v>71</v>
      </c>
      <c r="V103" s="97" t="s">
        <v>29</v>
      </c>
      <c r="W103" s="97" t="s">
        <v>28</v>
      </c>
      <c r="X103" s="97" t="s">
        <v>30</v>
      </c>
      <c r="Y103" s="97" t="s">
        <v>75</v>
      </c>
      <c r="Z103" s="99"/>
      <c r="AA103" s="59"/>
    </row>
    <row r="104" spans="1:27" s="55" customFormat="1" ht="21" customHeight="1" x14ac:dyDescent="0.25">
      <c r="A104" s="56"/>
      <c r="B104" s="57"/>
      <c r="C104" s="57"/>
      <c r="D104" s="62"/>
      <c r="E104" s="62"/>
      <c r="F104" s="62"/>
      <c r="G104" s="62"/>
      <c r="H104" s="62"/>
      <c r="I104" s="57"/>
      <c r="J104" s="63" t="s">
        <v>1</v>
      </c>
      <c r="K104" s="64">
        <v>10000</v>
      </c>
      <c r="L104" s="65"/>
      <c r="M104" s="57"/>
      <c r="N104" s="100"/>
      <c r="O104" s="101" t="s">
        <v>61</v>
      </c>
      <c r="P104" s="101"/>
      <c r="Q104" s="101"/>
      <c r="R104" s="101"/>
      <c r="S104" s="102"/>
      <c r="T104" s="101" t="s">
        <v>61</v>
      </c>
      <c r="U104" s="103"/>
      <c r="V104" s="103"/>
      <c r="W104" s="103">
        <f>V104+U104</f>
        <v>0</v>
      </c>
      <c r="X104" s="103"/>
      <c r="Y104" s="103">
        <f>W104-X104</f>
        <v>0</v>
      </c>
      <c r="Z104" s="99"/>
      <c r="AA104" s="57"/>
    </row>
    <row r="105" spans="1:27" s="55" customFormat="1" ht="21" customHeight="1" x14ac:dyDescent="0.25">
      <c r="A105" s="56"/>
      <c r="B105" s="57" t="s">
        <v>0</v>
      </c>
      <c r="C105" s="67" t="s">
        <v>8</v>
      </c>
      <c r="D105" s="57"/>
      <c r="E105" s="57"/>
      <c r="F105" s="57"/>
      <c r="G105" s="57"/>
      <c r="H105" s="68"/>
      <c r="I105" s="62"/>
      <c r="J105" s="57"/>
      <c r="K105" s="57"/>
      <c r="L105" s="69"/>
      <c r="M105" s="54"/>
      <c r="N105" s="104"/>
      <c r="O105" s="101" t="s">
        <v>87</v>
      </c>
      <c r="P105" s="101"/>
      <c r="Q105" s="101"/>
      <c r="R105" s="101"/>
      <c r="S105" s="105"/>
      <c r="T105" s="101" t="s">
        <v>87</v>
      </c>
      <c r="U105" s="177" t="str">
        <f>IF($J$1="February",Y104,"")</f>
        <v/>
      </c>
      <c r="V105" s="103"/>
      <c r="W105" s="177" t="str">
        <f>IF(U105="","",U105+V105)</f>
        <v/>
      </c>
      <c r="X105" s="103"/>
      <c r="Y105" s="177" t="str">
        <f>IF(W105="","",W105-X105)</f>
        <v/>
      </c>
      <c r="Z105" s="106"/>
      <c r="AA105" s="54"/>
    </row>
    <row r="106" spans="1:27" s="55" customFormat="1" ht="21" customHeight="1" x14ac:dyDescent="0.25">
      <c r="A106" s="56"/>
      <c r="B106" s="71" t="s">
        <v>57</v>
      </c>
      <c r="C106" s="72"/>
      <c r="D106" s="57"/>
      <c r="E106" s="57"/>
      <c r="F106" s="290" t="s">
        <v>59</v>
      </c>
      <c r="G106" s="290"/>
      <c r="H106" s="57"/>
      <c r="I106" s="290" t="s">
        <v>60</v>
      </c>
      <c r="J106" s="290"/>
      <c r="K106" s="290"/>
      <c r="L106" s="73"/>
      <c r="M106" s="57"/>
      <c r="N106" s="100"/>
      <c r="O106" s="101" t="s">
        <v>62</v>
      </c>
      <c r="P106" s="101"/>
      <c r="Q106" s="101"/>
      <c r="R106" s="101"/>
      <c r="S106" s="105"/>
      <c r="T106" s="101" t="s">
        <v>62</v>
      </c>
      <c r="U106" s="177" t="str">
        <f>IF($J$1="March",Y105,"")</f>
        <v/>
      </c>
      <c r="V106" s="103"/>
      <c r="W106" s="177" t="str">
        <f t="shared" ref="W106:W115" si="18">IF(U106="","",U106+V106)</f>
        <v/>
      </c>
      <c r="X106" s="103"/>
      <c r="Y106" s="177" t="str">
        <f t="shared" ref="Y106:Y115" si="19">IF(W106="","",W106-X106)</f>
        <v/>
      </c>
      <c r="Z106" s="106"/>
      <c r="AA106" s="57"/>
    </row>
    <row r="107" spans="1:27" s="55" customFormat="1" ht="21" customHeight="1" x14ac:dyDescent="0.25">
      <c r="A107" s="56"/>
      <c r="B107" s="57"/>
      <c r="C107" s="57"/>
      <c r="D107" s="57"/>
      <c r="E107" s="57"/>
      <c r="F107" s="57"/>
      <c r="G107" s="57"/>
      <c r="H107" s="74"/>
      <c r="L107" s="61"/>
      <c r="M107" s="57"/>
      <c r="N107" s="100"/>
      <c r="O107" s="101" t="s">
        <v>63</v>
      </c>
      <c r="P107" s="101"/>
      <c r="Q107" s="101"/>
      <c r="R107" s="101" t="str">
        <f t="shared" ref="R107:R115" si="20">IF(Q107="","",R106-Q107)</f>
        <v/>
      </c>
      <c r="S107" s="105"/>
      <c r="T107" s="101" t="s">
        <v>63</v>
      </c>
      <c r="U107" s="177" t="str">
        <f>IF($J$1="April",Y106,"")</f>
        <v/>
      </c>
      <c r="V107" s="103"/>
      <c r="W107" s="177" t="str">
        <f t="shared" si="18"/>
        <v/>
      </c>
      <c r="X107" s="103"/>
      <c r="Y107" s="177" t="str">
        <f t="shared" si="19"/>
        <v/>
      </c>
      <c r="Z107" s="106"/>
      <c r="AA107" s="57"/>
    </row>
    <row r="108" spans="1:27" s="55" customFormat="1" ht="21" customHeight="1" x14ac:dyDescent="0.25">
      <c r="A108" s="56"/>
      <c r="B108" s="291" t="s">
        <v>58</v>
      </c>
      <c r="C108" s="292"/>
      <c r="D108" s="57"/>
      <c r="E108" s="57"/>
      <c r="F108" s="75" t="s">
        <v>80</v>
      </c>
      <c r="G108" s="70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74"/>
      <c r="I108" s="76">
        <f>IF(C112&gt;=C111,$K$2,C110-C111+C112)</f>
        <v>30</v>
      </c>
      <c r="J108" s="77" t="s">
        <v>77</v>
      </c>
      <c r="K108" s="78">
        <f>K104/$K$2*I108</f>
        <v>10000</v>
      </c>
      <c r="L108" s="79"/>
      <c r="M108" s="57"/>
      <c r="N108" s="100"/>
      <c r="O108" s="101" t="s">
        <v>64</v>
      </c>
      <c r="P108" s="101"/>
      <c r="Q108" s="101"/>
      <c r="R108" s="101" t="str">
        <f t="shared" si="20"/>
        <v/>
      </c>
      <c r="S108" s="105"/>
      <c r="T108" s="101" t="s">
        <v>64</v>
      </c>
      <c r="U108" s="177" t="str">
        <f>IF($J$1="May",Y107,"")</f>
        <v/>
      </c>
      <c r="V108" s="103"/>
      <c r="W108" s="177" t="str">
        <f t="shared" si="18"/>
        <v/>
      </c>
      <c r="X108" s="103"/>
      <c r="Y108" s="177" t="str">
        <f t="shared" si="19"/>
        <v/>
      </c>
      <c r="Z108" s="106"/>
      <c r="AA108" s="57"/>
    </row>
    <row r="109" spans="1:27" s="55" customFormat="1" ht="21" customHeight="1" x14ac:dyDescent="0.25">
      <c r="A109" s="56"/>
      <c r="B109" s="66"/>
      <c r="C109" s="66"/>
      <c r="D109" s="57"/>
      <c r="E109" s="57"/>
      <c r="F109" s="75" t="s">
        <v>29</v>
      </c>
      <c r="G109" s="70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74"/>
      <c r="I109" s="76"/>
      <c r="J109" s="77" t="s">
        <v>78</v>
      </c>
      <c r="K109" s="80">
        <f>K104/$K$2/8*I109</f>
        <v>0</v>
      </c>
      <c r="L109" s="81"/>
      <c r="M109" s="57"/>
      <c r="N109" s="100"/>
      <c r="O109" s="101" t="s">
        <v>65</v>
      </c>
      <c r="P109" s="101"/>
      <c r="Q109" s="101"/>
      <c r="R109" s="101" t="str">
        <f t="shared" si="20"/>
        <v/>
      </c>
      <c r="S109" s="105"/>
      <c r="T109" s="101" t="s">
        <v>65</v>
      </c>
      <c r="U109" s="177" t="str">
        <f>IF($J$1="June",Y108,"")</f>
        <v/>
      </c>
      <c r="V109" s="103"/>
      <c r="W109" s="177" t="str">
        <f t="shared" si="18"/>
        <v/>
      </c>
      <c r="X109" s="103"/>
      <c r="Y109" s="177" t="str">
        <f t="shared" si="19"/>
        <v/>
      </c>
      <c r="Z109" s="106"/>
      <c r="AA109" s="57"/>
    </row>
    <row r="110" spans="1:27" s="55" customFormat="1" ht="21" customHeight="1" x14ac:dyDescent="0.25">
      <c r="A110" s="56"/>
      <c r="B110" s="75" t="s">
        <v>7</v>
      </c>
      <c r="C110" s="66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57"/>
      <c r="E110" s="57"/>
      <c r="F110" s="75" t="s">
        <v>81</v>
      </c>
      <c r="G110" s="70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74"/>
      <c r="I110" s="293" t="s">
        <v>85</v>
      </c>
      <c r="J110" s="294"/>
      <c r="K110" s="80">
        <f>K108+K109</f>
        <v>10000</v>
      </c>
      <c r="L110" s="81"/>
      <c r="M110" s="57"/>
      <c r="N110" s="100"/>
      <c r="O110" s="101" t="s">
        <v>66</v>
      </c>
      <c r="P110" s="101"/>
      <c r="Q110" s="101"/>
      <c r="R110" s="101" t="str">
        <f t="shared" si="20"/>
        <v/>
      </c>
      <c r="S110" s="105"/>
      <c r="T110" s="101" t="s">
        <v>66</v>
      </c>
      <c r="U110" s="177" t="str">
        <f>IF($J$1="July",Y109,"")</f>
        <v/>
      </c>
      <c r="V110" s="103"/>
      <c r="W110" s="177" t="str">
        <f t="shared" si="18"/>
        <v/>
      </c>
      <c r="X110" s="103"/>
      <c r="Y110" s="177" t="str">
        <f t="shared" si="19"/>
        <v/>
      </c>
      <c r="Z110" s="106"/>
      <c r="AA110" s="57"/>
    </row>
    <row r="111" spans="1:27" s="55" customFormat="1" ht="21" customHeight="1" x14ac:dyDescent="0.25">
      <c r="A111" s="56"/>
      <c r="B111" s="75" t="s">
        <v>6</v>
      </c>
      <c r="C111" s="66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57"/>
      <c r="E111" s="57"/>
      <c r="F111" s="75" t="s">
        <v>30</v>
      </c>
      <c r="G111" s="70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74"/>
      <c r="I111" s="293" t="s">
        <v>86</v>
      </c>
      <c r="J111" s="294"/>
      <c r="K111" s="70">
        <f>G111</f>
        <v>0</v>
      </c>
      <c r="L111" s="82"/>
      <c r="M111" s="57"/>
      <c r="N111" s="100"/>
      <c r="O111" s="101" t="s">
        <v>67</v>
      </c>
      <c r="P111" s="101"/>
      <c r="Q111" s="101"/>
      <c r="R111" s="101" t="str">
        <f t="shared" si="20"/>
        <v/>
      </c>
      <c r="S111" s="105"/>
      <c r="T111" s="101" t="s">
        <v>67</v>
      </c>
      <c r="U111" s="177" t="str">
        <f>IF($J$1="August",Y110,"")</f>
        <v/>
      </c>
      <c r="V111" s="103"/>
      <c r="W111" s="177" t="str">
        <f t="shared" si="18"/>
        <v/>
      </c>
      <c r="X111" s="103"/>
      <c r="Y111" s="177" t="str">
        <f t="shared" si="19"/>
        <v/>
      </c>
      <c r="Z111" s="106"/>
      <c r="AA111" s="57"/>
    </row>
    <row r="112" spans="1:27" s="55" customFormat="1" ht="21" customHeight="1" x14ac:dyDescent="0.25">
      <c r="A112" s="56"/>
      <c r="B112" s="83" t="s">
        <v>84</v>
      </c>
      <c r="C112" s="66" t="str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/>
      </c>
      <c r="D112" s="57"/>
      <c r="E112" s="57"/>
      <c r="F112" s="75" t="s">
        <v>83</v>
      </c>
      <c r="G112" s="70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H112" s="57"/>
      <c r="I112" s="295" t="s">
        <v>79</v>
      </c>
      <c r="J112" s="296"/>
      <c r="K112" s="84">
        <f>K110-K111</f>
        <v>10000</v>
      </c>
      <c r="L112" s="85"/>
      <c r="M112" s="57"/>
      <c r="N112" s="100"/>
      <c r="O112" s="101" t="s">
        <v>72</v>
      </c>
      <c r="P112" s="101"/>
      <c r="Q112" s="101"/>
      <c r="R112" s="101" t="str">
        <f t="shared" si="20"/>
        <v/>
      </c>
      <c r="S112" s="105"/>
      <c r="T112" s="101" t="s">
        <v>72</v>
      </c>
      <c r="U112" s="177" t="str">
        <f>IF($J$1="September",Y111,"")</f>
        <v/>
      </c>
      <c r="V112" s="103"/>
      <c r="W112" s="177" t="str">
        <f t="shared" si="18"/>
        <v/>
      </c>
      <c r="X112" s="103"/>
      <c r="Y112" s="177" t="str">
        <f t="shared" si="19"/>
        <v/>
      </c>
      <c r="Z112" s="106"/>
      <c r="AA112" s="57"/>
    </row>
    <row r="113" spans="1:27" s="55" customFormat="1" ht="21" customHeight="1" x14ac:dyDescent="0.25">
      <c r="A113" s="56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73"/>
      <c r="M113" s="57"/>
      <c r="N113" s="100"/>
      <c r="O113" s="101" t="s">
        <v>68</v>
      </c>
      <c r="P113" s="101"/>
      <c r="Q113" s="101"/>
      <c r="R113" s="101" t="str">
        <f t="shared" si="20"/>
        <v/>
      </c>
      <c r="S113" s="105"/>
      <c r="T113" s="101" t="s">
        <v>68</v>
      </c>
      <c r="U113" s="177" t="str">
        <f>IF($J$1="October",Y112,"")</f>
        <v/>
      </c>
      <c r="V113" s="103"/>
      <c r="W113" s="177" t="str">
        <f t="shared" si="18"/>
        <v/>
      </c>
      <c r="X113" s="103"/>
      <c r="Y113" s="177" t="str">
        <f t="shared" si="19"/>
        <v/>
      </c>
      <c r="Z113" s="106"/>
      <c r="AA113" s="57"/>
    </row>
    <row r="114" spans="1:27" s="55" customFormat="1" ht="21" customHeight="1" x14ac:dyDescent="0.25">
      <c r="A114" s="56"/>
      <c r="B114" s="284" t="s">
        <v>116</v>
      </c>
      <c r="C114" s="284"/>
      <c r="D114" s="284"/>
      <c r="E114" s="284"/>
      <c r="F114" s="284"/>
      <c r="G114" s="284"/>
      <c r="H114" s="284"/>
      <c r="I114" s="284"/>
      <c r="J114" s="284"/>
      <c r="K114" s="284"/>
      <c r="L114" s="73"/>
      <c r="M114" s="57"/>
      <c r="N114" s="100"/>
      <c r="O114" s="101" t="s">
        <v>73</v>
      </c>
      <c r="P114" s="101"/>
      <c r="Q114" s="101"/>
      <c r="R114" s="101" t="str">
        <f t="shared" si="20"/>
        <v/>
      </c>
      <c r="S114" s="105"/>
      <c r="T114" s="101" t="s">
        <v>73</v>
      </c>
      <c r="U114" s="177" t="str">
        <f>IF($J$1="November",Y113,"")</f>
        <v/>
      </c>
      <c r="V114" s="103"/>
      <c r="W114" s="177" t="str">
        <f t="shared" si="18"/>
        <v/>
      </c>
      <c r="X114" s="103"/>
      <c r="Y114" s="177" t="str">
        <f t="shared" si="19"/>
        <v/>
      </c>
      <c r="Z114" s="106"/>
      <c r="AA114" s="57"/>
    </row>
    <row r="115" spans="1:27" s="55" customFormat="1" ht="21" customHeight="1" x14ac:dyDescent="0.25">
      <c r="A115" s="56"/>
      <c r="B115" s="284"/>
      <c r="C115" s="284"/>
      <c r="D115" s="284"/>
      <c r="E115" s="284"/>
      <c r="F115" s="284"/>
      <c r="G115" s="284"/>
      <c r="H115" s="284"/>
      <c r="I115" s="284"/>
      <c r="J115" s="284"/>
      <c r="K115" s="284"/>
      <c r="L115" s="73"/>
      <c r="M115" s="57"/>
      <c r="N115" s="100"/>
      <c r="O115" s="101" t="s">
        <v>74</v>
      </c>
      <c r="P115" s="101"/>
      <c r="Q115" s="101"/>
      <c r="R115" s="101" t="str">
        <f t="shared" si="20"/>
        <v/>
      </c>
      <c r="S115" s="105"/>
      <c r="T115" s="101" t="s">
        <v>74</v>
      </c>
      <c r="U115" s="177" t="str">
        <f>IF($J$1="December",Y114,"")</f>
        <v/>
      </c>
      <c r="V115" s="103"/>
      <c r="W115" s="177" t="str">
        <f t="shared" si="18"/>
        <v/>
      </c>
      <c r="X115" s="103"/>
      <c r="Y115" s="177" t="str">
        <f t="shared" si="19"/>
        <v/>
      </c>
      <c r="Z115" s="106"/>
      <c r="AA115" s="57"/>
    </row>
    <row r="116" spans="1:27" s="55" customFormat="1" ht="21" customHeight="1" thickBot="1" x14ac:dyDescent="0.3">
      <c r="A116" s="86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8"/>
      <c r="N116" s="107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9"/>
    </row>
    <row r="117" spans="1:27" s="57" customFormat="1" ht="21" customHeight="1" thickBot="1" x14ac:dyDescent="0.3"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</row>
    <row r="118" spans="1:27" s="55" customFormat="1" ht="21" customHeight="1" x14ac:dyDescent="0.25">
      <c r="A118" s="300" t="s">
        <v>56</v>
      </c>
      <c r="B118" s="301"/>
      <c r="C118" s="301"/>
      <c r="D118" s="301"/>
      <c r="E118" s="301"/>
      <c r="F118" s="301"/>
      <c r="G118" s="301"/>
      <c r="H118" s="301"/>
      <c r="I118" s="301"/>
      <c r="J118" s="301"/>
      <c r="K118" s="301"/>
      <c r="L118" s="302"/>
      <c r="M118" s="54"/>
      <c r="N118" s="93"/>
      <c r="O118" s="285" t="s">
        <v>58</v>
      </c>
      <c r="P118" s="286"/>
      <c r="Q118" s="286"/>
      <c r="R118" s="287"/>
      <c r="S118" s="94"/>
      <c r="T118" s="285" t="s">
        <v>59</v>
      </c>
      <c r="U118" s="286"/>
      <c r="V118" s="286"/>
      <c r="W118" s="286"/>
      <c r="X118" s="286"/>
      <c r="Y118" s="287"/>
      <c r="Z118" s="95"/>
      <c r="AA118" s="54"/>
    </row>
    <row r="119" spans="1:27" s="55" customFormat="1" ht="21" customHeight="1" x14ac:dyDescent="0.25">
      <c r="A119" s="56"/>
      <c r="B119" s="57"/>
      <c r="C119" s="288" t="s">
        <v>114</v>
      </c>
      <c r="D119" s="288"/>
      <c r="E119" s="288"/>
      <c r="F119" s="288"/>
      <c r="G119" s="58" t="str">
        <f>$J$1</f>
        <v>June</v>
      </c>
      <c r="H119" s="289">
        <f>$K$1</f>
        <v>2019</v>
      </c>
      <c r="I119" s="289"/>
      <c r="J119" s="57"/>
      <c r="K119" s="59"/>
      <c r="L119" s="60"/>
      <c r="M119" s="59"/>
      <c r="N119" s="96"/>
      <c r="O119" s="97" t="s">
        <v>69</v>
      </c>
      <c r="P119" s="97" t="s">
        <v>7</v>
      </c>
      <c r="Q119" s="97" t="s">
        <v>6</v>
      </c>
      <c r="R119" s="97" t="s">
        <v>70</v>
      </c>
      <c r="S119" s="98"/>
      <c r="T119" s="97" t="s">
        <v>69</v>
      </c>
      <c r="U119" s="97" t="s">
        <v>71</v>
      </c>
      <c r="V119" s="97" t="s">
        <v>29</v>
      </c>
      <c r="W119" s="97" t="s">
        <v>28</v>
      </c>
      <c r="X119" s="97" t="s">
        <v>30</v>
      </c>
      <c r="Y119" s="97" t="s">
        <v>75</v>
      </c>
      <c r="Z119" s="99"/>
      <c r="AA119" s="59"/>
    </row>
    <row r="120" spans="1:27" s="55" customFormat="1" ht="21" customHeight="1" x14ac:dyDescent="0.25">
      <c r="A120" s="56"/>
      <c r="B120" s="57"/>
      <c r="C120" s="57"/>
      <c r="D120" s="62"/>
      <c r="E120" s="62"/>
      <c r="F120" s="62"/>
      <c r="G120" s="62"/>
      <c r="H120" s="62"/>
      <c r="I120" s="57"/>
      <c r="J120" s="63" t="s">
        <v>1</v>
      </c>
      <c r="K120" s="64">
        <v>20000</v>
      </c>
      <c r="L120" s="65"/>
      <c r="M120" s="57"/>
      <c r="N120" s="100"/>
      <c r="O120" s="101" t="s">
        <v>61</v>
      </c>
      <c r="P120" s="101"/>
      <c r="Q120" s="101"/>
      <c r="R120" s="101"/>
      <c r="S120" s="102"/>
      <c r="T120" s="101" t="s">
        <v>61</v>
      </c>
      <c r="U120" s="103"/>
      <c r="V120" s="103"/>
      <c r="W120" s="103">
        <f>V120+U120</f>
        <v>0</v>
      </c>
      <c r="X120" s="103"/>
      <c r="Y120" s="103">
        <f>W120-X120</f>
        <v>0</v>
      </c>
      <c r="Z120" s="99"/>
      <c r="AA120" s="57"/>
    </row>
    <row r="121" spans="1:27" s="55" customFormat="1" ht="21" customHeight="1" x14ac:dyDescent="0.25">
      <c r="A121" s="56"/>
      <c r="B121" s="57" t="s">
        <v>0</v>
      </c>
      <c r="C121" s="67" t="s">
        <v>122</v>
      </c>
      <c r="D121" s="57"/>
      <c r="E121" s="57"/>
      <c r="F121" s="57"/>
      <c r="G121" s="57"/>
      <c r="H121" s="68"/>
      <c r="I121" s="62"/>
      <c r="J121" s="57"/>
      <c r="K121" s="57"/>
      <c r="L121" s="69"/>
      <c r="M121" s="54"/>
      <c r="N121" s="104"/>
      <c r="O121" s="101" t="s">
        <v>87</v>
      </c>
      <c r="P121" s="101"/>
      <c r="Q121" s="101"/>
      <c r="R121" s="101"/>
      <c r="S121" s="105"/>
      <c r="T121" s="101" t="s">
        <v>87</v>
      </c>
      <c r="U121" s="177" t="str">
        <f>IF($J$1="February",Y120,"")</f>
        <v/>
      </c>
      <c r="V121" s="103"/>
      <c r="W121" s="177" t="str">
        <f>IF(U121="","",U121+V121)</f>
        <v/>
      </c>
      <c r="X121" s="103"/>
      <c r="Y121" s="177" t="str">
        <f>IF(W121="","",W121-X121)</f>
        <v/>
      </c>
      <c r="Z121" s="106"/>
      <c r="AA121" s="54"/>
    </row>
    <row r="122" spans="1:27" s="55" customFormat="1" ht="21" customHeight="1" x14ac:dyDescent="0.25">
      <c r="A122" s="56"/>
      <c r="B122" s="71" t="s">
        <v>57</v>
      </c>
      <c r="C122" s="72"/>
      <c r="D122" s="57"/>
      <c r="E122" s="57"/>
      <c r="F122" s="290" t="s">
        <v>59</v>
      </c>
      <c r="G122" s="290"/>
      <c r="H122" s="57"/>
      <c r="I122" s="290" t="s">
        <v>60</v>
      </c>
      <c r="J122" s="290"/>
      <c r="K122" s="290"/>
      <c r="L122" s="73"/>
      <c r="M122" s="57"/>
      <c r="N122" s="100"/>
      <c r="O122" s="101" t="s">
        <v>62</v>
      </c>
      <c r="P122" s="101"/>
      <c r="Q122" s="101"/>
      <c r="R122" s="101"/>
      <c r="S122" s="105"/>
      <c r="T122" s="101" t="s">
        <v>62</v>
      </c>
      <c r="U122" s="177" t="str">
        <f>IF($J$1="March",Y121,"")</f>
        <v/>
      </c>
      <c r="V122" s="103"/>
      <c r="W122" s="177" t="str">
        <f t="shared" ref="W122:W131" si="21">IF(U122="","",U122+V122)</f>
        <v/>
      </c>
      <c r="X122" s="103"/>
      <c r="Y122" s="177" t="str">
        <f t="shared" ref="Y122:Y131" si="22">IF(W122="","",W122-X122)</f>
        <v/>
      </c>
      <c r="Z122" s="106"/>
      <c r="AA122" s="57"/>
    </row>
    <row r="123" spans="1:27" s="55" customFormat="1" ht="21" customHeight="1" x14ac:dyDescent="0.25">
      <c r="A123" s="56"/>
      <c r="B123" s="57"/>
      <c r="C123" s="57"/>
      <c r="D123" s="57"/>
      <c r="E123" s="57"/>
      <c r="F123" s="57"/>
      <c r="G123" s="57"/>
      <c r="H123" s="74"/>
      <c r="L123" s="61"/>
      <c r="M123" s="57"/>
      <c r="N123" s="100"/>
      <c r="O123" s="101" t="s">
        <v>63</v>
      </c>
      <c r="P123" s="101"/>
      <c r="Q123" s="101"/>
      <c r="R123" s="101"/>
      <c r="S123" s="105"/>
      <c r="T123" s="101" t="s">
        <v>63</v>
      </c>
      <c r="U123" s="177" t="str">
        <f>IF($J$1="April",Y122,"")</f>
        <v/>
      </c>
      <c r="V123" s="103"/>
      <c r="W123" s="177" t="str">
        <f t="shared" si="21"/>
        <v/>
      </c>
      <c r="X123" s="103"/>
      <c r="Y123" s="177" t="str">
        <f t="shared" si="22"/>
        <v/>
      </c>
      <c r="Z123" s="106"/>
      <c r="AA123" s="57"/>
    </row>
    <row r="124" spans="1:27" s="55" customFormat="1" ht="21" customHeight="1" x14ac:dyDescent="0.25">
      <c r="A124" s="56"/>
      <c r="B124" s="291" t="s">
        <v>58</v>
      </c>
      <c r="C124" s="292"/>
      <c r="D124" s="57"/>
      <c r="E124" s="57"/>
      <c r="F124" s="75" t="s">
        <v>80</v>
      </c>
      <c r="G124" s="70" t="str">
        <f>IF($J$1="January",U120,IF($J$1="February",U121,IF($J$1="March",U122,IF($J$1="April",U123,IF($J$1="May",U124,IF($J$1="June",U125,IF($J$1="July",U126,IF($J$1="August",U127,IF($J$1="August",U127,IF($J$1="September",U128,IF($J$1="October",U129,IF($J$1="November",U130,IF($J$1="December",U131)))))))))))))</f>
        <v/>
      </c>
      <c r="H124" s="74"/>
      <c r="I124" s="76">
        <v>31</v>
      </c>
      <c r="J124" s="77" t="s">
        <v>77</v>
      </c>
      <c r="K124" s="78">
        <f>K120/$K$2*I124</f>
        <v>20666.666666666664</v>
      </c>
      <c r="L124" s="79"/>
      <c r="M124" s="57"/>
      <c r="N124" s="100"/>
      <c r="O124" s="101" t="s">
        <v>64</v>
      </c>
      <c r="P124" s="101"/>
      <c r="Q124" s="101"/>
      <c r="R124" s="101" t="str">
        <f>IF(Q124="","",R123-Q124)</f>
        <v/>
      </c>
      <c r="S124" s="105"/>
      <c r="T124" s="101" t="s">
        <v>64</v>
      </c>
      <c r="U124" s="177" t="str">
        <f>IF($J$1="May",Y123,"")</f>
        <v/>
      </c>
      <c r="V124" s="103"/>
      <c r="W124" s="177" t="str">
        <f t="shared" si="21"/>
        <v/>
      </c>
      <c r="X124" s="103"/>
      <c r="Y124" s="177" t="str">
        <f t="shared" si="22"/>
        <v/>
      </c>
      <c r="Z124" s="106"/>
      <c r="AA124" s="57"/>
    </row>
    <row r="125" spans="1:27" s="55" customFormat="1" ht="21" customHeight="1" x14ac:dyDescent="0.25">
      <c r="A125" s="56"/>
      <c r="B125" s="66"/>
      <c r="C125" s="66"/>
      <c r="D125" s="57"/>
      <c r="E125" s="57"/>
      <c r="F125" s="75" t="s">
        <v>29</v>
      </c>
      <c r="G125" s="70">
        <f>IF($J$1="January",V120,IF($J$1="February",V121,IF($J$1="March",V122,IF($J$1="April",V123,IF($J$1="May",V124,IF($J$1="June",V125,IF($J$1="July",V126,IF($J$1="August",V127,IF($J$1="August",V127,IF($J$1="September",V128,IF($J$1="October",V129,IF($J$1="November",V130,IF($J$1="December",V131)))))))))))))</f>
        <v>0</v>
      </c>
      <c r="H125" s="74"/>
      <c r="I125" s="76"/>
      <c r="J125" s="77" t="s">
        <v>78</v>
      </c>
      <c r="K125" s="80">
        <f>K120/$K$2/8*I125</f>
        <v>0</v>
      </c>
      <c r="L125" s="81"/>
      <c r="M125" s="57"/>
      <c r="N125" s="100"/>
      <c r="O125" s="101" t="s">
        <v>65</v>
      </c>
      <c r="P125" s="101"/>
      <c r="Q125" s="101"/>
      <c r="R125" s="101" t="str">
        <f>IF(Q125="","",R124-Q125)</f>
        <v/>
      </c>
      <c r="S125" s="105"/>
      <c r="T125" s="101" t="s">
        <v>65</v>
      </c>
      <c r="U125" s="177" t="str">
        <f>IF($J$1="June",Y124,"")</f>
        <v/>
      </c>
      <c r="V125" s="103"/>
      <c r="W125" s="177" t="str">
        <f t="shared" si="21"/>
        <v/>
      </c>
      <c r="X125" s="103"/>
      <c r="Y125" s="177" t="str">
        <f t="shared" si="22"/>
        <v/>
      </c>
      <c r="Z125" s="106"/>
      <c r="AA125" s="57"/>
    </row>
    <row r="126" spans="1:27" s="55" customFormat="1" ht="21" customHeight="1" x14ac:dyDescent="0.25">
      <c r="A126" s="56"/>
      <c r="B126" s="75" t="s">
        <v>7</v>
      </c>
      <c r="C126" s="66">
        <f>IF($J$1="January",P120,IF($J$1="February",P121,IF($J$1="March",P122,IF($J$1="April",P123,IF($J$1="May",P124,IF($J$1="June",P125,IF($J$1="July",P126,IF($J$1="August",P127,IF($J$1="August",P127,IF($J$1="September",P128,IF($J$1="October",P129,IF($J$1="November",P130,IF($J$1="December",P131)))))))))))))</f>
        <v>0</v>
      </c>
      <c r="D126" s="57"/>
      <c r="E126" s="57"/>
      <c r="F126" s="75" t="s">
        <v>81</v>
      </c>
      <c r="G126" s="70" t="str">
        <f>IF($J$1="January",W120,IF($J$1="February",W121,IF($J$1="March",W122,IF($J$1="April",W123,IF($J$1="May",W124,IF($J$1="June",W125,IF($J$1="July",W126,IF($J$1="August",W127,IF($J$1="August",W127,IF($J$1="September",W128,IF($J$1="October",W129,IF($J$1="November",W130,IF($J$1="December",W131)))))))))))))</f>
        <v/>
      </c>
      <c r="H126" s="74"/>
      <c r="I126" s="293" t="s">
        <v>85</v>
      </c>
      <c r="J126" s="294"/>
      <c r="K126" s="80">
        <f>K124+K125</f>
        <v>20666.666666666664</v>
      </c>
      <c r="L126" s="81"/>
      <c r="M126" s="57"/>
      <c r="N126" s="100"/>
      <c r="O126" s="101" t="s">
        <v>66</v>
      </c>
      <c r="P126" s="101"/>
      <c r="Q126" s="101"/>
      <c r="R126" s="101" t="str">
        <f>IF(Q126="","",R125-Q126)</f>
        <v/>
      </c>
      <c r="S126" s="105"/>
      <c r="T126" s="101" t="s">
        <v>66</v>
      </c>
      <c r="U126" s="177" t="str">
        <f>IF($J$1="July",Y125,"")</f>
        <v/>
      </c>
      <c r="V126" s="103"/>
      <c r="W126" s="177" t="str">
        <f t="shared" si="21"/>
        <v/>
      </c>
      <c r="X126" s="103"/>
      <c r="Y126" s="177" t="str">
        <f t="shared" si="22"/>
        <v/>
      </c>
      <c r="Z126" s="106"/>
      <c r="AA126" s="57"/>
    </row>
    <row r="127" spans="1:27" s="55" customFormat="1" ht="21" customHeight="1" x14ac:dyDescent="0.25">
      <c r="A127" s="56"/>
      <c r="B127" s="75" t="s">
        <v>6</v>
      </c>
      <c r="C127" s="66">
        <f>IF($J$1="January",Q120,IF($J$1="February",Q121,IF($J$1="March",Q122,IF($J$1="April",Q123,IF($J$1="May",Q124,IF($J$1="June",Q125,IF($J$1="July",Q126,IF($J$1="August",Q127,IF($J$1="August",Q127,IF($J$1="September",Q128,IF($J$1="October",Q129,IF($J$1="November",Q130,IF($J$1="December",Q131)))))))))))))</f>
        <v>0</v>
      </c>
      <c r="D127" s="57"/>
      <c r="E127" s="57"/>
      <c r="F127" s="75" t="s">
        <v>30</v>
      </c>
      <c r="G127" s="70">
        <f>IF($J$1="January",X120,IF($J$1="February",X121,IF($J$1="March",X122,IF($J$1="April",X123,IF($J$1="May",X124,IF($J$1="June",X125,IF($J$1="July",X126,IF($J$1="August",X127,IF($J$1="August",X127,IF($J$1="September",X128,IF($J$1="October",X129,IF($J$1="November",X130,IF($J$1="December",X131)))))))))))))</f>
        <v>0</v>
      </c>
      <c r="H127" s="74"/>
      <c r="I127" s="293" t="s">
        <v>86</v>
      </c>
      <c r="J127" s="294"/>
      <c r="K127" s="70">
        <f>G127</f>
        <v>0</v>
      </c>
      <c r="L127" s="82"/>
      <c r="M127" s="57"/>
      <c r="N127" s="100"/>
      <c r="O127" s="101" t="s">
        <v>67</v>
      </c>
      <c r="P127" s="101"/>
      <c r="Q127" s="101"/>
      <c r="R127" s="101" t="str">
        <f>IF(Q127="","",R126-Q127)</f>
        <v/>
      </c>
      <c r="S127" s="105"/>
      <c r="T127" s="101" t="s">
        <v>67</v>
      </c>
      <c r="U127" s="177" t="str">
        <f>IF($J$1="August",Y126,"")</f>
        <v/>
      </c>
      <c r="V127" s="103"/>
      <c r="W127" s="177" t="str">
        <f t="shared" si="21"/>
        <v/>
      </c>
      <c r="X127" s="103"/>
      <c r="Y127" s="177" t="str">
        <f t="shared" si="22"/>
        <v/>
      </c>
      <c r="Z127" s="106"/>
      <c r="AA127" s="57"/>
    </row>
    <row r="128" spans="1:27" s="55" customFormat="1" ht="21" customHeight="1" x14ac:dyDescent="0.25">
      <c r="A128" s="56"/>
      <c r="B128" s="83" t="s">
        <v>84</v>
      </c>
      <c r="C128" s="66" t="str">
        <f>IF($J$1="January",R120,IF($J$1="February",R121,IF($J$1="March",R122,IF($J$1="April",R123,IF($J$1="May",R124,IF($J$1="June",R125,IF($J$1="July",R126,IF($J$1="August",R127,IF($J$1="August",R127,IF($J$1="September",R128,IF($J$1="October",R129,IF($J$1="November",R130,IF($J$1="December",R131)))))))))))))</f>
        <v/>
      </c>
      <c r="D128" s="57"/>
      <c r="E128" s="57"/>
      <c r="F128" s="75" t="s">
        <v>83</v>
      </c>
      <c r="G128" s="70" t="str">
        <f>IF($J$1="January",Y120,IF($J$1="February",Y121,IF($J$1="March",Y122,IF($J$1="April",Y123,IF($J$1="May",Y124,IF($J$1="June",Y125,IF($J$1="July",Y126,IF($J$1="August",Y127,IF($J$1="August",Y127,IF($J$1="September",Y128,IF($J$1="October",Y129,IF($J$1="November",Y130,IF($J$1="December",Y131)))))))))))))</f>
        <v/>
      </c>
      <c r="H128" s="57"/>
      <c r="I128" s="295" t="s">
        <v>79</v>
      </c>
      <c r="J128" s="296"/>
      <c r="K128" s="84"/>
      <c r="L128" s="85"/>
      <c r="M128" s="57"/>
      <c r="N128" s="100"/>
      <c r="O128" s="101" t="s">
        <v>72</v>
      </c>
      <c r="P128" s="101"/>
      <c r="Q128" s="101"/>
      <c r="R128" s="101"/>
      <c r="S128" s="105"/>
      <c r="T128" s="101" t="s">
        <v>72</v>
      </c>
      <c r="U128" s="177" t="str">
        <f>IF($J$1="September",Y127,"")</f>
        <v/>
      </c>
      <c r="V128" s="103"/>
      <c r="W128" s="177" t="str">
        <f t="shared" si="21"/>
        <v/>
      </c>
      <c r="X128" s="103"/>
      <c r="Y128" s="177" t="str">
        <f t="shared" si="22"/>
        <v/>
      </c>
      <c r="Z128" s="106"/>
      <c r="AA128" s="57"/>
    </row>
    <row r="129" spans="1:27" s="55" customFormat="1" ht="21" customHeight="1" x14ac:dyDescent="0.25">
      <c r="A129" s="56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73"/>
      <c r="M129" s="57"/>
      <c r="N129" s="100"/>
      <c r="O129" s="101" t="s">
        <v>68</v>
      </c>
      <c r="P129" s="101"/>
      <c r="Q129" s="101"/>
      <c r="R129" s="101"/>
      <c r="S129" s="105"/>
      <c r="T129" s="101" t="s">
        <v>68</v>
      </c>
      <c r="U129" s="177" t="str">
        <f>IF($J$1="October",Y128,"")</f>
        <v/>
      </c>
      <c r="V129" s="103"/>
      <c r="W129" s="177" t="str">
        <f t="shared" si="21"/>
        <v/>
      </c>
      <c r="X129" s="103"/>
      <c r="Y129" s="177" t="str">
        <f t="shared" si="22"/>
        <v/>
      </c>
      <c r="Z129" s="106"/>
      <c r="AA129" s="57"/>
    </row>
    <row r="130" spans="1:27" s="55" customFormat="1" ht="21" customHeight="1" x14ac:dyDescent="0.25">
      <c r="A130" s="56"/>
      <c r="B130" s="284" t="s">
        <v>116</v>
      </c>
      <c r="C130" s="284"/>
      <c r="D130" s="284"/>
      <c r="E130" s="284"/>
      <c r="F130" s="284"/>
      <c r="G130" s="284"/>
      <c r="H130" s="284"/>
      <c r="I130" s="284"/>
      <c r="J130" s="284"/>
      <c r="K130" s="284"/>
      <c r="L130" s="73"/>
      <c r="M130" s="57"/>
      <c r="N130" s="100"/>
      <c r="O130" s="101" t="s">
        <v>73</v>
      </c>
      <c r="P130" s="101"/>
      <c r="Q130" s="101"/>
      <c r="R130" s="101"/>
      <c r="S130" s="105"/>
      <c r="T130" s="101" t="s">
        <v>73</v>
      </c>
      <c r="U130" s="177" t="str">
        <f>IF($J$1="November",Y129,"")</f>
        <v/>
      </c>
      <c r="V130" s="103"/>
      <c r="W130" s="177" t="str">
        <f t="shared" si="21"/>
        <v/>
      </c>
      <c r="X130" s="103"/>
      <c r="Y130" s="177" t="str">
        <f t="shared" si="22"/>
        <v/>
      </c>
      <c r="Z130" s="106"/>
      <c r="AA130" s="57"/>
    </row>
    <row r="131" spans="1:27" s="55" customFormat="1" ht="21" customHeight="1" x14ac:dyDescent="0.25">
      <c r="A131" s="56"/>
      <c r="B131" s="284"/>
      <c r="C131" s="284"/>
      <c r="D131" s="284"/>
      <c r="E131" s="284"/>
      <c r="F131" s="284"/>
      <c r="G131" s="284"/>
      <c r="H131" s="284"/>
      <c r="I131" s="284"/>
      <c r="J131" s="284"/>
      <c r="K131" s="284"/>
      <c r="L131" s="73"/>
      <c r="M131" s="57"/>
      <c r="N131" s="100"/>
      <c r="O131" s="101" t="s">
        <v>74</v>
      </c>
      <c r="P131" s="101"/>
      <c r="Q131" s="101"/>
      <c r="R131" s="101"/>
      <c r="S131" s="105"/>
      <c r="T131" s="101" t="s">
        <v>74</v>
      </c>
      <c r="U131" s="177" t="str">
        <f>IF($J$1="December",Y130,"")</f>
        <v/>
      </c>
      <c r="V131" s="103"/>
      <c r="W131" s="177" t="str">
        <f t="shared" si="21"/>
        <v/>
      </c>
      <c r="X131" s="103"/>
      <c r="Y131" s="177" t="str">
        <f t="shared" si="22"/>
        <v/>
      </c>
      <c r="Z131" s="106"/>
      <c r="AA131" s="57"/>
    </row>
    <row r="132" spans="1:27" s="55" customFormat="1" ht="21" customHeight="1" thickBot="1" x14ac:dyDescent="0.3">
      <c r="A132" s="86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8"/>
      <c r="N132" s="107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9"/>
    </row>
    <row r="133" spans="1:27" s="57" customFormat="1" ht="21" customHeight="1" thickBot="1" x14ac:dyDescent="0.3"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</row>
    <row r="134" spans="1:27" s="55" customFormat="1" ht="21" customHeight="1" x14ac:dyDescent="0.25">
      <c r="A134" s="300" t="s">
        <v>56</v>
      </c>
      <c r="B134" s="301"/>
      <c r="C134" s="301"/>
      <c r="D134" s="301"/>
      <c r="E134" s="301"/>
      <c r="F134" s="301"/>
      <c r="G134" s="301"/>
      <c r="H134" s="301"/>
      <c r="I134" s="301"/>
      <c r="J134" s="301"/>
      <c r="K134" s="301"/>
      <c r="L134" s="302"/>
      <c r="M134" s="54"/>
      <c r="N134" s="93"/>
      <c r="O134" s="285" t="s">
        <v>58</v>
      </c>
      <c r="P134" s="286"/>
      <c r="Q134" s="286"/>
      <c r="R134" s="287"/>
      <c r="S134" s="94"/>
      <c r="T134" s="285" t="s">
        <v>59</v>
      </c>
      <c r="U134" s="286"/>
      <c r="V134" s="286"/>
      <c r="W134" s="286"/>
      <c r="X134" s="286"/>
      <c r="Y134" s="287"/>
      <c r="Z134" s="95"/>
      <c r="AA134" s="54"/>
    </row>
    <row r="135" spans="1:27" s="55" customFormat="1" ht="21" customHeight="1" x14ac:dyDescent="0.25">
      <c r="A135" s="56"/>
      <c r="B135" s="57"/>
      <c r="C135" s="288" t="s">
        <v>114</v>
      </c>
      <c r="D135" s="288"/>
      <c r="E135" s="288"/>
      <c r="F135" s="288"/>
      <c r="G135" s="58" t="str">
        <f>$J$1</f>
        <v>June</v>
      </c>
      <c r="H135" s="289">
        <f>$K$1</f>
        <v>2019</v>
      </c>
      <c r="I135" s="289"/>
      <c r="J135" s="57"/>
      <c r="K135" s="59"/>
      <c r="L135" s="60"/>
      <c r="M135" s="59"/>
      <c r="N135" s="96"/>
      <c r="O135" s="97" t="s">
        <v>69</v>
      </c>
      <c r="P135" s="97" t="s">
        <v>7</v>
      </c>
      <c r="Q135" s="97" t="s">
        <v>6</v>
      </c>
      <c r="R135" s="97" t="s">
        <v>70</v>
      </c>
      <c r="S135" s="98"/>
      <c r="T135" s="97" t="s">
        <v>69</v>
      </c>
      <c r="U135" s="97" t="s">
        <v>71</v>
      </c>
      <c r="V135" s="97" t="s">
        <v>29</v>
      </c>
      <c r="W135" s="97" t="s">
        <v>28</v>
      </c>
      <c r="X135" s="97" t="s">
        <v>30</v>
      </c>
      <c r="Y135" s="97" t="s">
        <v>75</v>
      </c>
      <c r="Z135" s="99"/>
      <c r="AA135" s="59"/>
    </row>
    <row r="136" spans="1:27" s="55" customFormat="1" ht="21" customHeight="1" x14ac:dyDescent="0.25">
      <c r="A136" s="56"/>
      <c r="B136" s="57"/>
      <c r="C136" s="57"/>
      <c r="D136" s="62"/>
      <c r="E136" s="62"/>
      <c r="F136" s="62"/>
      <c r="G136" s="62"/>
      <c r="H136" s="62"/>
      <c r="I136" s="57"/>
      <c r="J136" s="63" t="s">
        <v>1</v>
      </c>
      <c r="K136" s="64"/>
      <c r="L136" s="65"/>
      <c r="M136" s="57"/>
      <c r="N136" s="100"/>
      <c r="O136" s="101" t="s">
        <v>61</v>
      </c>
      <c r="P136" s="101">
        <v>4</v>
      </c>
      <c r="Q136" s="101"/>
      <c r="R136" s="101">
        <v>0</v>
      </c>
      <c r="S136" s="102"/>
      <c r="T136" s="101" t="s">
        <v>61</v>
      </c>
      <c r="U136" s="103"/>
      <c r="V136" s="103"/>
      <c r="W136" s="103">
        <f>V136+U136</f>
        <v>0</v>
      </c>
      <c r="X136" s="103"/>
      <c r="Y136" s="103">
        <f>W136-X136</f>
        <v>0</v>
      </c>
      <c r="Z136" s="99"/>
      <c r="AA136" s="57"/>
    </row>
    <row r="137" spans="1:27" s="55" customFormat="1" ht="21" customHeight="1" x14ac:dyDescent="0.25">
      <c r="A137" s="56"/>
      <c r="B137" s="57" t="s">
        <v>0</v>
      </c>
      <c r="C137" s="67"/>
      <c r="D137" s="57"/>
      <c r="E137" s="57"/>
      <c r="F137" s="57"/>
      <c r="G137" s="57"/>
      <c r="H137" s="68"/>
      <c r="I137" s="62"/>
      <c r="J137" s="57"/>
      <c r="K137" s="57"/>
      <c r="L137" s="69"/>
      <c r="M137" s="54"/>
      <c r="N137" s="104"/>
      <c r="O137" s="101" t="s">
        <v>87</v>
      </c>
      <c r="P137" s="101"/>
      <c r="Q137" s="101"/>
      <c r="R137" s="101">
        <f>R136-Q137</f>
        <v>0</v>
      </c>
      <c r="S137" s="105"/>
      <c r="T137" s="101" t="s">
        <v>87</v>
      </c>
      <c r="U137" s="177"/>
      <c r="V137" s="103"/>
      <c r="W137" s="177" t="str">
        <f>IF(U137="","",U137+V137)</f>
        <v/>
      </c>
      <c r="X137" s="103"/>
      <c r="Y137" s="177" t="str">
        <f>IF(W137="","",W137-X137)</f>
        <v/>
      </c>
      <c r="Z137" s="106"/>
      <c r="AA137" s="54"/>
    </row>
    <row r="138" spans="1:27" s="55" customFormat="1" ht="21" customHeight="1" x14ac:dyDescent="0.25">
      <c r="A138" s="56"/>
      <c r="B138" s="71" t="s">
        <v>57</v>
      </c>
      <c r="C138" s="72"/>
      <c r="D138" s="57"/>
      <c r="E138" s="57"/>
      <c r="F138" s="290" t="s">
        <v>59</v>
      </c>
      <c r="G138" s="290"/>
      <c r="H138" s="57"/>
      <c r="I138" s="290" t="s">
        <v>60</v>
      </c>
      <c r="J138" s="290"/>
      <c r="K138" s="290"/>
      <c r="L138" s="73"/>
      <c r="M138" s="57"/>
      <c r="N138" s="100"/>
      <c r="O138" s="101" t="s">
        <v>62</v>
      </c>
      <c r="P138" s="101"/>
      <c r="Q138" s="101"/>
      <c r="R138" s="101">
        <v>5</v>
      </c>
      <c r="S138" s="105"/>
      <c r="T138" s="101" t="s">
        <v>62</v>
      </c>
      <c r="U138" s="177"/>
      <c r="V138" s="103"/>
      <c r="W138" s="177" t="str">
        <f t="shared" ref="W138:W147" si="23">IF(U138="","",U138+V138)</f>
        <v/>
      </c>
      <c r="X138" s="103"/>
      <c r="Y138" s="177" t="str">
        <f t="shared" ref="Y138:Y147" si="24">IF(W138="","",W138-X138)</f>
        <v/>
      </c>
      <c r="Z138" s="106"/>
      <c r="AA138" s="57"/>
    </row>
    <row r="139" spans="1:27" s="55" customFormat="1" ht="21" customHeight="1" x14ac:dyDescent="0.25">
      <c r="A139" s="56"/>
      <c r="B139" s="57"/>
      <c r="C139" s="57"/>
      <c r="D139" s="57"/>
      <c r="E139" s="57"/>
      <c r="F139" s="57"/>
      <c r="G139" s="57"/>
      <c r="H139" s="74"/>
      <c r="L139" s="61"/>
      <c r="M139" s="57"/>
      <c r="N139" s="100"/>
      <c r="O139" s="101" t="s">
        <v>63</v>
      </c>
      <c r="P139" s="101"/>
      <c r="Q139" s="101"/>
      <c r="R139" s="101" t="str">
        <f>IF(Q139="","",R138-Q139)</f>
        <v/>
      </c>
      <c r="S139" s="105"/>
      <c r="T139" s="101" t="s">
        <v>63</v>
      </c>
      <c r="U139" s="177"/>
      <c r="V139" s="103"/>
      <c r="W139" s="177" t="str">
        <f t="shared" si="23"/>
        <v/>
      </c>
      <c r="X139" s="103"/>
      <c r="Y139" s="177" t="str">
        <f t="shared" si="24"/>
        <v/>
      </c>
      <c r="Z139" s="106"/>
      <c r="AA139" s="57"/>
    </row>
    <row r="140" spans="1:27" s="55" customFormat="1" ht="21" customHeight="1" x14ac:dyDescent="0.25">
      <c r="A140" s="56"/>
      <c r="B140" s="291" t="s">
        <v>58</v>
      </c>
      <c r="C140" s="292"/>
      <c r="D140" s="57"/>
      <c r="E140" s="57"/>
      <c r="F140" s="75" t="s">
        <v>80</v>
      </c>
      <c r="G140" s="70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0</v>
      </c>
      <c r="H140" s="74"/>
      <c r="I140" s="76">
        <f>IF(C144&gt;0,$K$2,C142)</f>
        <v>0</v>
      </c>
      <c r="J140" s="77" t="s">
        <v>77</v>
      </c>
      <c r="K140" s="78">
        <f>K136/$K$2*I140</f>
        <v>0</v>
      </c>
      <c r="L140" s="79"/>
      <c r="M140" s="57"/>
      <c r="N140" s="100"/>
      <c r="O140" s="101" t="s">
        <v>64</v>
      </c>
      <c r="P140" s="101"/>
      <c r="Q140" s="101"/>
      <c r="R140" s="101">
        <v>0</v>
      </c>
      <c r="S140" s="105"/>
      <c r="T140" s="101" t="s">
        <v>64</v>
      </c>
      <c r="U140" s="177"/>
      <c r="V140" s="103"/>
      <c r="W140" s="177" t="str">
        <f t="shared" si="23"/>
        <v/>
      </c>
      <c r="X140" s="103"/>
      <c r="Y140" s="177" t="str">
        <f t="shared" si="24"/>
        <v/>
      </c>
      <c r="Z140" s="106"/>
      <c r="AA140" s="57"/>
    </row>
    <row r="141" spans="1:27" s="55" customFormat="1" ht="21" customHeight="1" x14ac:dyDescent="0.25">
      <c r="A141" s="56"/>
      <c r="B141" s="66"/>
      <c r="C141" s="66"/>
      <c r="D141" s="57"/>
      <c r="E141" s="57"/>
      <c r="F141" s="75" t="s">
        <v>29</v>
      </c>
      <c r="G141" s="70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74"/>
      <c r="I141" s="76"/>
      <c r="J141" s="77" t="s">
        <v>78</v>
      </c>
      <c r="K141" s="80">
        <f>K136/$K$2/7*I141</f>
        <v>0</v>
      </c>
      <c r="L141" s="81"/>
      <c r="M141" s="57"/>
      <c r="N141" s="100"/>
      <c r="O141" s="101" t="s">
        <v>65</v>
      </c>
      <c r="P141" s="101"/>
      <c r="Q141" s="101"/>
      <c r="R141" s="101">
        <v>0</v>
      </c>
      <c r="S141" s="105"/>
      <c r="T141" s="101" t="s">
        <v>65</v>
      </c>
      <c r="U141" s="177"/>
      <c r="V141" s="103"/>
      <c r="W141" s="177" t="str">
        <f t="shared" si="23"/>
        <v/>
      </c>
      <c r="X141" s="103"/>
      <c r="Y141" s="177" t="str">
        <f t="shared" si="24"/>
        <v/>
      </c>
      <c r="Z141" s="106"/>
      <c r="AA141" s="57"/>
    </row>
    <row r="142" spans="1:27" s="55" customFormat="1" ht="21" customHeight="1" x14ac:dyDescent="0.25">
      <c r="A142" s="56"/>
      <c r="B142" s="75" t="s">
        <v>7</v>
      </c>
      <c r="C142" s="66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0</v>
      </c>
      <c r="D142" s="57"/>
      <c r="E142" s="57"/>
      <c r="F142" s="75" t="s">
        <v>81</v>
      </c>
      <c r="G142" s="70" t="str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/>
      </c>
      <c r="H142" s="74"/>
      <c r="I142" s="293" t="s">
        <v>85</v>
      </c>
      <c r="J142" s="294"/>
      <c r="K142" s="80">
        <f>K140+K141</f>
        <v>0</v>
      </c>
      <c r="L142" s="81"/>
      <c r="M142" s="57"/>
      <c r="N142" s="100"/>
      <c r="O142" s="101" t="s">
        <v>66</v>
      </c>
      <c r="P142" s="101"/>
      <c r="Q142" s="101"/>
      <c r="R142" s="101">
        <v>0</v>
      </c>
      <c r="S142" s="105"/>
      <c r="T142" s="101" t="s">
        <v>66</v>
      </c>
      <c r="U142" s="177"/>
      <c r="V142" s="103"/>
      <c r="W142" s="177" t="str">
        <f t="shared" si="23"/>
        <v/>
      </c>
      <c r="X142" s="103"/>
      <c r="Y142" s="177" t="str">
        <f t="shared" si="24"/>
        <v/>
      </c>
      <c r="Z142" s="106"/>
      <c r="AA142" s="57"/>
    </row>
    <row r="143" spans="1:27" s="55" customFormat="1" ht="21" customHeight="1" x14ac:dyDescent="0.25">
      <c r="A143" s="56"/>
      <c r="B143" s="75" t="s">
        <v>6</v>
      </c>
      <c r="C143" s="66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0</v>
      </c>
      <c r="D143" s="57"/>
      <c r="E143" s="57"/>
      <c r="F143" s="75" t="s">
        <v>30</v>
      </c>
      <c r="G143" s="70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0</v>
      </c>
      <c r="H143" s="74"/>
      <c r="I143" s="293" t="s">
        <v>86</v>
      </c>
      <c r="J143" s="294"/>
      <c r="K143" s="70">
        <f>G143</f>
        <v>0</v>
      </c>
      <c r="L143" s="82"/>
      <c r="M143" s="57"/>
      <c r="N143" s="100"/>
      <c r="O143" s="101" t="s">
        <v>67</v>
      </c>
      <c r="P143" s="101"/>
      <c r="Q143" s="101"/>
      <c r="R143" s="101">
        <v>0</v>
      </c>
      <c r="S143" s="105"/>
      <c r="T143" s="101" t="s">
        <v>67</v>
      </c>
      <c r="U143" s="177"/>
      <c r="V143" s="103"/>
      <c r="W143" s="177" t="str">
        <f t="shared" si="23"/>
        <v/>
      </c>
      <c r="X143" s="103"/>
      <c r="Y143" s="177" t="str">
        <f t="shared" si="24"/>
        <v/>
      </c>
      <c r="Z143" s="106"/>
      <c r="AA143" s="57"/>
    </row>
    <row r="144" spans="1:27" s="55" customFormat="1" ht="21" customHeight="1" x14ac:dyDescent="0.25">
      <c r="A144" s="56"/>
      <c r="B144" s="83" t="s">
        <v>84</v>
      </c>
      <c r="C144" s="66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>0</v>
      </c>
      <c r="D144" s="57"/>
      <c r="E144" s="57"/>
      <c r="F144" s="75" t="s">
        <v>83</v>
      </c>
      <c r="G144" s="70" t="str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/>
      </c>
      <c r="H144" s="57"/>
      <c r="I144" s="295" t="s">
        <v>79</v>
      </c>
      <c r="J144" s="296"/>
      <c r="K144" s="84">
        <f>K142-K143</f>
        <v>0</v>
      </c>
      <c r="L144" s="85"/>
      <c r="M144" s="57"/>
      <c r="N144" s="100"/>
      <c r="O144" s="101" t="s">
        <v>72</v>
      </c>
      <c r="P144" s="101"/>
      <c r="Q144" s="101"/>
      <c r="R144" s="101">
        <v>0</v>
      </c>
      <c r="S144" s="105"/>
      <c r="T144" s="101" t="s">
        <v>72</v>
      </c>
      <c r="U144" s="177"/>
      <c r="V144" s="103"/>
      <c r="W144" s="177" t="str">
        <f t="shared" si="23"/>
        <v/>
      </c>
      <c r="X144" s="103"/>
      <c r="Y144" s="177" t="str">
        <f t="shared" si="24"/>
        <v/>
      </c>
      <c r="Z144" s="106"/>
      <c r="AA144" s="57"/>
    </row>
    <row r="145" spans="1:27" s="55" customFormat="1" ht="21" customHeight="1" x14ac:dyDescent="0.25">
      <c r="A145" s="56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73"/>
      <c r="M145" s="57"/>
      <c r="N145" s="100"/>
      <c r="O145" s="101" t="s">
        <v>68</v>
      </c>
      <c r="P145" s="101"/>
      <c r="Q145" s="101"/>
      <c r="R145" s="101"/>
      <c r="S145" s="105"/>
      <c r="T145" s="101" t="s">
        <v>68</v>
      </c>
      <c r="U145" s="177"/>
      <c r="V145" s="103"/>
      <c r="W145" s="177" t="str">
        <f t="shared" si="23"/>
        <v/>
      </c>
      <c r="X145" s="103"/>
      <c r="Y145" s="177" t="str">
        <f t="shared" si="24"/>
        <v/>
      </c>
      <c r="Z145" s="106"/>
      <c r="AA145" s="57"/>
    </row>
    <row r="146" spans="1:27" s="55" customFormat="1" ht="21" customHeight="1" x14ac:dyDescent="0.25">
      <c r="A146" s="56"/>
      <c r="B146" s="284" t="s">
        <v>116</v>
      </c>
      <c r="C146" s="284"/>
      <c r="D146" s="284"/>
      <c r="E146" s="284"/>
      <c r="F146" s="284"/>
      <c r="G146" s="284"/>
      <c r="H146" s="284"/>
      <c r="I146" s="284"/>
      <c r="J146" s="284"/>
      <c r="K146" s="284"/>
      <c r="L146" s="73"/>
      <c r="M146" s="57"/>
      <c r="N146" s="100"/>
      <c r="O146" s="101" t="s">
        <v>73</v>
      </c>
      <c r="P146" s="101"/>
      <c r="Q146" s="101"/>
      <c r="R146" s="101">
        <v>0</v>
      </c>
      <c r="S146" s="105"/>
      <c r="T146" s="101" t="s">
        <v>73</v>
      </c>
      <c r="U146" s="177" t="str">
        <f t="shared" ref="U146" si="25">Y145</f>
        <v/>
      </c>
      <c r="V146" s="103"/>
      <c r="W146" s="177"/>
      <c r="X146" s="103"/>
      <c r="Y146" s="177" t="str">
        <f t="shared" si="24"/>
        <v/>
      </c>
      <c r="Z146" s="106"/>
      <c r="AA146" s="57"/>
    </row>
    <row r="147" spans="1:27" s="55" customFormat="1" ht="21" customHeight="1" x14ac:dyDescent="0.25">
      <c r="A147" s="56"/>
      <c r="B147" s="284"/>
      <c r="C147" s="284"/>
      <c r="D147" s="284"/>
      <c r="E147" s="284"/>
      <c r="F147" s="284"/>
      <c r="G147" s="284"/>
      <c r="H147" s="284"/>
      <c r="I147" s="284"/>
      <c r="J147" s="284"/>
      <c r="K147" s="284"/>
      <c r="L147" s="73"/>
      <c r="M147" s="57"/>
      <c r="N147" s="100"/>
      <c r="O147" s="101" t="s">
        <v>74</v>
      </c>
      <c r="P147" s="101"/>
      <c r="Q147" s="101"/>
      <c r="R147" s="101" t="str">
        <f>IF(Q147="","",R146-Q147)</f>
        <v/>
      </c>
      <c r="S147" s="105"/>
      <c r="T147" s="101" t="s">
        <v>74</v>
      </c>
      <c r="U147" s="177" t="str">
        <f>IF($J$1="Dec",Y146,"")</f>
        <v/>
      </c>
      <c r="V147" s="103"/>
      <c r="W147" s="177" t="str">
        <f t="shared" si="23"/>
        <v/>
      </c>
      <c r="X147" s="103"/>
      <c r="Y147" s="177" t="str">
        <f t="shared" si="24"/>
        <v/>
      </c>
      <c r="Z147" s="106"/>
      <c r="AA147" s="57"/>
    </row>
    <row r="148" spans="1:27" s="55" customFormat="1" ht="21" customHeight="1" thickBot="1" x14ac:dyDescent="0.3">
      <c r="A148" s="86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8"/>
      <c r="N148" s="107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9"/>
    </row>
    <row r="149" spans="1:27" s="57" customFormat="1" ht="21" customHeight="1" thickBot="1" x14ac:dyDescent="0.3"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</row>
    <row r="150" spans="1:27" s="55" customFormat="1" ht="21" customHeight="1" x14ac:dyDescent="0.25">
      <c r="A150" s="297" t="s">
        <v>56</v>
      </c>
      <c r="B150" s="298"/>
      <c r="C150" s="298"/>
      <c r="D150" s="298"/>
      <c r="E150" s="298"/>
      <c r="F150" s="298"/>
      <c r="G150" s="298"/>
      <c r="H150" s="298"/>
      <c r="I150" s="298"/>
      <c r="J150" s="298"/>
      <c r="K150" s="298"/>
      <c r="L150" s="299"/>
      <c r="M150" s="54"/>
      <c r="N150" s="93"/>
      <c r="O150" s="285" t="s">
        <v>58</v>
      </c>
      <c r="P150" s="286"/>
      <c r="Q150" s="286"/>
      <c r="R150" s="287"/>
      <c r="S150" s="94"/>
      <c r="T150" s="285" t="s">
        <v>59</v>
      </c>
      <c r="U150" s="286"/>
      <c r="V150" s="286"/>
      <c r="W150" s="286"/>
      <c r="X150" s="286"/>
      <c r="Y150" s="287"/>
      <c r="Z150" s="92"/>
    </row>
    <row r="151" spans="1:27" s="55" customFormat="1" ht="21" customHeight="1" x14ac:dyDescent="0.25">
      <c r="A151" s="56"/>
      <c r="B151" s="57"/>
      <c r="C151" s="288" t="s">
        <v>114</v>
      </c>
      <c r="D151" s="288"/>
      <c r="E151" s="288"/>
      <c r="F151" s="288"/>
      <c r="G151" s="58" t="str">
        <f>$J$1</f>
        <v>June</v>
      </c>
      <c r="H151" s="289">
        <f>$K$1</f>
        <v>2019</v>
      </c>
      <c r="I151" s="289"/>
      <c r="J151" s="57"/>
      <c r="K151" s="59"/>
      <c r="L151" s="60"/>
      <c r="M151" s="59"/>
      <c r="N151" s="96"/>
      <c r="O151" s="97" t="s">
        <v>69</v>
      </c>
      <c r="P151" s="97" t="s">
        <v>7</v>
      </c>
      <c r="Q151" s="97" t="s">
        <v>6</v>
      </c>
      <c r="R151" s="97" t="s">
        <v>70</v>
      </c>
      <c r="S151" s="98"/>
      <c r="T151" s="97" t="s">
        <v>69</v>
      </c>
      <c r="U151" s="97" t="s">
        <v>71</v>
      </c>
      <c r="V151" s="97" t="s">
        <v>29</v>
      </c>
      <c r="W151" s="97" t="s">
        <v>28</v>
      </c>
      <c r="X151" s="97" t="s">
        <v>30</v>
      </c>
      <c r="Y151" s="97" t="s">
        <v>75</v>
      </c>
      <c r="Z151" s="92"/>
    </row>
    <row r="152" spans="1:27" s="55" customFormat="1" ht="21" customHeight="1" x14ac:dyDescent="0.25">
      <c r="A152" s="56"/>
      <c r="B152" s="57"/>
      <c r="C152" s="57"/>
      <c r="D152" s="62"/>
      <c r="E152" s="62"/>
      <c r="F152" s="62"/>
      <c r="G152" s="62"/>
      <c r="H152" s="62"/>
      <c r="I152" s="57"/>
      <c r="J152" s="63" t="s">
        <v>1</v>
      </c>
      <c r="K152" s="64">
        <v>1400</v>
      </c>
      <c r="L152" s="65"/>
      <c r="M152" s="57"/>
      <c r="N152" s="100"/>
      <c r="O152" s="101" t="s">
        <v>61</v>
      </c>
      <c r="P152" s="101"/>
      <c r="Q152" s="101"/>
      <c r="R152" s="101">
        <v>0</v>
      </c>
      <c r="S152" s="102"/>
      <c r="T152" s="101" t="s">
        <v>61</v>
      </c>
      <c r="U152" s="103"/>
      <c r="V152" s="103"/>
      <c r="W152" s="103">
        <f>V152+U152</f>
        <v>0</v>
      </c>
      <c r="X152" s="103"/>
      <c r="Y152" s="103">
        <f>W152-X152</f>
        <v>0</v>
      </c>
      <c r="Z152" s="92"/>
    </row>
    <row r="153" spans="1:27" s="55" customFormat="1" ht="21" customHeight="1" x14ac:dyDescent="0.25">
      <c r="A153" s="56"/>
      <c r="B153" s="57" t="s">
        <v>0</v>
      </c>
      <c r="C153" s="67" t="s">
        <v>174</v>
      </c>
      <c r="D153" s="57"/>
      <c r="E153" s="57"/>
      <c r="F153" s="57"/>
      <c r="G153" s="57"/>
      <c r="H153" s="68"/>
      <c r="I153" s="62"/>
      <c r="J153" s="57"/>
      <c r="K153" s="57"/>
      <c r="L153" s="69"/>
      <c r="M153" s="54"/>
      <c r="N153" s="104"/>
      <c r="O153" s="101" t="s">
        <v>87</v>
      </c>
      <c r="P153" s="101">
        <v>4</v>
      </c>
      <c r="Q153" s="101"/>
      <c r="R153" s="101">
        <v>0</v>
      </c>
      <c r="S153" s="105"/>
      <c r="T153" s="101" t="s">
        <v>87</v>
      </c>
      <c r="U153" s="177">
        <f>IF($J$1="April",Y152,Y152)</f>
        <v>0</v>
      </c>
      <c r="V153" s="103"/>
      <c r="W153" s="103">
        <f>V153+U153</f>
        <v>0</v>
      </c>
      <c r="X153" s="103"/>
      <c r="Y153" s="177">
        <f>IF(W153="","",W153-X153)</f>
        <v>0</v>
      </c>
      <c r="Z153" s="92"/>
    </row>
    <row r="154" spans="1:27" s="55" customFormat="1" ht="21" customHeight="1" x14ac:dyDescent="0.25">
      <c r="A154" s="56"/>
      <c r="B154" s="71" t="s">
        <v>57</v>
      </c>
      <c r="C154" s="89"/>
      <c r="D154" s="57"/>
      <c r="E154" s="57"/>
      <c r="F154" s="290" t="s">
        <v>59</v>
      </c>
      <c r="G154" s="290"/>
      <c r="H154" s="57"/>
      <c r="I154" s="290" t="s">
        <v>60</v>
      </c>
      <c r="J154" s="290"/>
      <c r="K154" s="290"/>
      <c r="L154" s="73"/>
      <c r="M154" s="57"/>
      <c r="N154" s="100"/>
      <c r="O154" s="101" t="s">
        <v>62</v>
      </c>
      <c r="P154" s="101"/>
      <c r="Q154" s="101"/>
      <c r="R154" s="101" t="str">
        <f>IF(Q154="","",R153-Q154)</f>
        <v/>
      </c>
      <c r="S154" s="105"/>
      <c r="T154" s="101" t="s">
        <v>62</v>
      </c>
      <c r="U154" s="177">
        <f>IF($J$1="April",Y153,Y153)</f>
        <v>0</v>
      </c>
      <c r="V154" s="103">
        <v>20000</v>
      </c>
      <c r="W154" s="103">
        <f>V154+U154</f>
        <v>20000</v>
      </c>
      <c r="X154" s="103">
        <v>20000</v>
      </c>
      <c r="Y154" s="177">
        <f t="shared" ref="Y154:Y163" si="26">IF(W154="","",W154-X154)</f>
        <v>0</v>
      </c>
      <c r="Z154" s="92"/>
    </row>
    <row r="155" spans="1:27" s="55" customFormat="1" ht="21" customHeight="1" x14ac:dyDescent="0.25">
      <c r="A155" s="56"/>
      <c r="B155" s="57"/>
      <c r="C155" s="57"/>
      <c r="D155" s="57"/>
      <c r="E155" s="57"/>
      <c r="F155" s="57"/>
      <c r="G155" s="57"/>
      <c r="H155" s="74"/>
      <c r="L155" s="61"/>
      <c r="M155" s="57"/>
      <c r="N155" s="100"/>
      <c r="O155" s="101" t="s">
        <v>63</v>
      </c>
      <c r="P155" s="101">
        <v>25</v>
      </c>
      <c r="Q155" s="101">
        <v>5</v>
      </c>
      <c r="R155" s="101">
        <v>0</v>
      </c>
      <c r="S155" s="105"/>
      <c r="T155" s="101" t="s">
        <v>63</v>
      </c>
      <c r="U155" s="177">
        <f>IF($J$1="April",Y154,Y154)</f>
        <v>0</v>
      </c>
      <c r="V155" s="103">
        <f>15000+2000</f>
        <v>17000</v>
      </c>
      <c r="W155" s="103">
        <f>V155+U155</f>
        <v>17000</v>
      </c>
      <c r="X155" s="103">
        <v>17000</v>
      </c>
      <c r="Y155" s="177">
        <f t="shared" si="26"/>
        <v>0</v>
      </c>
      <c r="Z155" s="92"/>
    </row>
    <row r="156" spans="1:27" s="55" customFormat="1" ht="21" customHeight="1" x14ac:dyDescent="0.25">
      <c r="A156" s="56"/>
      <c r="B156" s="291" t="s">
        <v>58</v>
      </c>
      <c r="C156" s="292"/>
      <c r="D156" s="57"/>
      <c r="E156" s="57"/>
      <c r="F156" s="75" t="s">
        <v>80</v>
      </c>
      <c r="G156" s="70">
        <f>IF($J$1="January",U152,IF($J$1="February",U153,IF($J$1="March",U154,IF($J$1="April",U155,IF($J$1="May",U156,IF($J$1="June",U157,IF($J$1="July",U158,IF($J$1="August",U159,IF($J$1="August",U159,IF($J$1="September",U160,IF($J$1="October",U161,IF($J$1="November",U162,IF($J$1="December",U163)))))))))))))</f>
        <v>0</v>
      </c>
      <c r="H156" s="74"/>
      <c r="I156" s="76">
        <v>14</v>
      </c>
      <c r="J156" s="77" t="s">
        <v>77</v>
      </c>
      <c r="K156" s="78">
        <f>K152*I156</f>
        <v>19600</v>
      </c>
      <c r="L156" s="79"/>
      <c r="M156" s="57"/>
      <c r="N156" s="100"/>
      <c r="O156" s="101" t="s">
        <v>64</v>
      </c>
      <c r="P156" s="101">
        <v>25</v>
      </c>
      <c r="Q156" s="101"/>
      <c r="R156" s="101">
        <v>0</v>
      </c>
      <c r="S156" s="105"/>
      <c r="T156" s="101" t="s">
        <v>64</v>
      </c>
      <c r="U156" s="177">
        <f>IF($J$1="May",Y155,Y155)</f>
        <v>0</v>
      </c>
      <c r="V156" s="103">
        <v>10000</v>
      </c>
      <c r="W156" s="177">
        <f>V156</f>
        <v>10000</v>
      </c>
      <c r="X156" s="103">
        <v>10000</v>
      </c>
      <c r="Y156" s="177">
        <f t="shared" si="26"/>
        <v>0</v>
      </c>
      <c r="Z156" s="92"/>
    </row>
    <row r="157" spans="1:27" s="55" customFormat="1" ht="21" customHeight="1" x14ac:dyDescent="0.25">
      <c r="A157" s="56"/>
      <c r="B157" s="66"/>
      <c r="C157" s="66"/>
      <c r="D157" s="57"/>
      <c r="E157" s="57"/>
      <c r="F157" s="75" t="s">
        <v>29</v>
      </c>
      <c r="G157" s="70">
        <f>IF($J$1="January",V152,IF($J$1="February",V153,IF($J$1="March",V154,IF($J$1="April",V155,IF($J$1="May",V156,IF($J$1="June",V157,IF($J$1="July",V158,IF($J$1="August",V159,IF($J$1="August",V159,IF($J$1="September",V160,IF($J$1="October",V161,IF($J$1="November",V162,IF($J$1="December",V163)))))))))))))</f>
        <v>5000</v>
      </c>
      <c r="H157" s="74"/>
      <c r="I157" s="120"/>
      <c r="J157" s="77" t="s">
        <v>78</v>
      </c>
      <c r="K157" s="80">
        <f>K152/8*I157</f>
        <v>0</v>
      </c>
      <c r="L157" s="81"/>
      <c r="M157" s="57"/>
      <c r="N157" s="100"/>
      <c r="O157" s="101" t="s">
        <v>65</v>
      </c>
      <c r="P157" s="101"/>
      <c r="Q157" s="101"/>
      <c r="R157" s="101">
        <v>0</v>
      </c>
      <c r="S157" s="105"/>
      <c r="T157" s="101" t="s">
        <v>65</v>
      </c>
      <c r="U157" s="177">
        <f>IF($J$1="June",Y156,"")</f>
        <v>0</v>
      </c>
      <c r="V157" s="103">
        <v>5000</v>
      </c>
      <c r="W157" s="177">
        <f t="shared" ref="W157:W163" si="27">IF(U157="","",U157+V157)</f>
        <v>5000</v>
      </c>
      <c r="X157" s="103">
        <v>5000</v>
      </c>
      <c r="Y157" s="177">
        <f t="shared" si="26"/>
        <v>0</v>
      </c>
      <c r="Z157" s="92"/>
    </row>
    <row r="158" spans="1:27" s="55" customFormat="1" ht="21" customHeight="1" x14ac:dyDescent="0.25">
      <c r="A158" s="56"/>
      <c r="B158" s="75" t="s">
        <v>7</v>
      </c>
      <c r="C158" s="66">
        <f>IF($J$1="January",P152,IF($J$1="February",P153,IF($J$1="March",P154,IF($J$1="April",P155,IF($J$1="May",P156,IF($J$1="June",P157,IF($J$1="July",P158,IF($J$1="August",P159,IF($J$1="August",P159,IF($J$1="September",P160,IF($J$1="October",P161,IF($J$1="November",P162,IF($J$1="December",P163)))))))))))))</f>
        <v>0</v>
      </c>
      <c r="D158" s="57"/>
      <c r="E158" s="57"/>
      <c r="F158" s="75" t="s">
        <v>81</v>
      </c>
      <c r="G158" s="70">
        <f>IF($J$1="January",W152,IF($J$1="February",W153,IF($J$1="March",W154,IF($J$1="April",W155,IF($J$1="May",W156,IF($J$1="June",W157,IF($J$1="July",W158,IF($J$1="August",W159,IF($J$1="August",W159,IF($J$1="September",W160,IF($J$1="October",W161,IF($J$1="November",W162,IF($J$1="December",W163)))))))))))))</f>
        <v>5000</v>
      </c>
      <c r="H158" s="74"/>
      <c r="I158" s="293" t="s">
        <v>85</v>
      </c>
      <c r="J158" s="294"/>
      <c r="K158" s="80">
        <f>K156+K157</f>
        <v>19600</v>
      </c>
      <c r="L158" s="81"/>
      <c r="M158" s="57"/>
      <c r="N158" s="100"/>
      <c r="O158" s="101" t="s">
        <v>66</v>
      </c>
      <c r="P158" s="101"/>
      <c r="Q158" s="101"/>
      <c r="R158" s="101">
        <v>0</v>
      </c>
      <c r="S158" s="105"/>
      <c r="T158" s="101" t="s">
        <v>66</v>
      </c>
      <c r="U158" s="177" t="str">
        <f>IF($J$1="July",Y157,"")</f>
        <v/>
      </c>
      <c r="V158" s="103"/>
      <c r="W158" s="177">
        <f>V158</f>
        <v>0</v>
      </c>
      <c r="X158" s="103"/>
      <c r="Y158" s="177">
        <f t="shared" si="26"/>
        <v>0</v>
      </c>
      <c r="Z158" s="92"/>
    </row>
    <row r="159" spans="1:27" s="55" customFormat="1" ht="21" customHeight="1" x14ac:dyDescent="0.25">
      <c r="A159" s="56"/>
      <c r="B159" s="75" t="s">
        <v>6</v>
      </c>
      <c r="C159" s="66">
        <f>IF($J$1="January",Q152,IF($J$1="February",Q153,IF($J$1="March",Q154,IF($J$1="April",Q155,IF($J$1="May",Q156,IF($J$1="June",Q157,IF($J$1="July",Q158,IF($J$1="August",Q159,IF($J$1="August",Q159,IF($J$1="September",Q160,IF($J$1="October",Q161,IF($J$1="November",Q162,IF($J$1="December",Q163)))))))))))))</f>
        <v>0</v>
      </c>
      <c r="D159" s="57"/>
      <c r="E159" s="57"/>
      <c r="F159" s="75" t="s">
        <v>30</v>
      </c>
      <c r="G159" s="70">
        <f>IF($J$1="January",X152,IF($J$1="February",X153,IF($J$1="March",X154,IF($J$1="April",X155,IF($J$1="May",X156,IF($J$1="June",X157,IF($J$1="July",X158,IF($J$1="August",X159,IF($J$1="August",X159,IF($J$1="September",X160,IF($J$1="October",X161,IF($J$1="November",X162,IF($J$1="December",X163)))))))))))))</f>
        <v>5000</v>
      </c>
      <c r="H159" s="74"/>
      <c r="I159" s="293" t="s">
        <v>86</v>
      </c>
      <c r="J159" s="294"/>
      <c r="K159" s="70">
        <f>G159</f>
        <v>5000</v>
      </c>
      <c r="L159" s="82"/>
      <c r="M159" s="57"/>
      <c r="N159" s="100"/>
      <c r="O159" s="101" t="s">
        <v>67</v>
      </c>
      <c r="P159" s="101"/>
      <c r="Q159" s="101"/>
      <c r="R159" s="101">
        <v>0</v>
      </c>
      <c r="S159" s="105"/>
      <c r="T159" s="101" t="s">
        <v>67</v>
      </c>
      <c r="U159" s="177">
        <f>Y158</f>
        <v>0</v>
      </c>
      <c r="V159" s="103"/>
      <c r="W159" s="177">
        <f t="shared" si="27"/>
        <v>0</v>
      </c>
      <c r="X159" s="103"/>
      <c r="Y159" s="177">
        <f t="shared" si="26"/>
        <v>0</v>
      </c>
      <c r="Z159" s="92"/>
    </row>
    <row r="160" spans="1:27" s="55" customFormat="1" ht="21" customHeight="1" x14ac:dyDescent="0.25">
      <c r="A160" s="56"/>
      <c r="B160" s="83" t="s">
        <v>84</v>
      </c>
      <c r="C160" s="66">
        <f>IF($J$1="January",R152,IF($J$1="February",R153,IF($J$1="March",R154,IF($J$1="April",R155,IF($J$1="May",R156,IF($J$1="June",R157,IF($J$1="July",R158,IF($J$1="August",R159,IF($J$1="August",R159,IF($J$1="September",R160,IF($J$1="October",R161,IF($J$1="November",R162,IF($J$1="December",R163)))))))))))))</f>
        <v>0</v>
      </c>
      <c r="D160" s="57"/>
      <c r="E160" s="57"/>
      <c r="F160" s="75" t="s">
        <v>83</v>
      </c>
      <c r="G160" s="70">
        <f>IF($J$1="January",Y152,IF($J$1="February",Y153,IF($J$1="March",Y154,IF($J$1="April",Y155,IF($J$1="May",Y156,IF($J$1="June",Y157,IF($J$1="July",Y158,IF($J$1="August",Y159,IF($J$1="August",Y159,IF($J$1="September",Y160,IF($J$1="October",Y161,IF($J$1="November",Y162,IF($J$1="December",Y163)))))))))))))</f>
        <v>0</v>
      </c>
      <c r="H160" s="57"/>
      <c r="I160" s="295" t="s">
        <v>79</v>
      </c>
      <c r="J160" s="296"/>
      <c r="K160" s="84">
        <f>K158-K159</f>
        <v>14600</v>
      </c>
      <c r="L160" s="85"/>
      <c r="M160" s="57"/>
      <c r="N160" s="100"/>
      <c r="O160" s="101" t="s">
        <v>72</v>
      </c>
      <c r="P160" s="101"/>
      <c r="Q160" s="101"/>
      <c r="R160" s="101">
        <v>0</v>
      </c>
      <c r="S160" s="105"/>
      <c r="T160" s="101" t="s">
        <v>72</v>
      </c>
      <c r="U160" s="177">
        <f t="shared" ref="U160:U163" si="28">Y159</f>
        <v>0</v>
      </c>
      <c r="V160" s="103"/>
      <c r="W160" s="177">
        <f t="shared" si="27"/>
        <v>0</v>
      </c>
      <c r="X160" s="103"/>
      <c r="Y160" s="177">
        <f t="shared" si="26"/>
        <v>0</v>
      </c>
      <c r="Z160" s="92"/>
    </row>
    <row r="161" spans="1:26" s="55" customFormat="1" ht="21" customHeight="1" x14ac:dyDescent="0.25">
      <c r="A161" s="56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73"/>
      <c r="M161" s="57"/>
      <c r="N161" s="100"/>
      <c r="O161" s="101" t="s">
        <v>68</v>
      </c>
      <c r="P161" s="101"/>
      <c r="Q161" s="101"/>
      <c r="R161" s="101">
        <v>0</v>
      </c>
      <c r="S161" s="105"/>
      <c r="T161" s="101" t="s">
        <v>68</v>
      </c>
      <c r="U161" s="177">
        <f t="shared" si="28"/>
        <v>0</v>
      </c>
      <c r="V161" s="103"/>
      <c r="W161" s="177">
        <f t="shared" si="27"/>
        <v>0</v>
      </c>
      <c r="X161" s="103"/>
      <c r="Y161" s="177">
        <f t="shared" si="26"/>
        <v>0</v>
      </c>
      <c r="Z161" s="92"/>
    </row>
    <row r="162" spans="1:26" s="55" customFormat="1" ht="21" customHeight="1" x14ac:dyDescent="0.25">
      <c r="A162" s="56"/>
      <c r="B162" s="284" t="s">
        <v>116</v>
      </c>
      <c r="C162" s="284"/>
      <c r="D162" s="284"/>
      <c r="E162" s="284"/>
      <c r="F162" s="284"/>
      <c r="G162" s="284"/>
      <c r="H162" s="284"/>
      <c r="I162" s="284"/>
      <c r="J162" s="284"/>
      <c r="K162" s="284"/>
      <c r="L162" s="73"/>
      <c r="M162" s="57"/>
      <c r="N162" s="100"/>
      <c r="O162" s="101" t="s">
        <v>73</v>
      </c>
      <c r="P162" s="101"/>
      <c r="Q162" s="101"/>
      <c r="R162" s="101">
        <v>0</v>
      </c>
      <c r="S162" s="105"/>
      <c r="T162" s="101" t="s">
        <v>73</v>
      </c>
      <c r="U162" s="177">
        <f t="shared" si="28"/>
        <v>0</v>
      </c>
      <c r="V162" s="103"/>
      <c r="W162" s="177">
        <f t="shared" si="27"/>
        <v>0</v>
      </c>
      <c r="X162" s="103"/>
      <c r="Y162" s="177">
        <f t="shared" si="26"/>
        <v>0</v>
      </c>
      <c r="Z162" s="92"/>
    </row>
    <row r="163" spans="1:26" s="55" customFormat="1" ht="21" customHeight="1" x14ac:dyDescent="0.25">
      <c r="A163" s="56"/>
      <c r="B163" s="284"/>
      <c r="C163" s="284"/>
      <c r="D163" s="284"/>
      <c r="E163" s="284"/>
      <c r="F163" s="284"/>
      <c r="G163" s="284"/>
      <c r="H163" s="284"/>
      <c r="I163" s="284"/>
      <c r="J163" s="284"/>
      <c r="K163" s="284"/>
      <c r="L163" s="73"/>
      <c r="M163" s="57"/>
      <c r="N163" s="100"/>
      <c r="O163" s="101" t="s">
        <v>74</v>
      </c>
      <c r="P163" s="101"/>
      <c r="Q163" s="101"/>
      <c r="R163" s="101" t="str">
        <f>IF(Q163="","",R162-Q163)</f>
        <v/>
      </c>
      <c r="S163" s="105"/>
      <c r="T163" s="101" t="s">
        <v>74</v>
      </c>
      <c r="U163" s="177">
        <f t="shared" si="28"/>
        <v>0</v>
      </c>
      <c r="V163" s="103"/>
      <c r="W163" s="177">
        <f t="shared" si="27"/>
        <v>0</v>
      </c>
      <c r="X163" s="103"/>
      <c r="Y163" s="177">
        <f t="shared" si="26"/>
        <v>0</v>
      </c>
      <c r="Z163" s="92"/>
    </row>
    <row r="164" spans="1:26" s="55" customFormat="1" ht="21" customHeight="1" thickBot="1" x14ac:dyDescent="0.3">
      <c r="A164" s="86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8"/>
      <c r="N164" s="107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92"/>
    </row>
    <row r="165" spans="1:26" s="57" customFormat="1" ht="21" customHeight="1" thickBot="1" x14ac:dyDescent="0.3"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</row>
    <row r="166" spans="1:26" s="55" customFormat="1" ht="21" customHeight="1" x14ac:dyDescent="0.25">
      <c r="A166" s="300" t="s">
        <v>56</v>
      </c>
      <c r="B166" s="301"/>
      <c r="C166" s="301"/>
      <c r="D166" s="301"/>
      <c r="E166" s="301"/>
      <c r="F166" s="301"/>
      <c r="G166" s="301"/>
      <c r="H166" s="301"/>
      <c r="I166" s="301"/>
      <c r="J166" s="301"/>
      <c r="K166" s="301"/>
      <c r="L166" s="302"/>
      <c r="M166" s="143"/>
      <c r="N166" s="93"/>
      <c r="O166" s="285" t="s">
        <v>58</v>
      </c>
      <c r="P166" s="286"/>
      <c r="Q166" s="286"/>
      <c r="R166" s="287"/>
      <c r="S166" s="94"/>
      <c r="T166" s="285" t="s">
        <v>59</v>
      </c>
      <c r="U166" s="286"/>
      <c r="V166" s="286"/>
      <c r="W166" s="286"/>
      <c r="X166" s="286"/>
      <c r="Y166" s="287"/>
      <c r="Z166" s="92"/>
    </row>
    <row r="167" spans="1:26" s="55" customFormat="1" ht="21" customHeight="1" x14ac:dyDescent="0.25">
      <c r="A167" s="56"/>
      <c r="B167" s="57"/>
      <c r="C167" s="288" t="s">
        <v>114</v>
      </c>
      <c r="D167" s="288"/>
      <c r="E167" s="288"/>
      <c r="F167" s="288"/>
      <c r="G167" s="58" t="str">
        <f>$J$1</f>
        <v>June</v>
      </c>
      <c r="H167" s="289">
        <f>$K$1</f>
        <v>2019</v>
      </c>
      <c r="I167" s="289"/>
      <c r="J167" s="57"/>
      <c r="K167" s="59"/>
      <c r="L167" s="60"/>
      <c r="M167" s="59"/>
      <c r="N167" s="96"/>
      <c r="O167" s="97" t="s">
        <v>69</v>
      </c>
      <c r="P167" s="97" t="s">
        <v>7</v>
      </c>
      <c r="Q167" s="97" t="s">
        <v>6</v>
      </c>
      <c r="R167" s="97" t="s">
        <v>70</v>
      </c>
      <c r="S167" s="98"/>
      <c r="T167" s="97" t="s">
        <v>69</v>
      </c>
      <c r="U167" s="97" t="s">
        <v>71</v>
      </c>
      <c r="V167" s="97" t="s">
        <v>29</v>
      </c>
      <c r="W167" s="97" t="s">
        <v>28</v>
      </c>
      <c r="X167" s="97" t="s">
        <v>30</v>
      </c>
      <c r="Y167" s="97" t="s">
        <v>75</v>
      </c>
      <c r="Z167" s="92"/>
    </row>
    <row r="168" spans="1:26" s="55" customFormat="1" ht="21" customHeight="1" x14ac:dyDescent="0.25">
      <c r="A168" s="56"/>
      <c r="B168" s="57"/>
      <c r="C168" s="57"/>
      <c r="D168" s="62"/>
      <c r="E168" s="62"/>
      <c r="F168" s="62"/>
      <c r="G168" s="62"/>
      <c r="H168" s="62"/>
      <c r="I168" s="57"/>
      <c r="J168" s="63" t="s">
        <v>1</v>
      </c>
      <c r="K168" s="64"/>
      <c r="L168" s="65"/>
      <c r="M168" s="57"/>
      <c r="N168" s="100"/>
      <c r="O168" s="101" t="s">
        <v>61</v>
      </c>
      <c r="P168" s="101"/>
      <c r="Q168" s="101"/>
      <c r="R168" s="101"/>
      <c r="S168" s="102"/>
      <c r="T168" s="101" t="s">
        <v>61</v>
      </c>
      <c r="U168" s="103"/>
      <c r="V168" s="103"/>
      <c r="W168" s="103">
        <f>V168+U168</f>
        <v>0</v>
      </c>
      <c r="X168" s="103"/>
      <c r="Y168" s="103">
        <f>W168-X168</f>
        <v>0</v>
      </c>
      <c r="Z168" s="92"/>
    </row>
    <row r="169" spans="1:26" s="55" customFormat="1" ht="21" customHeight="1" x14ac:dyDescent="0.25">
      <c r="A169" s="56"/>
      <c r="B169" s="57" t="s">
        <v>0</v>
      </c>
      <c r="C169" s="112"/>
      <c r="D169" s="57"/>
      <c r="E169" s="57"/>
      <c r="F169" s="57"/>
      <c r="G169" s="57"/>
      <c r="H169" s="68"/>
      <c r="I169" s="62"/>
      <c r="J169" s="57"/>
      <c r="K169" s="57"/>
      <c r="L169" s="69"/>
      <c r="M169" s="143"/>
      <c r="N169" s="104"/>
      <c r="O169" s="101" t="s">
        <v>87</v>
      </c>
      <c r="P169" s="101"/>
      <c r="Q169" s="101"/>
      <c r="R169" s="101"/>
      <c r="S169" s="105"/>
      <c r="T169" s="101" t="s">
        <v>87</v>
      </c>
      <c r="U169" s="177"/>
      <c r="V169" s="103"/>
      <c r="W169" s="177">
        <f>V169+U169</f>
        <v>0</v>
      </c>
      <c r="X169" s="103"/>
      <c r="Y169" s="177">
        <f>IF(W169="","",W169-X169)</f>
        <v>0</v>
      </c>
      <c r="Z169" s="92"/>
    </row>
    <row r="170" spans="1:26" s="55" customFormat="1" ht="21" customHeight="1" x14ac:dyDescent="0.25">
      <c r="A170" s="56"/>
      <c r="B170" s="71" t="s">
        <v>57</v>
      </c>
      <c r="C170" s="89"/>
      <c r="D170" s="57"/>
      <c r="E170" s="57"/>
      <c r="F170" s="290" t="s">
        <v>59</v>
      </c>
      <c r="G170" s="290"/>
      <c r="H170" s="57"/>
      <c r="I170" s="290" t="s">
        <v>60</v>
      </c>
      <c r="J170" s="290"/>
      <c r="K170" s="290"/>
      <c r="L170" s="73"/>
      <c r="M170" s="57"/>
      <c r="N170" s="100"/>
      <c r="O170" s="101" t="s">
        <v>62</v>
      </c>
      <c r="P170" s="101"/>
      <c r="Q170" s="101"/>
      <c r="R170" s="101" t="str">
        <f>IF(Q170="","",R169-Q170)</f>
        <v/>
      </c>
      <c r="S170" s="105"/>
      <c r="T170" s="101" t="s">
        <v>62</v>
      </c>
      <c r="U170" s="177"/>
      <c r="V170" s="103"/>
      <c r="W170" s="177" t="str">
        <f t="shared" ref="W170:W179" si="29">IF(U170="","",U170+V170)</f>
        <v/>
      </c>
      <c r="X170" s="103"/>
      <c r="Y170" s="177" t="str">
        <f t="shared" ref="Y170:Y179" si="30">IF(W170="","",W170-X170)</f>
        <v/>
      </c>
      <c r="Z170" s="92"/>
    </row>
    <row r="171" spans="1:26" s="55" customFormat="1" ht="21" customHeight="1" x14ac:dyDescent="0.25">
      <c r="A171" s="56"/>
      <c r="B171" s="57"/>
      <c r="C171" s="57"/>
      <c r="D171" s="57"/>
      <c r="E171" s="57"/>
      <c r="F171" s="57"/>
      <c r="G171" s="57"/>
      <c r="H171" s="74"/>
      <c r="L171" s="61"/>
      <c r="M171" s="57"/>
      <c r="N171" s="100"/>
      <c r="O171" s="101" t="s">
        <v>63</v>
      </c>
      <c r="P171" s="101"/>
      <c r="Q171" s="101"/>
      <c r="R171" s="101">
        <v>0</v>
      </c>
      <c r="S171" s="105"/>
      <c r="T171" s="101" t="s">
        <v>63</v>
      </c>
      <c r="U171" s="177" t="str">
        <f>IF($J$1="April",Y170,Y170)</f>
        <v/>
      </c>
      <c r="V171" s="103"/>
      <c r="W171" s="177" t="str">
        <f t="shared" si="29"/>
        <v/>
      </c>
      <c r="X171" s="103"/>
      <c r="Y171" s="177" t="str">
        <f t="shared" si="30"/>
        <v/>
      </c>
      <c r="Z171" s="92"/>
    </row>
    <row r="172" spans="1:26" s="55" customFormat="1" ht="21" customHeight="1" x14ac:dyDescent="0.25">
      <c r="A172" s="56"/>
      <c r="B172" s="291" t="s">
        <v>58</v>
      </c>
      <c r="C172" s="292"/>
      <c r="D172" s="57"/>
      <c r="E172" s="57"/>
      <c r="F172" s="75" t="s">
        <v>80</v>
      </c>
      <c r="G172" s="70" t="str">
        <f>IF($J$1="January",U168,IF($J$1="February",U169,IF($J$1="March",U170,IF($J$1="April",U171,IF($J$1="May",U172,IF($J$1="June",U173,IF($J$1="July",U174,IF($J$1="August",U175,IF($J$1="August",U175,IF($J$1="September",U176,IF($J$1="October",U177,IF($J$1="November",U178,IF($J$1="December",U179)))))))))))))</f>
        <v/>
      </c>
      <c r="H172" s="74"/>
      <c r="I172" s="76">
        <f>IF(C176&gt;=C175,$K$2,C174+C176)</f>
        <v>30</v>
      </c>
      <c r="J172" s="77" t="s">
        <v>77</v>
      </c>
      <c r="K172" s="78">
        <f>K168/$K$2*I172</f>
        <v>0</v>
      </c>
      <c r="L172" s="79"/>
      <c r="M172" s="57"/>
      <c r="N172" s="100"/>
      <c r="O172" s="101" t="s">
        <v>64</v>
      </c>
      <c r="P172" s="101"/>
      <c r="Q172" s="101"/>
      <c r="R172" s="101" t="str">
        <f t="shared" ref="R172:R177" si="31">IF(Q172="","",R171-Q172)</f>
        <v/>
      </c>
      <c r="S172" s="105"/>
      <c r="T172" s="101" t="s">
        <v>64</v>
      </c>
      <c r="U172" s="177" t="str">
        <f>IF($J$1="May",Y171,"")</f>
        <v/>
      </c>
      <c r="V172" s="103"/>
      <c r="W172" s="177" t="str">
        <f t="shared" si="29"/>
        <v/>
      </c>
      <c r="X172" s="103"/>
      <c r="Y172" s="177" t="str">
        <f t="shared" si="30"/>
        <v/>
      </c>
      <c r="Z172" s="92"/>
    </row>
    <row r="173" spans="1:26" s="55" customFormat="1" ht="21" customHeight="1" x14ac:dyDescent="0.25">
      <c r="A173" s="56"/>
      <c r="B173" s="66"/>
      <c r="C173" s="66"/>
      <c r="D173" s="57"/>
      <c r="E173" s="57"/>
      <c r="F173" s="75" t="s">
        <v>29</v>
      </c>
      <c r="G173" s="70">
        <f>IF($J$1="January",V168,IF($J$1="February",V169,IF($J$1="March",V170,IF($J$1="April",V171,IF($J$1="May",V172,IF($J$1="June",V173,IF($J$1="July",V174,IF($J$1="August",V175,IF($J$1="August",V175,IF($J$1="September",V176,IF($J$1="October",V177,IF($J$1="November",V178,IF($J$1="December",V179)))))))))))))</f>
        <v>0</v>
      </c>
      <c r="H173" s="74"/>
      <c r="I173" s="76"/>
      <c r="J173" s="77" t="s">
        <v>78</v>
      </c>
      <c r="K173" s="80"/>
      <c r="L173" s="81"/>
      <c r="M173" s="57"/>
      <c r="N173" s="100"/>
      <c r="O173" s="101" t="s">
        <v>65</v>
      </c>
      <c r="P173" s="101"/>
      <c r="Q173" s="101"/>
      <c r="R173" s="101" t="str">
        <f t="shared" si="31"/>
        <v/>
      </c>
      <c r="S173" s="105"/>
      <c r="T173" s="101" t="s">
        <v>65</v>
      </c>
      <c r="U173" s="177" t="str">
        <f>IF($J$1="May",Y172,Y172)</f>
        <v/>
      </c>
      <c r="V173" s="103"/>
      <c r="W173" s="177" t="str">
        <f t="shared" si="29"/>
        <v/>
      </c>
      <c r="X173" s="103"/>
      <c r="Y173" s="177" t="str">
        <f t="shared" si="30"/>
        <v/>
      </c>
      <c r="Z173" s="92"/>
    </row>
    <row r="174" spans="1:26" s="55" customFormat="1" ht="21" customHeight="1" x14ac:dyDescent="0.25">
      <c r="A174" s="56"/>
      <c r="B174" s="75" t="s">
        <v>7</v>
      </c>
      <c r="C174" s="66">
        <f>IF($J$1="January",P168,IF($J$1="February",P169,IF($J$1="March",P170,IF($J$1="April",P171,IF($J$1="May",P172,IF($J$1="June",P173,IF($J$1="July",P174,IF($J$1="August",P175,IF($J$1="August",P175,IF($J$1="September",P176,IF($J$1="October",P177,IF($J$1="November",P178,IF($J$1="December",P179)))))))))))))</f>
        <v>0</v>
      </c>
      <c r="D174" s="57"/>
      <c r="E174" s="57"/>
      <c r="F174" s="75" t="s">
        <v>81</v>
      </c>
      <c r="G174" s="70" t="str">
        <f>IF($J$1="January",W168,IF($J$1="February",W169,IF($J$1="March",W170,IF($J$1="April",W171,IF($J$1="May",W172,IF($J$1="June",W173,IF($J$1="July",W174,IF($J$1="August",W175,IF($J$1="August",W175,IF($J$1="September",W176,IF($J$1="October",W177,IF($J$1="November",W178,IF($J$1="December",W179)))))))))))))</f>
        <v/>
      </c>
      <c r="H174" s="74"/>
      <c r="I174" s="293" t="s">
        <v>85</v>
      </c>
      <c r="J174" s="294"/>
      <c r="K174" s="80">
        <f>K172+K173</f>
        <v>0</v>
      </c>
      <c r="L174" s="81"/>
      <c r="M174" s="57"/>
      <c r="N174" s="100"/>
      <c r="O174" s="101" t="s">
        <v>66</v>
      </c>
      <c r="P174" s="101"/>
      <c r="Q174" s="101"/>
      <c r="R174" s="101" t="str">
        <f t="shared" si="31"/>
        <v/>
      </c>
      <c r="S174" s="105"/>
      <c r="T174" s="101" t="s">
        <v>66</v>
      </c>
      <c r="U174" s="177" t="str">
        <f>IF($J$1="July",Y173,"")</f>
        <v/>
      </c>
      <c r="V174" s="103"/>
      <c r="W174" s="177" t="str">
        <f t="shared" si="29"/>
        <v/>
      </c>
      <c r="X174" s="103"/>
      <c r="Y174" s="177" t="str">
        <f t="shared" si="30"/>
        <v/>
      </c>
      <c r="Z174" s="92"/>
    </row>
    <row r="175" spans="1:26" s="55" customFormat="1" ht="21" customHeight="1" x14ac:dyDescent="0.25">
      <c r="A175" s="56"/>
      <c r="B175" s="75" t="s">
        <v>6</v>
      </c>
      <c r="C175" s="66">
        <f>IF($J$1="January",Q168,IF($J$1="February",Q169,IF($J$1="March",Q170,IF($J$1="April",Q171,IF($J$1="May",Q172,IF($J$1="June",Q173,IF($J$1="July",Q174,IF($J$1="August",Q175,IF($J$1="August",Q175,IF($J$1="September",Q176,IF($J$1="October",Q177,IF($J$1="November",Q178,IF($J$1="December",Q179)))))))))))))</f>
        <v>0</v>
      </c>
      <c r="D175" s="57"/>
      <c r="E175" s="57"/>
      <c r="F175" s="75" t="s">
        <v>30</v>
      </c>
      <c r="G175" s="70">
        <f>IF($J$1="January",X168,IF($J$1="February",X169,IF($J$1="March",X170,IF($J$1="April",X171,IF($J$1="May",X172,IF($J$1="June",X173,IF($J$1="July",X174,IF($J$1="August",X175,IF($J$1="August",X175,IF($J$1="September",X176,IF($J$1="October",X177,IF($J$1="November",X178,IF($J$1="December",X179)))))))))))))</f>
        <v>0</v>
      </c>
      <c r="H175" s="74"/>
      <c r="I175" s="293" t="s">
        <v>86</v>
      </c>
      <c r="J175" s="294"/>
      <c r="K175" s="70">
        <f>G175</f>
        <v>0</v>
      </c>
      <c r="L175" s="82"/>
      <c r="M175" s="57"/>
      <c r="N175" s="100"/>
      <c r="O175" s="101" t="s">
        <v>67</v>
      </c>
      <c r="P175" s="101"/>
      <c r="Q175" s="101"/>
      <c r="R175" s="101" t="str">
        <f t="shared" si="31"/>
        <v/>
      </c>
      <c r="S175" s="105"/>
      <c r="T175" s="101" t="s">
        <v>67</v>
      </c>
      <c r="U175" s="177" t="str">
        <f>IF($J$1="August",Y174,"")</f>
        <v/>
      </c>
      <c r="V175" s="103"/>
      <c r="W175" s="177" t="str">
        <f t="shared" si="29"/>
        <v/>
      </c>
      <c r="X175" s="103"/>
      <c r="Y175" s="177" t="str">
        <f t="shared" si="30"/>
        <v/>
      </c>
      <c r="Z175" s="92"/>
    </row>
    <row r="176" spans="1:26" s="55" customFormat="1" ht="21" customHeight="1" x14ac:dyDescent="0.25">
      <c r="A176" s="56"/>
      <c r="B176" s="83" t="s">
        <v>84</v>
      </c>
      <c r="C176" s="66" t="str">
        <f>IF($J$1="January",R168,IF($J$1="February",R169,IF($J$1="March",R170,IF($J$1="April",R171,IF($J$1="May",R172,IF($J$1="June",R173,IF($J$1="July",R174,IF($J$1="August",R175,IF($J$1="August",R175,IF($J$1="September",R176,IF($J$1="October",R177,IF($J$1="November",R178,IF($J$1="December",R179)))))))))))))</f>
        <v/>
      </c>
      <c r="D176" s="57"/>
      <c r="E176" s="57"/>
      <c r="F176" s="75" t="s">
        <v>83</v>
      </c>
      <c r="G176" s="70" t="str">
        <f>IF($J$1="January",Y168,IF($J$1="February",Y169,IF($J$1="March",Y170,IF($J$1="April",Y171,IF($J$1="May",Y172,IF($J$1="June",Y173,IF($J$1="July",Y174,IF($J$1="August",Y175,IF($J$1="August",Y175,IF($J$1="September",Y176,IF($J$1="October",Y177,IF($J$1="November",Y178,IF($J$1="December",Y179)))))))))))))</f>
        <v/>
      </c>
      <c r="H176" s="57"/>
      <c r="I176" s="295" t="s">
        <v>79</v>
      </c>
      <c r="J176" s="296"/>
      <c r="K176" s="84">
        <f>K174-K175</f>
        <v>0</v>
      </c>
      <c r="L176" s="85"/>
      <c r="M176" s="57"/>
      <c r="N176" s="100"/>
      <c r="O176" s="101" t="s">
        <v>72</v>
      </c>
      <c r="P176" s="101"/>
      <c r="Q176" s="101"/>
      <c r="R176" s="101" t="str">
        <f t="shared" si="31"/>
        <v/>
      </c>
      <c r="S176" s="105"/>
      <c r="T176" s="101" t="s">
        <v>72</v>
      </c>
      <c r="U176" s="177" t="str">
        <f>IF($J$1="Sept",Y175,"")</f>
        <v/>
      </c>
      <c r="V176" s="103"/>
      <c r="W176" s="177" t="str">
        <f t="shared" si="29"/>
        <v/>
      </c>
      <c r="X176" s="103"/>
      <c r="Y176" s="177" t="str">
        <f t="shared" si="30"/>
        <v/>
      </c>
      <c r="Z176" s="92"/>
    </row>
    <row r="177" spans="1:26" s="55" customFormat="1" ht="21" customHeight="1" x14ac:dyDescent="0.25">
      <c r="A177" s="56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73"/>
      <c r="M177" s="57"/>
      <c r="N177" s="100"/>
      <c r="O177" s="101" t="s">
        <v>68</v>
      </c>
      <c r="P177" s="101"/>
      <c r="Q177" s="101"/>
      <c r="R177" s="101" t="str">
        <f t="shared" si="31"/>
        <v/>
      </c>
      <c r="S177" s="105"/>
      <c r="T177" s="101" t="s">
        <v>68</v>
      </c>
      <c r="U177" s="177" t="str">
        <f>IF($J$1="October",Y176,"")</f>
        <v/>
      </c>
      <c r="V177" s="103"/>
      <c r="W177" s="177" t="str">
        <f t="shared" si="29"/>
        <v/>
      </c>
      <c r="X177" s="103"/>
      <c r="Y177" s="177" t="str">
        <f t="shared" si="30"/>
        <v/>
      </c>
      <c r="Z177" s="92"/>
    </row>
    <row r="178" spans="1:26" s="55" customFormat="1" ht="21" customHeight="1" x14ac:dyDescent="0.25">
      <c r="A178" s="56"/>
      <c r="B178" s="284" t="s">
        <v>116</v>
      </c>
      <c r="C178" s="284"/>
      <c r="D178" s="284"/>
      <c r="E178" s="284"/>
      <c r="F178" s="284"/>
      <c r="G178" s="284"/>
      <c r="H178" s="284"/>
      <c r="I178" s="284"/>
      <c r="J178" s="284"/>
      <c r="K178" s="284"/>
      <c r="L178" s="73"/>
      <c r="M178" s="57"/>
      <c r="N178" s="100"/>
      <c r="O178" s="101" t="s">
        <v>73</v>
      </c>
      <c r="P178" s="101"/>
      <c r="Q178" s="101"/>
      <c r="R178" s="101">
        <v>0</v>
      </c>
      <c r="S178" s="105"/>
      <c r="T178" s="101" t="s">
        <v>73</v>
      </c>
      <c r="U178" s="177" t="str">
        <f>IF($J$1="November",Y177,"")</f>
        <v/>
      </c>
      <c r="V178" s="103"/>
      <c r="W178" s="177" t="str">
        <f t="shared" si="29"/>
        <v/>
      </c>
      <c r="X178" s="103"/>
      <c r="Y178" s="177" t="str">
        <f t="shared" si="30"/>
        <v/>
      </c>
      <c r="Z178" s="92"/>
    </row>
    <row r="179" spans="1:26" s="55" customFormat="1" ht="21" customHeight="1" x14ac:dyDescent="0.25">
      <c r="A179" s="56"/>
      <c r="B179" s="284"/>
      <c r="C179" s="284"/>
      <c r="D179" s="284"/>
      <c r="E179" s="284"/>
      <c r="F179" s="284"/>
      <c r="G179" s="284"/>
      <c r="H179" s="284"/>
      <c r="I179" s="284"/>
      <c r="J179" s="284"/>
      <c r="K179" s="284"/>
      <c r="L179" s="73"/>
      <c r="M179" s="57"/>
      <c r="N179" s="100"/>
      <c r="O179" s="101" t="s">
        <v>74</v>
      </c>
      <c r="P179" s="101"/>
      <c r="Q179" s="101"/>
      <c r="R179" s="101">
        <v>0</v>
      </c>
      <c r="S179" s="105"/>
      <c r="T179" s="101" t="s">
        <v>74</v>
      </c>
      <c r="U179" s="177" t="str">
        <f>IF($J$1="Dec",Y178,"")</f>
        <v/>
      </c>
      <c r="V179" s="103"/>
      <c r="W179" s="177" t="str">
        <f t="shared" si="29"/>
        <v/>
      </c>
      <c r="X179" s="103"/>
      <c r="Y179" s="177" t="str">
        <f t="shared" si="30"/>
        <v/>
      </c>
      <c r="Z179" s="92"/>
    </row>
    <row r="180" spans="1:26" s="55" customFormat="1" ht="21" customHeight="1" thickBot="1" x14ac:dyDescent="0.3">
      <c r="A180" s="86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8"/>
      <c r="N180" s="107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92"/>
    </row>
    <row r="181" spans="1:26" s="57" customFormat="1" ht="21" customHeight="1" thickBot="1" x14ac:dyDescent="0.3"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</row>
    <row r="182" spans="1:26" s="55" customFormat="1" ht="21" customHeight="1" x14ac:dyDescent="0.25">
      <c r="A182" s="297" t="s">
        <v>56</v>
      </c>
      <c r="B182" s="298"/>
      <c r="C182" s="298"/>
      <c r="D182" s="298"/>
      <c r="E182" s="298"/>
      <c r="F182" s="298"/>
      <c r="G182" s="298"/>
      <c r="H182" s="298"/>
      <c r="I182" s="298"/>
      <c r="J182" s="298"/>
      <c r="K182" s="298"/>
      <c r="L182" s="299"/>
      <c r="M182" s="143"/>
      <c r="N182" s="93"/>
      <c r="O182" s="285" t="s">
        <v>58</v>
      </c>
      <c r="P182" s="286"/>
      <c r="Q182" s="286"/>
      <c r="R182" s="287"/>
      <c r="S182" s="94"/>
      <c r="T182" s="285" t="s">
        <v>59</v>
      </c>
      <c r="U182" s="286"/>
      <c r="V182" s="286"/>
      <c r="W182" s="286"/>
      <c r="X182" s="286"/>
      <c r="Y182" s="287"/>
      <c r="Z182" s="92"/>
    </row>
    <row r="183" spans="1:26" s="55" customFormat="1" ht="21" customHeight="1" x14ac:dyDescent="0.25">
      <c r="A183" s="56"/>
      <c r="B183" s="57"/>
      <c r="C183" s="288" t="s">
        <v>114</v>
      </c>
      <c r="D183" s="288"/>
      <c r="E183" s="288"/>
      <c r="F183" s="288"/>
      <c r="G183" s="58" t="str">
        <f>$J$1</f>
        <v>June</v>
      </c>
      <c r="H183" s="289">
        <f>$K$1</f>
        <v>2019</v>
      </c>
      <c r="I183" s="289"/>
      <c r="J183" s="57"/>
      <c r="K183" s="59"/>
      <c r="L183" s="60"/>
      <c r="M183" s="59"/>
      <c r="N183" s="96"/>
      <c r="O183" s="97" t="s">
        <v>69</v>
      </c>
      <c r="P183" s="97" t="s">
        <v>7</v>
      </c>
      <c r="Q183" s="97" t="s">
        <v>6</v>
      </c>
      <c r="R183" s="97" t="s">
        <v>70</v>
      </c>
      <c r="S183" s="98"/>
      <c r="T183" s="97" t="s">
        <v>69</v>
      </c>
      <c r="U183" s="97" t="s">
        <v>71</v>
      </c>
      <c r="V183" s="97" t="s">
        <v>29</v>
      </c>
      <c r="W183" s="97" t="s">
        <v>28</v>
      </c>
      <c r="X183" s="97" t="s">
        <v>30</v>
      </c>
      <c r="Y183" s="97" t="s">
        <v>75</v>
      </c>
      <c r="Z183" s="92"/>
    </row>
    <row r="184" spans="1:26" s="55" customFormat="1" ht="21" customHeight="1" x14ac:dyDescent="0.25">
      <c r="A184" s="56"/>
      <c r="B184" s="57"/>
      <c r="C184" s="57"/>
      <c r="D184" s="62"/>
      <c r="E184" s="62"/>
      <c r="F184" s="62"/>
      <c r="G184" s="62"/>
      <c r="H184" s="62"/>
      <c r="I184" s="57"/>
      <c r="J184" s="63" t="s">
        <v>1</v>
      </c>
      <c r="K184" s="64">
        <v>27500</v>
      </c>
      <c r="L184" s="65"/>
      <c r="M184" s="57"/>
      <c r="N184" s="100"/>
      <c r="O184" s="101" t="s">
        <v>61</v>
      </c>
      <c r="P184" s="101">
        <v>30</v>
      </c>
      <c r="Q184" s="101">
        <v>1</v>
      </c>
      <c r="R184" s="101">
        <f>15-Q184</f>
        <v>14</v>
      </c>
      <c r="S184" s="102"/>
      <c r="T184" s="101" t="s">
        <v>61</v>
      </c>
      <c r="U184" s="103">
        <v>1000</v>
      </c>
      <c r="V184" s="103"/>
      <c r="W184" s="103">
        <f>V184+U184</f>
        <v>1000</v>
      </c>
      <c r="X184" s="103">
        <v>1000</v>
      </c>
      <c r="Y184" s="103">
        <f>W184-X184</f>
        <v>0</v>
      </c>
      <c r="Z184" s="92"/>
    </row>
    <row r="185" spans="1:26" s="55" customFormat="1" ht="21" customHeight="1" x14ac:dyDescent="0.25">
      <c r="A185" s="56"/>
      <c r="B185" s="57" t="s">
        <v>0</v>
      </c>
      <c r="C185" s="112" t="s">
        <v>125</v>
      </c>
      <c r="D185" s="57"/>
      <c r="E185" s="57"/>
      <c r="F185" s="57"/>
      <c r="G185" s="57"/>
      <c r="H185" s="68"/>
      <c r="I185" s="62"/>
      <c r="J185" s="57"/>
      <c r="K185" s="57"/>
      <c r="L185" s="69"/>
      <c r="M185" s="143"/>
      <c r="N185" s="104"/>
      <c r="O185" s="101" t="s">
        <v>87</v>
      </c>
      <c r="P185" s="101">
        <v>28</v>
      </c>
      <c r="Q185" s="101">
        <v>0</v>
      </c>
      <c r="R185" s="101">
        <f>R184-Q185</f>
        <v>14</v>
      </c>
      <c r="S185" s="105"/>
      <c r="T185" s="101" t="s">
        <v>87</v>
      </c>
      <c r="U185" s="177"/>
      <c r="V185" s="103"/>
      <c r="W185" s="177" t="str">
        <f>IF(U185="","",U185+V185)</f>
        <v/>
      </c>
      <c r="X185" s="103"/>
      <c r="Y185" s="177" t="str">
        <f>IF(W185="","",W185-X185)</f>
        <v/>
      </c>
      <c r="Z185" s="92"/>
    </row>
    <row r="186" spans="1:26" s="55" customFormat="1" ht="21" customHeight="1" x14ac:dyDescent="0.25">
      <c r="A186" s="56"/>
      <c r="B186" s="71" t="s">
        <v>57</v>
      </c>
      <c r="C186" s="89"/>
      <c r="D186" s="57"/>
      <c r="E186" s="57"/>
      <c r="F186" s="290" t="s">
        <v>59</v>
      </c>
      <c r="G186" s="290"/>
      <c r="H186" s="57"/>
      <c r="I186" s="290" t="s">
        <v>60</v>
      </c>
      <c r="J186" s="290"/>
      <c r="K186" s="290"/>
      <c r="L186" s="73"/>
      <c r="M186" s="57"/>
      <c r="N186" s="100"/>
      <c r="O186" s="101" t="s">
        <v>62</v>
      </c>
      <c r="P186" s="101">
        <v>31</v>
      </c>
      <c r="Q186" s="101">
        <v>0</v>
      </c>
      <c r="R186" s="101">
        <f>R185-Q186</f>
        <v>14</v>
      </c>
      <c r="S186" s="105"/>
      <c r="T186" s="101" t="s">
        <v>62</v>
      </c>
      <c r="U186" s="177"/>
      <c r="V186" s="103"/>
      <c r="W186" s="177" t="str">
        <f t="shared" ref="W186:W195" si="32">IF(U186="","",U186+V186)</f>
        <v/>
      </c>
      <c r="X186" s="103"/>
      <c r="Y186" s="177" t="str">
        <f t="shared" ref="Y186:Y195" si="33">IF(W186="","",W186-X186)</f>
        <v/>
      </c>
      <c r="Z186" s="92"/>
    </row>
    <row r="187" spans="1:26" s="55" customFormat="1" ht="21" customHeight="1" x14ac:dyDescent="0.25">
      <c r="A187" s="56"/>
      <c r="B187" s="57"/>
      <c r="C187" s="57"/>
      <c r="D187" s="57"/>
      <c r="E187" s="57"/>
      <c r="F187" s="57"/>
      <c r="G187" s="57"/>
      <c r="H187" s="74"/>
      <c r="L187" s="61"/>
      <c r="M187" s="57"/>
      <c r="N187" s="100"/>
      <c r="O187" s="101" t="s">
        <v>63</v>
      </c>
      <c r="P187" s="101">
        <v>27</v>
      </c>
      <c r="Q187" s="101">
        <v>3</v>
      </c>
      <c r="R187" s="101">
        <f>R186-Q187</f>
        <v>11</v>
      </c>
      <c r="S187" s="105"/>
      <c r="T187" s="101" t="s">
        <v>63</v>
      </c>
      <c r="U187" s="177"/>
      <c r="V187" s="103"/>
      <c r="W187" s="177" t="str">
        <f t="shared" si="32"/>
        <v/>
      </c>
      <c r="X187" s="103"/>
      <c r="Y187" s="177" t="str">
        <f t="shared" si="33"/>
        <v/>
      </c>
      <c r="Z187" s="92"/>
    </row>
    <row r="188" spans="1:26" s="55" customFormat="1" ht="21" customHeight="1" x14ac:dyDescent="0.25">
      <c r="A188" s="56"/>
      <c r="B188" s="291" t="s">
        <v>58</v>
      </c>
      <c r="C188" s="292"/>
      <c r="D188" s="57"/>
      <c r="E188" s="57"/>
      <c r="F188" s="75" t="s">
        <v>80</v>
      </c>
      <c r="G188" s="70">
        <f>IF($J$1="January",U184,IF($J$1="February",U185,IF($J$1="March",U186,IF($J$1="April",U187,IF($J$1="May",U188,IF($J$1="June",U189,IF($J$1="July",U190,IF($J$1="August",U191,IF($J$1="August",U191,IF($J$1="September",U192,IF($J$1="October",U193,IF($J$1="November",U194,IF($J$1="December",U195)))))))))))))</f>
        <v>3000</v>
      </c>
      <c r="H188" s="74"/>
      <c r="I188" s="76">
        <f>IF(C192&gt;0,$K$2,C190)</f>
        <v>30</v>
      </c>
      <c r="J188" s="77" t="s">
        <v>77</v>
      </c>
      <c r="K188" s="78">
        <f>K184/$K$2*I188</f>
        <v>27500</v>
      </c>
      <c r="L188" s="79"/>
      <c r="M188" s="57"/>
      <c r="N188" s="100"/>
      <c r="O188" s="101" t="s">
        <v>64</v>
      </c>
      <c r="P188" s="101">
        <v>29</v>
      </c>
      <c r="Q188" s="101">
        <v>2</v>
      </c>
      <c r="R188" s="101">
        <f>R187-Q188</f>
        <v>9</v>
      </c>
      <c r="S188" s="105"/>
      <c r="T188" s="101" t="s">
        <v>64</v>
      </c>
      <c r="U188" s="177"/>
      <c r="V188" s="103">
        <v>3000</v>
      </c>
      <c r="W188" s="103">
        <f>V188+U188</f>
        <v>3000</v>
      </c>
      <c r="X188" s="103"/>
      <c r="Y188" s="177">
        <f t="shared" si="33"/>
        <v>3000</v>
      </c>
      <c r="Z188" s="92"/>
    </row>
    <row r="189" spans="1:26" s="55" customFormat="1" ht="21" customHeight="1" x14ac:dyDescent="0.25">
      <c r="A189" s="56"/>
      <c r="B189" s="66"/>
      <c r="C189" s="66"/>
      <c r="D189" s="57"/>
      <c r="E189" s="57"/>
      <c r="F189" s="75" t="s">
        <v>29</v>
      </c>
      <c r="G189" s="70">
        <f>IF($J$1="January",V184,IF($J$1="February",V185,IF($J$1="March",V186,IF($J$1="April",V187,IF($J$1="May",V188,IF($J$1="June",V189,IF($J$1="July",V190,IF($J$1="August",V191,IF($J$1="August",V191,IF($J$1="September",V192,IF($J$1="October",V193,IF($J$1="November",V194,IF($J$1="December",V195)))))))))))))</f>
        <v>15000</v>
      </c>
      <c r="H189" s="74"/>
      <c r="I189" s="76">
        <v>-17</v>
      </c>
      <c r="J189" s="77" t="s">
        <v>78</v>
      </c>
      <c r="K189" s="80">
        <f>K184/$K$2/8*I189</f>
        <v>-1947.9166666666665</v>
      </c>
      <c r="L189" s="81"/>
      <c r="M189" s="57"/>
      <c r="N189" s="100"/>
      <c r="O189" s="101" t="s">
        <v>65</v>
      </c>
      <c r="P189" s="101">
        <v>26</v>
      </c>
      <c r="Q189" s="101">
        <v>4</v>
      </c>
      <c r="R189" s="101">
        <f>R188-Q189</f>
        <v>5</v>
      </c>
      <c r="S189" s="105"/>
      <c r="T189" s="101" t="s">
        <v>65</v>
      </c>
      <c r="U189" s="177">
        <f>Y188</f>
        <v>3000</v>
      </c>
      <c r="V189" s="103">
        <v>15000</v>
      </c>
      <c r="W189" s="177">
        <f t="shared" si="32"/>
        <v>18000</v>
      </c>
      <c r="X189" s="103">
        <v>2000</v>
      </c>
      <c r="Y189" s="177">
        <f t="shared" si="33"/>
        <v>16000</v>
      </c>
      <c r="Z189" s="92"/>
    </row>
    <row r="190" spans="1:26" s="55" customFormat="1" ht="21" customHeight="1" x14ac:dyDescent="0.25">
      <c r="A190" s="56"/>
      <c r="B190" s="75" t="s">
        <v>7</v>
      </c>
      <c r="C190" s="66">
        <f>IF($J$1="January",P184,IF($J$1="February",P185,IF($J$1="March",P186,IF($J$1="April",P187,IF($J$1="May",P188,IF($J$1="June",P189,IF($J$1="July",P190,IF($J$1="August",P191,IF($J$1="August",P191,IF($J$1="September",P192,IF($J$1="October",P193,IF($J$1="November",P194,IF($J$1="December",P195)))))))))))))</f>
        <v>26</v>
      </c>
      <c r="D190" s="57"/>
      <c r="E190" s="57"/>
      <c r="F190" s="75" t="s">
        <v>81</v>
      </c>
      <c r="G190" s="70">
        <f>IF($J$1="January",W184,IF($J$1="February",W185,IF($J$1="March",W186,IF($J$1="April",W187,IF($J$1="May",W188,IF($J$1="June",W189,IF($J$1="July",W190,IF($J$1="August",W191,IF($J$1="August",W191,IF($J$1="September",W192,IF($J$1="October",W193,IF($J$1="November",W194,IF($J$1="December",W195)))))))))))))</f>
        <v>18000</v>
      </c>
      <c r="H190" s="74"/>
      <c r="I190" s="293" t="s">
        <v>85</v>
      </c>
      <c r="J190" s="294"/>
      <c r="K190" s="80">
        <f>K188+K189</f>
        <v>25552.083333333332</v>
      </c>
      <c r="L190" s="81"/>
      <c r="M190" s="57"/>
      <c r="N190" s="100"/>
      <c r="O190" s="101" t="s">
        <v>66</v>
      </c>
      <c r="P190" s="101"/>
      <c r="Q190" s="101"/>
      <c r="R190" s="101"/>
      <c r="S190" s="105"/>
      <c r="T190" s="101" t="s">
        <v>66</v>
      </c>
      <c r="U190" s="177"/>
      <c r="V190" s="103"/>
      <c r="W190" s="177" t="str">
        <f t="shared" si="32"/>
        <v/>
      </c>
      <c r="X190" s="103"/>
      <c r="Y190" s="177" t="str">
        <f t="shared" si="33"/>
        <v/>
      </c>
      <c r="Z190" s="92"/>
    </row>
    <row r="191" spans="1:26" s="55" customFormat="1" ht="21" customHeight="1" x14ac:dyDescent="0.25">
      <c r="A191" s="56"/>
      <c r="B191" s="75" t="s">
        <v>6</v>
      </c>
      <c r="C191" s="66">
        <f>IF($J$1="January",Q184,IF($J$1="February",Q185,IF($J$1="March",Q186,IF($J$1="April",Q187,IF($J$1="May",Q188,IF($J$1="June",Q189,IF($J$1="July",Q190,IF($J$1="August",Q191,IF($J$1="August",Q191,IF($J$1="September",Q192,IF($J$1="October",Q193,IF($J$1="November",Q194,IF($J$1="December",Q195)))))))))))))</f>
        <v>4</v>
      </c>
      <c r="D191" s="57"/>
      <c r="E191" s="57"/>
      <c r="F191" s="75" t="s">
        <v>30</v>
      </c>
      <c r="G191" s="70">
        <f>IF($J$1="January",X184,IF($J$1="February",X185,IF($J$1="March",X186,IF($J$1="April",X187,IF($J$1="May",X188,IF($J$1="June",X189,IF($J$1="July",X190,IF($J$1="August",X191,IF($J$1="August",X191,IF($J$1="September",X192,IF($J$1="October",X193,IF($J$1="November",X194,IF($J$1="December",X195)))))))))))))</f>
        <v>2000</v>
      </c>
      <c r="H191" s="74"/>
      <c r="I191" s="293" t="s">
        <v>86</v>
      </c>
      <c r="J191" s="294"/>
      <c r="K191" s="70">
        <f>G191</f>
        <v>2000</v>
      </c>
      <c r="L191" s="82"/>
      <c r="M191" s="57"/>
      <c r="N191" s="100"/>
      <c r="O191" s="101" t="s">
        <v>67</v>
      </c>
      <c r="P191" s="101"/>
      <c r="Q191" s="101"/>
      <c r="R191" s="101"/>
      <c r="S191" s="105"/>
      <c r="T191" s="101" t="s">
        <v>67</v>
      </c>
      <c r="U191" s="177"/>
      <c r="V191" s="103"/>
      <c r="W191" s="177" t="str">
        <f t="shared" si="32"/>
        <v/>
      </c>
      <c r="X191" s="103"/>
      <c r="Y191" s="177" t="str">
        <f t="shared" si="33"/>
        <v/>
      </c>
      <c r="Z191" s="92"/>
    </row>
    <row r="192" spans="1:26" s="55" customFormat="1" ht="21" customHeight="1" x14ac:dyDescent="0.25">
      <c r="A192" s="56"/>
      <c r="B192" s="83" t="s">
        <v>84</v>
      </c>
      <c r="C192" s="66">
        <f>IF($J$1="January",R184,IF($J$1="February",R185,IF($J$1="March",R186,IF($J$1="April",R187,IF($J$1="May",R188,IF($J$1="June",R189,IF($J$1="July",R190,IF($J$1="August",R191,IF($J$1="August",R191,IF($J$1="September",R192,IF($J$1="October",R193,IF($J$1="November",R194,IF($J$1="December",R195)))))))))))))</f>
        <v>5</v>
      </c>
      <c r="D192" s="57"/>
      <c r="E192" s="57"/>
      <c r="F192" s="75" t="s">
        <v>83</v>
      </c>
      <c r="G192" s="70">
        <f>IF($J$1="January",Y184,IF($J$1="February",Y185,IF($J$1="March",Y186,IF($J$1="April",Y187,IF($J$1="May",Y188,IF($J$1="June",Y189,IF($J$1="July",Y190,IF($J$1="August",Y191,IF($J$1="August",Y191,IF($J$1="September",Y192,IF($J$1="October",Y193,IF($J$1="November",Y194,IF($J$1="December",Y195)))))))))))))</f>
        <v>16000</v>
      </c>
      <c r="H192" s="57"/>
      <c r="I192" s="295" t="s">
        <v>79</v>
      </c>
      <c r="J192" s="296"/>
      <c r="K192" s="84">
        <f>K190-K191</f>
        <v>23552.083333333332</v>
      </c>
      <c r="L192" s="85"/>
      <c r="M192" s="57"/>
      <c r="N192" s="100"/>
      <c r="O192" s="101" t="s">
        <v>72</v>
      </c>
      <c r="P192" s="101"/>
      <c r="Q192" s="101"/>
      <c r="R192" s="101"/>
      <c r="S192" s="105"/>
      <c r="T192" s="101" t="s">
        <v>72</v>
      </c>
      <c r="U192" s="177"/>
      <c r="V192" s="103"/>
      <c r="W192" s="177" t="str">
        <f t="shared" si="32"/>
        <v/>
      </c>
      <c r="X192" s="103"/>
      <c r="Y192" s="177" t="str">
        <f t="shared" si="33"/>
        <v/>
      </c>
      <c r="Z192" s="92"/>
    </row>
    <row r="193" spans="1:27" s="55" customFormat="1" ht="21" customHeight="1" x14ac:dyDescent="0.25">
      <c r="A193" s="56"/>
      <c r="B193" s="57"/>
      <c r="C193" s="57"/>
      <c r="D193" s="57"/>
      <c r="E193" s="57"/>
      <c r="F193" s="57"/>
      <c r="G193" s="57"/>
      <c r="H193" s="57"/>
      <c r="I193" s="57"/>
      <c r="J193" s="57"/>
      <c r="K193" s="194"/>
      <c r="L193" s="73"/>
      <c r="M193" s="57"/>
      <c r="N193" s="100"/>
      <c r="O193" s="101" t="s">
        <v>68</v>
      </c>
      <c r="P193" s="101"/>
      <c r="Q193" s="101"/>
      <c r="R193" s="101"/>
      <c r="S193" s="105"/>
      <c r="T193" s="101" t="s">
        <v>68</v>
      </c>
      <c r="U193" s="177"/>
      <c r="V193" s="103"/>
      <c r="W193" s="177" t="str">
        <f t="shared" si="32"/>
        <v/>
      </c>
      <c r="X193" s="103"/>
      <c r="Y193" s="177" t="str">
        <f t="shared" si="33"/>
        <v/>
      </c>
      <c r="Z193" s="92"/>
    </row>
    <row r="194" spans="1:27" s="55" customFormat="1" ht="21" customHeight="1" x14ac:dyDescent="0.25">
      <c r="A194" s="56"/>
      <c r="B194" s="284" t="s">
        <v>116</v>
      </c>
      <c r="C194" s="284"/>
      <c r="D194" s="284"/>
      <c r="E194" s="284"/>
      <c r="F194" s="284"/>
      <c r="G194" s="284"/>
      <c r="H194" s="284"/>
      <c r="I194" s="284"/>
      <c r="J194" s="284"/>
      <c r="K194" s="284"/>
      <c r="L194" s="73"/>
      <c r="M194" s="57"/>
      <c r="N194" s="100"/>
      <c r="O194" s="101" t="s">
        <v>73</v>
      </c>
      <c r="P194" s="101"/>
      <c r="Q194" s="101"/>
      <c r="R194" s="101"/>
      <c r="S194" s="105"/>
      <c r="T194" s="101" t="s">
        <v>73</v>
      </c>
      <c r="U194" s="177"/>
      <c r="V194" s="103"/>
      <c r="W194" s="177" t="str">
        <f t="shared" si="32"/>
        <v/>
      </c>
      <c r="X194" s="103"/>
      <c r="Y194" s="177" t="str">
        <f t="shared" si="33"/>
        <v/>
      </c>
      <c r="Z194" s="92"/>
    </row>
    <row r="195" spans="1:27" s="55" customFormat="1" ht="21" customHeight="1" x14ac:dyDescent="0.25">
      <c r="A195" s="56"/>
      <c r="B195" s="284"/>
      <c r="C195" s="284"/>
      <c r="D195" s="284"/>
      <c r="E195" s="284"/>
      <c r="F195" s="284"/>
      <c r="G195" s="284"/>
      <c r="H195" s="284"/>
      <c r="I195" s="284"/>
      <c r="J195" s="284"/>
      <c r="K195" s="284"/>
      <c r="L195" s="73"/>
      <c r="M195" s="57"/>
      <c r="N195" s="100"/>
      <c r="O195" s="101" t="s">
        <v>74</v>
      </c>
      <c r="P195" s="101"/>
      <c r="Q195" s="101"/>
      <c r="R195" s="101"/>
      <c r="S195" s="105"/>
      <c r="T195" s="101" t="s">
        <v>74</v>
      </c>
      <c r="U195" s="177"/>
      <c r="V195" s="103"/>
      <c r="W195" s="177" t="str">
        <f t="shared" si="32"/>
        <v/>
      </c>
      <c r="X195" s="103"/>
      <c r="Y195" s="177" t="str">
        <f t="shared" si="33"/>
        <v/>
      </c>
      <c r="Z195" s="92"/>
    </row>
    <row r="196" spans="1:27" s="55" customFormat="1" ht="21" customHeight="1" thickBot="1" x14ac:dyDescent="0.3">
      <c r="A196" s="86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8"/>
      <c r="N196" s="107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92"/>
    </row>
    <row r="197" spans="1:27" s="57" customFormat="1" ht="21" customHeight="1" thickBot="1" x14ac:dyDescent="0.3"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</row>
    <row r="198" spans="1:27" s="55" customFormat="1" ht="21" customHeight="1" x14ac:dyDescent="0.25">
      <c r="A198" s="297" t="s">
        <v>56</v>
      </c>
      <c r="B198" s="298"/>
      <c r="C198" s="298"/>
      <c r="D198" s="298"/>
      <c r="E198" s="298"/>
      <c r="F198" s="298"/>
      <c r="G198" s="298"/>
      <c r="H198" s="298"/>
      <c r="I198" s="298"/>
      <c r="J198" s="298"/>
      <c r="K198" s="298"/>
      <c r="L198" s="299"/>
      <c r="M198" s="54"/>
      <c r="N198" s="93"/>
      <c r="O198" s="285" t="s">
        <v>58</v>
      </c>
      <c r="P198" s="286"/>
      <c r="Q198" s="286"/>
      <c r="R198" s="287"/>
      <c r="S198" s="94"/>
      <c r="T198" s="285" t="s">
        <v>59</v>
      </c>
      <c r="U198" s="286"/>
      <c r="V198" s="286"/>
      <c r="W198" s="286"/>
      <c r="X198" s="286"/>
      <c r="Y198" s="287"/>
      <c r="Z198" s="95"/>
      <c r="AA198" s="54"/>
    </row>
    <row r="199" spans="1:27" s="55" customFormat="1" ht="21" customHeight="1" x14ac:dyDescent="0.25">
      <c r="A199" s="56"/>
      <c r="B199" s="57"/>
      <c r="C199" s="288" t="s">
        <v>114</v>
      </c>
      <c r="D199" s="288"/>
      <c r="E199" s="288"/>
      <c r="F199" s="288"/>
      <c r="G199" s="58" t="str">
        <f>$J$1</f>
        <v>June</v>
      </c>
      <c r="H199" s="289">
        <f>$K$1</f>
        <v>2019</v>
      </c>
      <c r="I199" s="289"/>
      <c r="J199" s="57"/>
      <c r="K199" s="59"/>
      <c r="L199" s="60"/>
      <c r="M199" s="59"/>
      <c r="N199" s="96"/>
      <c r="O199" s="97" t="s">
        <v>69</v>
      </c>
      <c r="P199" s="97" t="s">
        <v>7</v>
      </c>
      <c r="Q199" s="97" t="s">
        <v>6</v>
      </c>
      <c r="R199" s="97" t="s">
        <v>70</v>
      </c>
      <c r="S199" s="98"/>
      <c r="T199" s="97" t="s">
        <v>69</v>
      </c>
      <c r="U199" s="97" t="s">
        <v>71</v>
      </c>
      <c r="V199" s="97" t="s">
        <v>29</v>
      </c>
      <c r="W199" s="97" t="s">
        <v>28</v>
      </c>
      <c r="X199" s="97" t="s">
        <v>30</v>
      </c>
      <c r="Y199" s="97" t="s">
        <v>75</v>
      </c>
      <c r="Z199" s="99"/>
      <c r="AA199" s="59"/>
    </row>
    <row r="200" spans="1:27" s="55" customFormat="1" ht="21" customHeight="1" x14ac:dyDescent="0.25">
      <c r="A200" s="56"/>
      <c r="B200" s="57"/>
      <c r="C200" s="57"/>
      <c r="D200" s="62"/>
      <c r="E200" s="62"/>
      <c r="F200" s="62"/>
      <c r="G200" s="62"/>
      <c r="H200" s="62"/>
      <c r="I200" s="57"/>
      <c r="J200" s="63" t="s">
        <v>1</v>
      </c>
      <c r="K200" s="64">
        <v>29000</v>
      </c>
      <c r="L200" s="65"/>
      <c r="M200" s="57"/>
      <c r="N200" s="100"/>
      <c r="O200" s="101" t="s">
        <v>61</v>
      </c>
      <c r="P200" s="101">
        <v>31</v>
      </c>
      <c r="Q200" s="101">
        <v>0</v>
      </c>
      <c r="R200" s="101">
        <f>15-Q200</f>
        <v>15</v>
      </c>
      <c r="S200" s="102"/>
      <c r="T200" s="101" t="s">
        <v>61</v>
      </c>
      <c r="U200" s="103">
        <v>2000</v>
      </c>
      <c r="V200" s="103">
        <f>500+500+500</f>
        <v>1500</v>
      </c>
      <c r="W200" s="103">
        <f>V200+U200</f>
        <v>3500</v>
      </c>
      <c r="X200" s="103">
        <v>1000</v>
      </c>
      <c r="Y200" s="103">
        <f>W200-X200</f>
        <v>2500</v>
      </c>
      <c r="Z200" s="99"/>
      <c r="AA200" s="57"/>
    </row>
    <row r="201" spans="1:27" s="55" customFormat="1" ht="21" customHeight="1" x14ac:dyDescent="0.25">
      <c r="A201" s="56"/>
      <c r="B201" s="57" t="s">
        <v>0</v>
      </c>
      <c r="C201" s="67" t="s">
        <v>107</v>
      </c>
      <c r="D201" s="57"/>
      <c r="E201" s="57"/>
      <c r="F201" s="57"/>
      <c r="G201" s="57"/>
      <c r="H201" s="68"/>
      <c r="I201" s="62"/>
      <c r="J201" s="57"/>
      <c r="K201" s="57"/>
      <c r="L201" s="69"/>
      <c r="M201" s="54"/>
      <c r="N201" s="104"/>
      <c r="O201" s="101" t="s">
        <v>87</v>
      </c>
      <c r="P201" s="101">
        <v>27</v>
      </c>
      <c r="Q201" s="101">
        <v>1</v>
      </c>
      <c r="R201" s="101">
        <f>IF(Q201="","",R200-Q201)</f>
        <v>14</v>
      </c>
      <c r="S201" s="105"/>
      <c r="T201" s="101" t="s">
        <v>87</v>
      </c>
      <c r="U201" s="177">
        <f>Y200</f>
        <v>2500</v>
      </c>
      <c r="V201" s="103">
        <v>1500</v>
      </c>
      <c r="W201" s="177">
        <f>IF(U201="","",U201+V201)</f>
        <v>4000</v>
      </c>
      <c r="X201" s="103">
        <v>1000</v>
      </c>
      <c r="Y201" s="177">
        <f>IF(W201="","",W201-X201)</f>
        <v>3000</v>
      </c>
      <c r="Z201" s="106"/>
      <c r="AA201" s="54"/>
    </row>
    <row r="202" spans="1:27" s="55" customFormat="1" ht="21" customHeight="1" x14ac:dyDescent="0.25">
      <c r="A202" s="56"/>
      <c r="B202" s="71" t="s">
        <v>57</v>
      </c>
      <c r="C202" s="72"/>
      <c r="D202" s="57"/>
      <c r="E202" s="57"/>
      <c r="F202" s="290" t="s">
        <v>59</v>
      </c>
      <c r="G202" s="290"/>
      <c r="H202" s="57"/>
      <c r="I202" s="290" t="s">
        <v>60</v>
      </c>
      <c r="J202" s="290"/>
      <c r="K202" s="290"/>
      <c r="L202" s="73"/>
      <c r="M202" s="57"/>
      <c r="N202" s="100"/>
      <c r="O202" s="101" t="s">
        <v>62</v>
      </c>
      <c r="P202" s="101">
        <v>30</v>
      </c>
      <c r="Q202" s="101">
        <v>1</v>
      </c>
      <c r="R202" s="101">
        <f t="shared" ref="R202:R207" si="34">IF(Q202="","",R201-Q202)</f>
        <v>13</v>
      </c>
      <c r="S202" s="105"/>
      <c r="T202" s="101" t="s">
        <v>62</v>
      </c>
      <c r="U202" s="177">
        <f>Y201</f>
        <v>3000</v>
      </c>
      <c r="V202" s="103">
        <v>1000</v>
      </c>
      <c r="W202" s="177">
        <f t="shared" ref="W202:W211" si="35">IF(U202="","",U202+V202)</f>
        <v>4000</v>
      </c>
      <c r="X202" s="103">
        <v>1000</v>
      </c>
      <c r="Y202" s="177">
        <f t="shared" ref="Y202:Y211" si="36">IF(W202="","",W202-X202)</f>
        <v>3000</v>
      </c>
      <c r="Z202" s="106"/>
      <c r="AA202" s="57"/>
    </row>
    <row r="203" spans="1:27" s="55" customFormat="1" ht="21" customHeight="1" x14ac:dyDescent="0.25">
      <c r="A203" s="56"/>
      <c r="B203" s="57"/>
      <c r="C203" s="57"/>
      <c r="D203" s="57"/>
      <c r="E203" s="57"/>
      <c r="F203" s="57"/>
      <c r="G203" s="57"/>
      <c r="H203" s="74"/>
      <c r="L203" s="61"/>
      <c r="M203" s="57"/>
      <c r="N203" s="100"/>
      <c r="O203" s="101" t="s">
        <v>63</v>
      </c>
      <c r="P203" s="101">
        <v>30</v>
      </c>
      <c r="Q203" s="101">
        <v>0</v>
      </c>
      <c r="R203" s="101">
        <f t="shared" si="34"/>
        <v>13</v>
      </c>
      <c r="S203" s="105"/>
      <c r="T203" s="101" t="s">
        <v>63</v>
      </c>
      <c r="U203" s="177">
        <f>Y202</f>
        <v>3000</v>
      </c>
      <c r="V203" s="103">
        <v>1000</v>
      </c>
      <c r="W203" s="177">
        <f t="shared" si="35"/>
        <v>4000</v>
      </c>
      <c r="X203" s="103">
        <v>1000</v>
      </c>
      <c r="Y203" s="177">
        <f t="shared" si="36"/>
        <v>3000</v>
      </c>
      <c r="Z203" s="106"/>
      <c r="AA203" s="57"/>
    </row>
    <row r="204" spans="1:27" s="55" customFormat="1" ht="21" customHeight="1" x14ac:dyDescent="0.25">
      <c r="A204" s="56"/>
      <c r="B204" s="291" t="s">
        <v>58</v>
      </c>
      <c r="C204" s="292"/>
      <c r="D204" s="57"/>
      <c r="E204" s="57"/>
      <c r="F204" s="75" t="s">
        <v>80</v>
      </c>
      <c r="G204" s="70">
        <f>IF($J$1="January",U200,IF($J$1="February",U201,IF($J$1="March",U202,IF($J$1="April",U203,IF($J$1="May",U204,IF($J$1="June",U205,IF($J$1="July",U206,IF($J$1="August",U207,IF($J$1="August",U207,IF($J$1="September",U208,IF($J$1="October",U209,IF($J$1="November",U210,IF($J$1="December",U211)))))))))))))</f>
        <v>5000</v>
      </c>
      <c r="H204" s="74"/>
      <c r="I204" s="76">
        <f>IF(C208&gt;0,$K$2,C206)</f>
        <v>30</v>
      </c>
      <c r="J204" s="77" t="s">
        <v>77</v>
      </c>
      <c r="K204" s="78">
        <f>K200/$K$2*I204</f>
        <v>29000</v>
      </c>
      <c r="L204" s="79"/>
      <c r="M204" s="57"/>
      <c r="N204" s="100"/>
      <c r="O204" s="101" t="s">
        <v>64</v>
      </c>
      <c r="P204" s="101">
        <v>30</v>
      </c>
      <c r="Q204" s="101">
        <v>1</v>
      </c>
      <c r="R204" s="101">
        <f t="shared" si="34"/>
        <v>12</v>
      </c>
      <c r="S204" s="105"/>
      <c r="T204" s="101" t="s">
        <v>64</v>
      </c>
      <c r="U204" s="177">
        <f>Y203</f>
        <v>3000</v>
      </c>
      <c r="V204" s="103">
        <v>3000</v>
      </c>
      <c r="W204" s="177">
        <f t="shared" si="35"/>
        <v>6000</v>
      </c>
      <c r="X204" s="103">
        <v>1000</v>
      </c>
      <c r="Y204" s="177">
        <f t="shared" si="36"/>
        <v>5000</v>
      </c>
      <c r="Z204" s="106"/>
      <c r="AA204" s="57"/>
    </row>
    <row r="205" spans="1:27" s="55" customFormat="1" ht="21" customHeight="1" x14ac:dyDescent="0.25">
      <c r="A205" s="56"/>
      <c r="B205" s="66"/>
      <c r="C205" s="66"/>
      <c r="D205" s="57"/>
      <c r="E205" s="57"/>
      <c r="F205" s="75" t="s">
        <v>29</v>
      </c>
      <c r="G205" s="70">
        <f>IF($J$1="January",V200,IF($J$1="February",V201,IF($J$1="March",V202,IF($J$1="April",V203,IF($J$1="May",V204,IF($J$1="June",V205,IF($J$1="July",V206,IF($J$1="August",V207,IF($J$1="August",V207,IF($J$1="September",V208,IF($J$1="October",V209,IF($J$1="November",V210,IF($J$1="December",V211)))))))))))))</f>
        <v>0</v>
      </c>
      <c r="H205" s="74"/>
      <c r="I205" s="209"/>
      <c r="J205" s="77" t="s">
        <v>78</v>
      </c>
      <c r="K205" s="80">
        <f>K200/$K$2/8*I205</f>
        <v>0</v>
      </c>
      <c r="L205" s="81"/>
      <c r="M205" s="57"/>
      <c r="N205" s="100"/>
      <c r="O205" s="101" t="s">
        <v>65</v>
      </c>
      <c r="P205" s="101">
        <v>29</v>
      </c>
      <c r="Q205" s="101">
        <v>1</v>
      </c>
      <c r="R205" s="101">
        <f t="shared" si="34"/>
        <v>11</v>
      </c>
      <c r="S205" s="105"/>
      <c r="T205" s="101" t="s">
        <v>65</v>
      </c>
      <c r="U205" s="177">
        <f>Y204</f>
        <v>5000</v>
      </c>
      <c r="V205" s="103"/>
      <c r="W205" s="177">
        <f t="shared" si="35"/>
        <v>5000</v>
      </c>
      <c r="X205" s="103">
        <v>1000</v>
      </c>
      <c r="Y205" s="177">
        <f t="shared" si="36"/>
        <v>4000</v>
      </c>
      <c r="Z205" s="106"/>
      <c r="AA205" s="57"/>
    </row>
    <row r="206" spans="1:27" s="55" customFormat="1" ht="21" customHeight="1" x14ac:dyDescent="0.25">
      <c r="A206" s="56"/>
      <c r="B206" s="75" t="s">
        <v>7</v>
      </c>
      <c r="C206" s="66">
        <f>IF($J$1="January",P200,IF($J$1="February",P201,IF($J$1="March",P202,IF($J$1="April",P203,IF($J$1="May",P204,IF($J$1="June",P205,IF($J$1="July",P206,IF($J$1="August",P207,IF($J$1="August",P207,IF($J$1="September",P208,IF($J$1="October",P209,IF($J$1="November",P210,IF($J$1="December",P211)))))))))))))</f>
        <v>29</v>
      </c>
      <c r="D206" s="57"/>
      <c r="E206" s="57"/>
      <c r="F206" s="75" t="s">
        <v>81</v>
      </c>
      <c r="G206" s="70">
        <f>IF($J$1="January",W200,IF($J$1="February",W201,IF($J$1="March",W202,IF($J$1="April",W203,IF($J$1="May",W204,IF($J$1="June",W205,IF($J$1="July",W206,IF($J$1="August",W207,IF($J$1="August",W207,IF($J$1="September",W208,IF($J$1="October",W209,IF($J$1="November",W210,IF($J$1="December",W211)))))))))))))</f>
        <v>5000</v>
      </c>
      <c r="H206" s="74"/>
      <c r="I206" s="293" t="s">
        <v>85</v>
      </c>
      <c r="J206" s="294"/>
      <c r="K206" s="80">
        <f>K204+K205</f>
        <v>29000</v>
      </c>
      <c r="L206" s="81"/>
      <c r="M206" s="57"/>
      <c r="N206" s="100"/>
      <c r="O206" s="101" t="s">
        <v>66</v>
      </c>
      <c r="P206" s="101"/>
      <c r="Q206" s="101"/>
      <c r="R206" s="101" t="str">
        <f t="shared" si="34"/>
        <v/>
      </c>
      <c r="S206" s="105"/>
      <c r="T206" s="101" t="s">
        <v>66</v>
      </c>
      <c r="U206" s="177"/>
      <c r="V206" s="103"/>
      <c r="W206" s="177" t="str">
        <f t="shared" si="35"/>
        <v/>
      </c>
      <c r="X206" s="103"/>
      <c r="Y206" s="177" t="str">
        <f t="shared" si="36"/>
        <v/>
      </c>
      <c r="Z206" s="106"/>
      <c r="AA206" s="57"/>
    </row>
    <row r="207" spans="1:27" s="55" customFormat="1" ht="21" customHeight="1" x14ac:dyDescent="0.25">
      <c r="A207" s="56"/>
      <c r="B207" s="75" t="s">
        <v>6</v>
      </c>
      <c r="C207" s="66">
        <f>IF($J$1="January",Q200,IF($J$1="February",Q201,IF($J$1="March",Q202,IF($J$1="April",Q203,IF($J$1="May",Q204,IF($J$1="June",Q205,IF($J$1="July",Q206,IF($J$1="August",Q207,IF($J$1="August",Q207,IF($J$1="September",Q208,IF($J$1="October",Q209,IF($J$1="November",Q210,IF($J$1="December",Q211)))))))))))))</f>
        <v>1</v>
      </c>
      <c r="D207" s="57"/>
      <c r="E207" s="57"/>
      <c r="F207" s="75" t="s">
        <v>30</v>
      </c>
      <c r="G207" s="70">
        <f>IF($J$1="January",X200,IF($J$1="February",X201,IF($J$1="March",X202,IF($J$1="April",X203,IF($J$1="May",X204,IF($J$1="June",X205,IF($J$1="July",X206,IF($J$1="August",X207,IF($J$1="August",X207,IF($J$1="September",X208,IF($J$1="October",X209,IF($J$1="November",X210,IF($J$1="December",X211)))))))))))))</f>
        <v>1000</v>
      </c>
      <c r="H207" s="74"/>
      <c r="I207" s="293" t="s">
        <v>86</v>
      </c>
      <c r="J207" s="294"/>
      <c r="K207" s="70">
        <f>G207</f>
        <v>1000</v>
      </c>
      <c r="L207" s="82"/>
      <c r="M207" s="57"/>
      <c r="N207" s="100"/>
      <c r="O207" s="101" t="s">
        <v>67</v>
      </c>
      <c r="P207" s="101"/>
      <c r="Q207" s="101"/>
      <c r="R207" s="101" t="str">
        <f t="shared" si="34"/>
        <v/>
      </c>
      <c r="S207" s="105"/>
      <c r="T207" s="101" t="s">
        <v>67</v>
      </c>
      <c r="U207" s="177"/>
      <c r="V207" s="103"/>
      <c r="W207" s="177" t="str">
        <f t="shared" si="35"/>
        <v/>
      </c>
      <c r="X207" s="103"/>
      <c r="Y207" s="177" t="str">
        <f t="shared" si="36"/>
        <v/>
      </c>
      <c r="Z207" s="106"/>
      <c r="AA207" s="57"/>
    </row>
    <row r="208" spans="1:27" s="55" customFormat="1" ht="21" customHeight="1" x14ac:dyDescent="0.25">
      <c r="A208" s="56"/>
      <c r="B208" s="83" t="s">
        <v>84</v>
      </c>
      <c r="C208" s="66">
        <f>IF($J$1="January",R200,IF($J$1="February",R201,IF($J$1="March",R202,IF($J$1="April",R203,IF($J$1="May",R204,IF($J$1="June",R205,IF($J$1="July",R206,IF($J$1="August",R207,IF($J$1="August",R207,IF($J$1="September",R208,IF($J$1="October",R209,IF($J$1="November",R210,IF($J$1="December",R211)))))))))))))</f>
        <v>11</v>
      </c>
      <c r="D208" s="57"/>
      <c r="E208" s="57"/>
      <c r="F208" s="75" t="s">
        <v>83</v>
      </c>
      <c r="G208" s="70">
        <f>IF($J$1="January",Y200,IF($J$1="February",Y201,IF($J$1="March",Y202,IF($J$1="April",Y203,IF($J$1="May",Y204,IF($J$1="June",Y205,IF($J$1="July",Y206,IF($J$1="August",Y207,IF($J$1="August",Y207,IF($J$1="September",Y208,IF($J$1="October",Y209,IF($J$1="November",Y210,IF($J$1="December",Y211)))))))))))))</f>
        <v>4000</v>
      </c>
      <c r="H208" s="57"/>
      <c r="I208" s="295" t="s">
        <v>79</v>
      </c>
      <c r="J208" s="296"/>
      <c r="K208" s="84">
        <f>K206-K207</f>
        <v>28000</v>
      </c>
      <c r="L208" s="85"/>
      <c r="M208" s="57"/>
      <c r="N208" s="100"/>
      <c r="O208" s="101" t="s">
        <v>72</v>
      </c>
      <c r="P208" s="101"/>
      <c r="Q208" s="101"/>
      <c r="R208" s="101"/>
      <c r="S208" s="105"/>
      <c r="T208" s="101" t="s">
        <v>72</v>
      </c>
      <c r="U208" s="177"/>
      <c r="V208" s="103"/>
      <c r="W208" s="177" t="str">
        <f t="shared" si="35"/>
        <v/>
      </c>
      <c r="X208" s="103"/>
      <c r="Y208" s="177" t="str">
        <f t="shared" si="36"/>
        <v/>
      </c>
      <c r="Z208" s="106"/>
      <c r="AA208" s="57"/>
    </row>
    <row r="209" spans="1:27" s="55" customFormat="1" ht="21" customHeight="1" x14ac:dyDescent="0.25">
      <c r="A209" s="56"/>
      <c r="B209" s="57"/>
      <c r="C209" s="57"/>
      <c r="D209" s="57"/>
      <c r="E209" s="57"/>
      <c r="F209" s="57"/>
      <c r="G209" s="57"/>
      <c r="H209" s="57"/>
      <c r="I209" s="57"/>
      <c r="J209" s="57"/>
      <c r="K209" s="194"/>
      <c r="L209" s="73"/>
      <c r="M209" s="57"/>
      <c r="N209" s="100"/>
      <c r="O209" s="101" t="s">
        <v>68</v>
      </c>
      <c r="P209" s="101"/>
      <c r="Q209" s="101"/>
      <c r="R209" s="101"/>
      <c r="S209" s="105"/>
      <c r="T209" s="101" t="s">
        <v>68</v>
      </c>
      <c r="U209" s="177"/>
      <c r="V209" s="103"/>
      <c r="W209" s="177" t="str">
        <f t="shared" si="35"/>
        <v/>
      </c>
      <c r="X209" s="103"/>
      <c r="Y209" s="177" t="str">
        <f t="shared" si="36"/>
        <v/>
      </c>
      <c r="Z209" s="106"/>
      <c r="AA209" s="57"/>
    </row>
    <row r="210" spans="1:27" s="55" customFormat="1" ht="21" customHeight="1" x14ac:dyDescent="0.25">
      <c r="A210" s="56"/>
      <c r="B210" s="284" t="s">
        <v>116</v>
      </c>
      <c r="C210" s="284"/>
      <c r="D210" s="284"/>
      <c r="E210" s="284"/>
      <c r="F210" s="284"/>
      <c r="G210" s="284"/>
      <c r="H210" s="284"/>
      <c r="I210" s="284"/>
      <c r="J210" s="284"/>
      <c r="K210" s="284"/>
      <c r="L210" s="73"/>
      <c r="M210" s="57"/>
      <c r="N210" s="100"/>
      <c r="O210" s="101" t="s">
        <v>73</v>
      </c>
      <c r="P210" s="101"/>
      <c r="Q210" s="101"/>
      <c r="R210" s="101"/>
      <c r="S210" s="105"/>
      <c r="T210" s="101" t="s">
        <v>73</v>
      </c>
      <c r="U210" s="177"/>
      <c r="V210" s="103"/>
      <c r="W210" s="177" t="str">
        <f t="shared" si="35"/>
        <v/>
      </c>
      <c r="X210" s="103"/>
      <c r="Y210" s="177" t="str">
        <f t="shared" si="36"/>
        <v/>
      </c>
      <c r="Z210" s="106"/>
      <c r="AA210" s="57"/>
    </row>
    <row r="211" spans="1:27" s="55" customFormat="1" ht="21" customHeight="1" x14ac:dyDescent="0.25">
      <c r="A211" s="56"/>
      <c r="B211" s="284"/>
      <c r="C211" s="284"/>
      <c r="D211" s="284"/>
      <c r="E211" s="284"/>
      <c r="F211" s="284"/>
      <c r="G211" s="284"/>
      <c r="H211" s="284"/>
      <c r="I211" s="284"/>
      <c r="J211" s="284"/>
      <c r="K211" s="284"/>
      <c r="L211" s="73"/>
      <c r="M211" s="57"/>
      <c r="N211" s="100"/>
      <c r="O211" s="101" t="s">
        <v>74</v>
      </c>
      <c r="P211" s="101"/>
      <c r="Q211" s="101"/>
      <c r="R211" s="101"/>
      <c r="S211" s="105"/>
      <c r="T211" s="101" t="s">
        <v>74</v>
      </c>
      <c r="U211" s="177"/>
      <c r="V211" s="103"/>
      <c r="W211" s="177" t="str">
        <f t="shared" si="35"/>
        <v/>
      </c>
      <c r="X211" s="103"/>
      <c r="Y211" s="177" t="str">
        <f t="shared" si="36"/>
        <v/>
      </c>
      <c r="Z211" s="106"/>
      <c r="AA211" s="57"/>
    </row>
    <row r="212" spans="1:27" s="55" customFormat="1" ht="21" customHeight="1" thickBot="1" x14ac:dyDescent="0.3">
      <c r="A212" s="86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8"/>
      <c r="N212" s="107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9"/>
    </row>
    <row r="213" spans="1:27" s="57" customFormat="1" ht="21" customHeight="1" thickBot="1" x14ac:dyDescent="0.3"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</row>
    <row r="214" spans="1:27" s="55" customFormat="1" ht="21" customHeight="1" x14ac:dyDescent="0.25">
      <c r="A214" s="297" t="s">
        <v>56</v>
      </c>
      <c r="B214" s="298"/>
      <c r="C214" s="298"/>
      <c r="D214" s="298"/>
      <c r="E214" s="298"/>
      <c r="F214" s="298"/>
      <c r="G214" s="298"/>
      <c r="H214" s="298"/>
      <c r="I214" s="298"/>
      <c r="J214" s="298"/>
      <c r="K214" s="298"/>
      <c r="L214" s="299"/>
      <c r="M214" s="54"/>
      <c r="N214" s="93"/>
      <c r="O214" s="285" t="s">
        <v>58</v>
      </c>
      <c r="P214" s="286"/>
      <c r="Q214" s="286"/>
      <c r="R214" s="287"/>
      <c r="S214" s="94"/>
      <c r="T214" s="285" t="s">
        <v>59</v>
      </c>
      <c r="U214" s="286"/>
      <c r="V214" s="286"/>
      <c r="W214" s="286"/>
      <c r="X214" s="286"/>
      <c r="Y214" s="287"/>
      <c r="Z214" s="95"/>
      <c r="AA214" s="54"/>
    </row>
    <row r="215" spans="1:27" s="55" customFormat="1" ht="21" customHeight="1" x14ac:dyDescent="0.25">
      <c r="A215" s="56"/>
      <c r="B215" s="57"/>
      <c r="C215" s="288" t="s">
        <v>114</v>
      </c>
      <c r="D215" s="288"/>
      <c r="E215" s="288"/>
      <c r="F215" s="288"/>
      <c r="G215" s="58" t="str">
        <f>$J$1</f>
        <v>June</v>
      </c>
      <c r="H215" s="289">
        <f>$K$1</f>
        <v>2019</v>
      </c>
      <c r="I215" s="289"/>
      <c r="J215" s="57"/>
      <c r="K215" s="59"/>
      <c r="L215" s="60"/>
      <c r="M215" s="59"/>
      <c r="N215" s="96"/>
      <c r="O215" s="97" t="s">
        <v>69</v>
      </c>
      <c r="P215" s="97" t="s">
        <v>7</v>
      </c>
      <c r="Q215" s="97" t="s">
        <v>6</v>
      </c>
      <c r="R215" s="97" t="s">
        <v>70</v>
      </c>
      <c r="S215" s="98"/>
      <c r="T215" s="97" t="s">
        <v>69</v>
      </c>
      <c r="U215" s="97" t="s">
        <v>71</v>
      </c>
      <c r="V215" s="97" t="s">
        <v>29</v>
      </c>
      <c r="W215" s="97" t="s">
        <v>28</v>
      </c>
      <c r="X215" s="97" t="s">
        <v>30</v>
      </c>
      <c r="Y215" s="97" t="s">
        <v>75</v>
      </c>
      <c r="Z215" s="99"/>
      <c r="AA215" s="59"/>
    </row>
    <row r="216" spans="1:27" s="55" customFormat="1" ht="21" customHeight="1" x14ac:dyDescent="0.25">
      <c r="A216" s="56"/>
      <c r="B216" s="57"/>
      <c r="C216" s="57"/>
      <c r="D216" s="62"/>
      <c r="E216" s="62"/>
      <c r="F216" s="62"/>
      <c r="G216" s="62"/>
      <c r="H216" s="62"/>
      <c r="I216" s="57"/>
      <c r="J216" s="63" t="s">
        <v>1</v>
      </c>
      <c r="K216" s="64">
        <v>14500</v>
      </c>
      <c r="L216" s="65"/>
      <c r="M216" s="57"/>
      <c r="N216" s="100"/>
      <c r="O216" s="101" t="s">
        <v>61</v>
      </c>
      <c r="P216" s="101"/>
      <c r="Q216" s="101"/>
      <c r="R216" s="101"/>
      <c r="S216" s="102"/>
      <c r="T216" s="101" t="s">
        <v>61</v>
      </c>
      <c r="U216" s="103">
        <v>2000</v>
      </c>
      <c r="V216" s="103"/>
      <c r="W216" s="103">
        <f>V216+U216</f>
        <v>2000</v>
      </c>
      <c r="X216" s="103">
        <v>2000</v>
      </c>
      <c r="Y216" s="103">
        <f>W216-X216</f>
        <v>0</v>
      </c>
      <c r="Z216" s="99"/>
      <c r="AA216" s="57"/>
    </row>
    <row r="217" spans="1:27" s="55" customFormat="1" ht="21" customHeight="1" x14ac:dyDescent="0.25">
      <c r="A217" s="56"/>
      <c r="B217" s="57" t="s">
        <v>0</v>
      </c>
      <c r="C217" s="67" t="s">
        <v>182</v>
      </c>
      <c r="D217" s="57"/>
      <c r="E217" s="57"/>
      <c r="F217" s="57"/>
      <c r="G217" s="57"/>
      <c r="H217" s="68"/>
      <c r="I217" s="62"/>
      <c r="J217" s="57"/>
      <c r="K217" s="57"/>
      <c r="L217" s="69"/>
      <c r="M217" s="54"/>
      <c r="N217" s="104"/>
      <c r="O217" s="101" t="s">
        <v>87</v>
      </c>
      <c r="P217" s="101"/>
      <c r="Q217" s="101"/>
      <c r="R217" s="101"/>
      <c r="S217" s="105"/>
      <c r="T217" s="101" t="s">
        <v>87</v>
      </c>
      <c r="U217" s="177"/>
      <c r="V217" s="103"/>
      <c r="W217" s="103">
        <f>V217+U217</f>
        <v>0</v>
      </c>
      <c r="X217" s="103"/>
      <c r="Y217" s="177">
        <f>IF(W217="","",W217-X217)</f>
        <v>0</v>
      </c>
      <c r="Z217" s="106"/>
      <c r="AA217" s="54"/>
    </row>
    <row r="218" spans="1:27" s="55" customFormat="1" ht="21" customHeight="1" x14ac:dyDescent="0.25">
      <c r="A218" s="56"/>
      <c r="B218" s="71" t="s">
        <v>57</v>
      </c>
      <c r="C218" s="72"/>
      <c r="D218" s="57"/>
      <c r="E218" s="57"/>
      <c r="F218" s="290" t="s">
        <v>59</v>
      </c>
      <c r="G218" s="290"/>
      <c r="H218" s="57"/>
      <c r="I218" s="290" t="s">
        <v>60</v>
      </c>
      <c r="J218" s="290"/>
      <c r="K218" s="290"/>
      <c r="L218" s="73"/>
      <c r="M218" s="57"/>
      <c r="N218" s="100"/>
      <c r="O218" s="101" t="s">
        <v>62</v>
      </c>
      <c r="P218" s="101"/>
      <c r="Q218" s="101"/>
      <c r="R218" s="101" t="str">
        <f t="shared" ref="R218:R227" si="37">IF(Q218="","",R217-Q218)</f>
        <v/>
      </c>
      <c r="S218" s="105"/>
      <c r="T218" s="101" t="s">
        <v>62</v>
      </c>
      <c r="U218" s="177"/>
      <c r="V218" s="103">
        <v>15000</v>
      </c>
      <c r="W218" s="103">
        <f>V218+U218</f>
        <v>15000</v>
      </c>
      <c r="X218" s="103">
        <v>14500</v>
      </c>
      <c r="Y218" s="177">
        <f t="shared" ref="Y218:Y227" si="38">IF(W218="","",W218-X218)</f>
        <v>500</v>
      </c>
      <c r="Z218" s="106"/>
      <c r="AA218" s="57"/>
    </row>
    <row r="219" spans="1:27" s="55" customFormat="1" ht="21" customHeight="1" x14ac:dyDescent="0.25">
      <c r="A219" s="56"/>
      <c r="B219" s="57"/>
      <c r="C219" s="57"/>
      <c r="D219" s="57"/>
      <c r="E219" s="57"/>
      <c r="F219" s="57"/>
      <c r="G219" s="57"/>
      <c r="H219" s="74"/>
      <c r="L219" s="61"/>
      <c r="M219" s="57"/>
      <c r="N219" s="100"/>
      <c r="O219" s="101" t="s">
        <v>63</v>
      </c>
      <c r="P219" s="101"/>
      <c r="Q219" s="101"/>
      <c r="R219" s="101" t="str">
        <f t="shared" si="37"/>
        <v/>
      </c>
      <c r="S219" s="105"/>
      <c r="T219" s="101" t="s">
        <v>63</v>
      </c>
      <c r="U219" s="177">
        <f>Y218</f>
        <v>500</v>
      </c>
      <c r="V219" s="103"/>
      <c r="W219" s="177">
        <f t="shared" ref="W219:W227" si="39">IF(U219="","",U219+V219)</f>
        <v>500</v>
      </c>
      <c r="X219" s="103">
        <v>500</v>
      </c>
      <c r="Y219" s="177">
        <f t="shared" si="38"/>
        <v>0</v>
      </c>
      <c r="Z219" s="106"/>
      <c r="AA219" s="57"/>
    </row>
    <row r="220" spans="1:27" s="55" customFormat="1" ht="21" customHeight="1" x14ac:dyDescent="0.25">
      <c r="A220" s="56"/>
      <c r="B220" s="291" t="s">
        <v>58</v>
      </c>
      <c r="C220" s="292"/>
      <c r="D220" s="57"/>
      <c r="E220" s="57"/>
      <c r="F220" s="75" t="s">
        <v>80</v>
      </c>
      <c r="G220" s="70">
        <f>IF($J$1="January",U216,IF($J$1="February",U217,IF($J$1="March",U218,IF($J$1="April",U219,IF($J$1="May",U220,IF($J$1="June",U221,IF($J$1="July",U222,IF($J$1="August",U223,IF($J$1="August",U223,IF($J$1="September",U224,IF($J$1="October",U225,IF($J$1="November",U226,IF($J$1="December",U227)))))))))))))</f>
        <v>0</v>
      </c>
      <c r="H220" s="74"/>
      <c r="I220" s="76">
        <f>IF(C224&gt;=C223,$K$2,C222+C224)</f>
        <v>30</v>
      </c>
      <c r="J220" s="77" t="s">
        <v>77</v>
      </c>
      <c r="K220" s="78">
        <f>K216/$K$2*I220</f>
        <v>14500</v>
      </c>
      <c r="L220" s="79"/>
      <c r="M220" s="57"/>
      <c r="N220" s="100"/>
      <c r="O220" s="101" t="s">
        <v>64</v>
      </c>
      <c r="P220" s="101"/>
      <c r="Q220" s="101"/>
      <c r="R220" s="101" t="str">
        <f t="shared" si="37"/>
        <v/>
      </c>
      <c r="S220" s="105"/>
      <c r="T220" s="101" t="s">
        <v>64</v>
      </c>
      <c r="U220" s="177">
        <f>Y219</f>
        <v>0</v>
      </c>
      <c r="V220" s="103">
        <v>10000</v>
      </c>
      <c r="W220" s="177">
        <f t="shared" si="39"/>
        <v>10000</v>
      </c>
      <c r="X220" s="103">
        <v>10000</v>
      </c>
      <c r="Y220" s="177">
        <f t="shared" si="38"/>
        <v>0</v>
      </c>
      <c r="Z220" s="106"/>
      <c r="AA220" s="57"/>
    </row>
    <row r="221" spans="1:27" s="55" customFormat="1" ht="21" customHeight="1" x14ac:dyDescent="0.25">
      <c r="A221" s="56"/>
      <c r="B221" s="66"/>
      <c r="C221" s="66"/>
      <c r="D221" s="57"/>
      <c r="E221" s="57"/>
      <c r="F221" s="75" t="s">
        <v>29</v>
      </c>
      <c r="G221" s="70">
        <f>IF($J$1="January",V216,IF($J$1="February",V217,IF($J$1="March",V218,IF($J$1="April",V219,IF($J$1="May",V220,IF($J$1="June",V221,IF($J$1="July",V222,IF($J$1="August",V223,IF($J$1="August",V223,IF($J$1="September",V224,IF($J$1="October",V225,IF($J$1="November",V226,IF($J$1="December",V227)))))))))))))</f>
        <v>14000</v>
      </c>
      <c r="H221" s="74"/>
      <c r="I221" s="76"/>
      <c r="J221" s="77" t="s">
        <v>78</v>
      </c>
      <c r="K221" s="80">
        <f>K216/$K$2/8*I221</f>
        <v>0</v>
      </c>
      <c r="L221" s="81"/>
      <c r="M221" s="57"/>
      <c r="N221" s="100"/>
      <c r="O221" s="101" t="s">
        <v>65</v>
      </c>
      <c r="P221" s="101"/>
      <c r="Q221" s="101"/>
      <c r="R221" s="101">
        <v>0</v>
      </c>
      <c r="S221" s="105"/>
      <c r="T221" s="101" t="s">
        <v>65</v>
      </c>
      <c r="U221" s="177">
        <f>Y220</f>
        <v>0</v>
      </c>
      <c r="V221" s="103">
        <v>14000</v>
      </c>
      <c r="W221" s="177">
        <f t="shared" si="39"/>
        <v>14000</v>
      </c>
      <c r="X221" s="103">
        <v>4000</v>
      </c>
      <c r="Y221" s="177">
        <f t="shared" si="38"/>
        <v>10000</v>
      </c>
      <c r="Z221" s="106"/>
      <c r="AA221" s="57"/>
    </row>
    <row r="222" spans="1:27" s="55" customFormat="1" ht="21" customHeight="1" x14ac:dyDescent="0.25">
      <c r="A222" s="56"/>
      <c r="B222" s="75" t="s">
        <v>7</v>
      </c>
      <c r="C222" s="66">
        <f>IF($J$1="January",P216,IF($J$1="February",P217,IF($J$1="March",P218,IF($J$1="April",P219,IF($J$1="May",P220,IF($J$1="June",P221,IF($J$1="July",P222,IF($J$1="August",P223,IF($J$1="August",P223,IF($J$1="September",P224,IF($J$1="October",P225,IF($J$1="November",P226,IF($J$1="December",P227)))))))))))))</f>
        <v>0</v>
      </c>
      <c r="D222" s="57"/>
      <c r="E222" s="57"/>
      <c r="F222" s="75" t="s">
        <v>81</v>
      </c>
      <c r="G222" s="70">
        <f>IF($J$1="January",W216,IF($J$1="February",W217,IF($J$1="March",W218,IF($J$1="April",W219,IF($J$1="May",W220,IF($J$1="June",W221,IF($J$1="July",W222,IF($J$1="August",W223,IF($J$1="August",W223,IF($J$1="September",W224,IF($J$1="October",W225,IF($J$1="November",W226,IF($J$1="December",W227)))))))))))))</f>
        <v>14000</v>
      </c>
      <c r="H222" s="74"/>
      <c r="I222" s="293" t="s">
        <v>85</v>
      </c>
      <c r="J222" s="294"/>
      <c r="K222" s="80">
        <f>K220+K221</f>
        <v>14500</v>
      </c>
      <c r="L222" s="81"/>
      <c r="M222" s="57"/>
      <c r="N222" s="100"/>
      <c r="O222" s="101" t="s">
        <v>66</v>
      </c>
      <c r="P222" s="101"/>
      <c r="Q222" s="101"/>
      <c r="R222" s="101" t="str">
        <f t="shared" si="37"/>
        <v/>
      </c>
      <c r="S222" s="105"/>
      <c r="T222" s="101" t="s">
        <v>66</v>
      </c>
      <c r="U222" s="177"/>
      <c r="V222" s="103"/>
      <c r="W222" s="177" t="str">
        <f t="shared" si="39"/>
        <v/>
      </c>
      <c r="X222" s="103"/>
      <c r="Y222" s="177" t="str">
        <f t="shared" si="38"/>
        <v/>
      </c>
      <c r="Z222" s="106"/>
      <c r="AA222" s="57"/>
    </row>
    <row r="223" spans="1:27" s="55" customFormat="1" ht="21" customHeight="1" x14ac:dyDescent="0.25">
      <c r="A223" s="56"/>
      <c r="B223" s="75" t="s">
        <v>6</v>
      </c>
      <c r="C223" s="66">
        <f>IF($J$1="January",Q216,IF($J$1="February",Q217,IF($J$1="March",Q218,IF($J$1="April",Q219,IF($J$1="May",Q220,IF($J$1="June",Q221,IF($J$1="July",Q222,IF($J$1="August",Q223,IF($J$1="August",Q223,IF($J$1="September",Q224,IF($J$1="October",Q225,IF($J$1="November",Q226,IF($J$1="December",Q227)))))))))))))</f>
        <v>0</v>
      </c>
      <c r="D223" s="57"/>
      <c r="E223" s="57"/>
      <c r="F223" s="75" t="s">
        <v>30</v>
      </c>
      <c r="G223" s="70">
        <f>IF($J$1="January",X216,IF($J$1="February",X217,IF($J$1="March",X218,IF($J$1="April",X219,IF($J$1="May",X220,IF($J$1="June",X221,IF($J$1="July",X222,IF($J$1="August",X223,IF($J$1="August",X223,IF($J$1="September",X224,IF($J$1="October",X225,IF($J$1="November",X226,IF($J$1="December",X227)))))))))))))</f>
        <v>4000</v>
      </c>
      <c r="H223" s="74"/>
      <c r="I223" s="293" t="s">
        <v>86</v>
      </c>
      <c r="J223" s="294"/>
      <c r="K223" s="70">
        <f>G223</f>
        <v>4000</v>
      </c>
      <c r="L223" s="82"/>
      <c r="M223" s="57"/>
      <c r="N223" s="100"/>
      <c r="O223" s="101" t="s">
        <v>67</v>
      </c>
      <c r="P223" s="101"/>
      <c r="Q223" s="101"/>
      <c r="R223" s="101" t="str">
        <f t="shared" si="37"/>
        <v/>
      </c>
      <c r="S223" s="105"/>
      <c r="T223" s="101" t="s">
        <v>67</v>
      </c>
      <c r="U223" s="177"/>
      <c r="V223" s="103"/>
      <c r="W223" s="177" t="str">
        <f t="shared" si="39"/>
        <v/>
      </c>
      <c r="X223" s="103"/>
      <c r="Y223" s="177" t="str">
        <f t="shared" si="38"/>
        <v/>
      </c>
      <c r="Z223" s="106"/>
      <c r="AA223" s="57"/>
    </row>
    <row r="224" spans="1:27" s="55" customFormat="1" ht="21" customHeight="1" x14ac:dyDescent="0.25">
      <c r="A224" s="56"/>
      <c r="B224" s="83" t="s">
        <v>84</v>
      </c>
      <c r="C224" s="66">
        <f>IF($J$1="January",R216,IF($J$1="February",R217,IF($J$1="March",R218,IF($J$1="April",R219,IF($J$1="May",R220,IF($J$1="June",R221,IF($J$1="July",R222,IF($J$1="August",R223,IF($J$1="August",R223,IF($J$1="September",R224,IF($J$1="October",R225,IF($J$1="November",R226,IF($J$1="December",R227)))))))))))))</f>
        <v>0</v>
      </c>
      <c r="D224" s="57"/>
      <c r="E224" s="57"/>
      <c r="F224" s="75" t="s">
        <v>83</v>
      </c>
      <c r="G224" s="70">
        <f>IF($J$1="January",Y216,IF($J$1="February",Y217,IF($J$1="March",Y218,IF($J$1="April",Y219,IF($J$1="May",Y220,IF($J$1="June",Y221,IF($J$1="July",Y222,IF($J$1="August",Y223,IF($J$1="August",Y223,IF($J$1="September",Y224,IF($J$1="October",Y225,IF($J$1="November",Y226,IF($J$1="December",Y227)))))))))))))</f>
        <v>10000</v>
      </c>
      <c r="H224" s="57"/>
      <c r="I224" s="295" t="s">
        <v>79</v>
      </c>
      <c r="J224" s="296"/>
      <c r="K224" s="84">
        <f>K222-K223</f>
        <v>10500</v>
      </c>
      <c r="L224" s="85"/>
      <c r="M224" s="57"/>
      <c r="N224" s="100"/>
      <c r="O224" s="101" t="s">
        <v>72</v>
      </c>
      <c r="P224" s="101"/>
      <c r="Q224" s="101"/>
      <c r="R224" s="101" t="str">
        <f t="shared" si="37"/>
        <v/>
      </c>
      <c r="S224" s="105"/>
      <c r="T224" s="101" t="s">
        <v>72</v>
      </c>
      <c r="U224" s="177"/>
      <c r="V224" s="103"/>
      <c r="W224" s="177" t="str">
        <f t="shared" si="39"/>
        <v/>
      </c>
      <c r="X224" s="103"/>
      <c r="Y224" s="177" t="str">
        <f t="shared" si="38"/>
        <v/>
      </c>
      <c r="Z224" s="106"/>
      <c r="AA224" s="57"/>
    </row>
    <row r="225" spans="1:27" s="55" customFormat="1" ht="21" customHeight="1" x14ac:dyDescent="0.25">
      <c r="A225" s="56"/>
      <c r="B225" s="57"/>
      <c r="C225" s="57"/>
      <c r="D225" s="57"/>
      <c r="E225" s="57"/>
      <c r="F225" s="57"/>
      <c r="G225" s="57"/>
      <c r="H225" s="57"/>
      <c r="I225" s="57"/>
      <c r="J225" s="57"/>
      <c r="K225" s="194"/>
      <c r="L225" s="73"/>
      <c r="M225" s="57"/>
      <c r="N225" s="100"/>
      <c r="O225" s="101" t="s">
        <v>68</v>
      </c>
      <c r="P225" s="101"/>
      <c r="Q225" s="101"/>
      <c r="R225" s="101" t="str">
        <f t="shared" si="37"/>
        <v/>
      </c>
      <c r="S225" s="105"/>
      <c r="T225" s="101" t="s">
        <v>68</v>
      </c>
      <c r="U225" s="177"/>
      <c r="V225" s="103"/>
      <c r="W225" s="177" t="str">
        <f t="shared" si="39"/>
        <v/>
      </c>
      <c r="X225" s="103"/>
      <c r="Y225" s="177" t="str">
        <f t="shared" si="38"/>
        <v/>
      </c>
      <c r="Z225" s="106"/>
      <c r="AA225" s="57"/>
    </row>
    <row r="226" spans="1:27" s="55" customFormat="1" ht="21" customHeight="1" x14ac:dyDescent="0.25">
      <c r="A226" s="56"/>
      <c r="B226" s="284" t="s">
        <v>116</v>
      </c>
      <c r="C226" s="284"/>
      <c r="D226" s="284"/>
      <c r="E226" s="284"/>
      <c r="F226" s="284"/>
      <c r="G226" s="284"/>
      <c r="H226" s="284"/>
      <c r="I226" s="284"/>
      <c r="J226" s="284"/>
      <c r="K226" s="284"/>
      <c r="L226" s="73"/>
      <c r="M226" s="57"/>
      <c r="N226" s="100"/>
      <c r="O226" s="101" t="s">
        <v>73</v>
      </c>
      <c r="P226" s="101"/>
      <c r="Q226" s="101"/>
      <c r="R226" s="101" t="str">
        <f t="shared" si="37"/>
        <v/>
      </c>
      <c r="S226" s="105"/>
      <c r="T226" s="101" t="s">
        <v>73</v>
      </c>
      <c r="U226" s="177"/>
      <c r="V226" s="103"/>
      <c r="W226" s="177" t="str">
        <f t="shared" si="39"/>
        <v/>
      </c>
      <c r="X226" s="103"/>
      <c r="Y226" s="177" t="str">
        <f t="shared" si="38"/>
        <v/>
      </c>
      <c r="Z226" s="106"/>
      <c r="AA226" s="57"/>
    </row>
    <row r="227" spans="1:27" s="55" customFormat="1" ht="21" customHeight="1" x14ac:dyDescent="0.25">
      <c r="A227" s="56"/>
      <c r="B227" s="284"/>
      <c r="C227" s="284"/>
      <c r="D227" s="284"/>
      <c r="E227" s="284"/>
      <c r="F227" s="284"/>
      <c r="G227" s="284"/>
      <c r="H227" s="284"/>
      <c r="I227" s="284"/>
      <c r="J227" s="284"/>
      <c r="K227" s="284"/>
      <c r="L227" s="73"/>
      <c r="M227" s="57"/>
      <c r="N227" s="100"/>
      <c r="O227" s="101" t="s">
        <v>74</v>
      </c>
      <c r="P227" s="101"/>
      <c r="Q227" s="101"/>
      <c r="R227" s="101" t="str">
        <f t="shared" si="37"/>
        <v/>
      </c>
      <c r="S227" s="105"/>
      <c r="T227" s="101" t="s">
        <v>74</v>
      </c>
      <c r="U227" s="177"/>
      <c r="V227" s="103"/>
      <c r="W227" s="177" t="str">
        <f t="shared" si="39"/>
        <v/>
      </c>
      <c r="X227" s="103"/>
      <c r="Y227" s="177" t="str">
        <f t="shared" si="38"/>
        <v/>
      </c>
      <c r="Z227" s="106"/>
      <c r="AA227" s="57"/>
    </row>
    <row r="228" spans="1:27" s="55" customFormat="1" ht="21" customHeight="1" thickBot="1" x14ac:dyDescent="0.3">
      <c r="A228" s="86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8"/>
      <c r="N228" s="107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9"/>
    </row>
    <row r="229" spans="1:27" s="57" customFormat="1" ht="21" customHeight="1" thickBot="1" x14ac:dyDescent="0.3"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</row>
    <row r="230" spans="1:27" s="55" customFormat="1" ht="21" customHeight="1" x14ac:dyDescent="0.25">
      <c r="A230" s="297" t="s">
        <v>56</v>
      </c>
      <c r="B230" s="298"/>
      <c r="C230" s="298"/>
      <c r="D230" s="298"/>
      <c r="E230" s="298"/>
      <c r="F230" s="298"/>
      <c r="G230" s="298"/>
      <c r="H230" s="298"/>
      <c r="I230" s="298"/>
      <c r="J230" s="298"/>
      <c r="K230" s="298"/>
      <c r="L230" s="299"/>
      <c r="M230" s="54"/>
      <c r="N230" s="93"/>
      <c r="O230" s="285" t="s">
        <v>58</v>
      </c>
      <c r="P230" s="286"/>
      <c r="Q230" s="286"/>
      <c r="R230" s="287"/>
      <c r="S230" s="94"/>
      <c r="T230" s="285" t="s">
        <v>59</v>
      </c>
      <c r="U230" s="286"/>
      <c r="V230" s="286"/>
      <c r="W230" s="286"/>
      <c r="X230" s="286"/>
      <c r="Y230" s="287"/>
      <c r="Z230" s="95"/>
      <c r="AA230" s="54"/>
    </row>
    <row r="231" spans="1:27" s="55" customFormat="1" ht="21" customHeight="1" x14ac:dyDescent="0.25">
      <c r="A231" s="56"/>
      <c r="B231" s="57"/>
      <c r="C231" s="288" t="s">
        <v>114</v>
      </c>
      <c r="D231" s="288"/>
      <c r="E231" s="288"/>
      <c r="F231" s="288"/>
      <c r="G231" s="58" t="str">
        <f>$J$1</f>
        <v>June</v>
      </c>
      <c r="H231" s="289">
        <f>$K$1</f>
        <v>2019</v>
      </c>
      <c r="I231" s="289"/>
      <c r="J231" s="57"/>
      <c r="K231" s="59"/>
      <c r="L231" s="60"/>
      <c r="M231" s="59"/>
      <c r="N231" s="96"/>
      <c r="O231" s="97" t="s">
        <v>69</v>
      </c>
      <c r="P231" s="97" t="s">
        <v>7</v>
      </c>
      <c r="Q231" s="97" t="s">
        <v>6</v>
      </c>
      <c r="R231" s="97" t="s">
        <v>70</v>
      </c>
      <c r="S231" s="98"/>
      <c r="T231" s="97" t="s">
        <v>69</v>
      </c>
      <c r="U231" s="97" t="s">
        <v>71</v>
      </c>
      <c r="V231" s="97" t="s">
        <v>29</v>
      </c>
      <c r="W231" s="97" t="s">
        <v>28</v>
      </c>
      <c r="X231" s="97" t="s">
        <v>30</v>
      </c>
      <c r="Y231" s="97" t="s">
        <v>75</v>
      </c>
      <c r="Z231" s="99"/>
      <c r="AA231" s="59"/>
    </row>
    <row r="232" spans="1:27" s="55" customFormat="1" ht="21" customHeight="1" x14ac:dyDescent="0.25">
      <c r="A232" s="56"/>
      <c r="B232" s="57"/>
      <c r="C232" s="57"/>
      <c r="D232" s="62"/>
      <c r="E232" s="62"/>
      <c r="F232" s="62"/>
      <c r="G232" s="62"/>
      <c r="H232" s="62"/>
      <c r="I232" s="57"/>
      <c r="J232" s="63" t="s">
        <v>1</v>
      </c>
      <c r="K232" s="64">
        <v>35000</v>
      </c>
      <c r="L232" s="65"/>
      <c r="M232" s="57"/>
      <c r="N232" s="100"/>
      <c r="O232" s="101" t="s">
        <v>61</v>
      </c>
      <c r="P232" s="101">
        <v>31</v>
      </c>
      <c r="Q232" s="101">
        <v>0</v>
      </c>
      <c r="R232" s="101">
        <f>15-Q232</f>
        <v>15</v>
      </c>
      <c r="S232" s="102"/>
      <c r="T232" s="101" t="s">
        <v>61</v>
      </c>
      <c r="U232" s="103">
        <v>90000</v>
      </c>
      <c r="V232" s="103">
        <v>1500</v>
      </c>
      <c r="W232" s="103">
        <f>V232+U232</f>
        <v>91500</v>
      </c>
      <c r="X232" s="103">
        <v>30000</v>
      </c>
      <c r="Y232" s="103">
        <f>W232-X232</f>
        <v>61500</v>
      </c>
      <c r="Z232" s="99"/>
      <c r="AA232" s="57"/>
    </row>
    <row r="233" spans="1:27" s="55" customFormat="1" ht="21" customHeight="1" x14ac:dyDescent="0.25">
      <c r="A233" s="56"/>
      <c r="B233" s="57" t="s">
        <v>0</v>
      </c>
      <c r="C233" s="67" t="s">
        <v>105</v>
      </c>
      <c r="D233" s="57"/>
      <c r="E233" s="57"/>
      <c r="F233" s="57"/>
      <c r="G233" s="57"/>
      <c r="H233" s="68"/>
      <c r="I233" s="62"/>
      <c r="J233" s="57"/>
      <c r="K233" s="57"/>
      <c r="L233" s="69"/>
      <c r="M233" s="54"/>
      <c r="N233" s="104"/>
      <c r="O233" s="101" t="s">
        <v>87</v>
      </c>
      <c r="P233" s="101"/>
      <c r="Q233" s="101"/>
      <c r="R233" s="101"/>
      <c r="S233" s="105"/>
      <c r="T233" s="101" t="s">
        <v>87</v>
      </c>
      <c r="U233" s="177">
        <f>Y232</f>
        <v>61500</v>
      </c>
      <c r="V233" s="103"/>
      <c r="W233" s="177">
        <f>IF(U233="","",U233+V233)</f>
        <v>61500</v>
      </c>
      <c r="X233" s="103">
        <v>30000</v>
      </c>
      <c r="Y233" s="177">
        <f>IF(W233="","",W233-X233)</f>
        <v>31500</v>
      </c>
      <c r="Z233" s="106"/>
      <c r="AA233" s="54"/>
    </row>
    <row r="234" spans="1:27" s="55" customFormat="1" ht="21" customHeight="1" x14ac:dyDescent="0.25">
      <c r="A234" s="56"/>
      <c r="B234" s="71" t="s">
        <v>57</v>
      </c>
      <c r="C234" s="72"/>
      <c r="D234" s="57"/>
      <c r="E234" s="57"/>
      <c r="F234" s="290" t="s">
        <v>59</v>
      </c>
      <c r="G234" s="290"/>
      <c r="H234" s="57"/>
      <c r="I234" s="290" t="s">
        <v>60</v>
      </c>
      <c r="J234" s="290"/>
      <c r="K234" s="290"/>
      <c r="L234" s="73"/>
      <c r="M234" s="57"/>
      <c r="N234" s="100"/>
      <c r="O234" s="101" t="s">
        <v>62</v>
      </c>
      <c r="P234" s="101">
        <v>31</v>
      </c>
      <c r="Q234" s="101">
        <v>0</v>
      </c>
      <c r="R234" s="101">
        <v>15</v>
      </c>
      <c r="S234" s="105"/>
      <c r="T234" s="101" t="s">
        <v>62</v>
      </c>
      <c r="U234" s="177" t="str">
        <f>IF($J$1="March",Y233,"")</f>
        <v/>
      </c>
      <c r="V234" s="103"/>
      <c r="W234" s="177" t="str">
        <f t="shared" ref="W234:W243" si="40">IF(U234="","",U234+V234)</f>
        <v/>
      </c>
      <c r="X234" s="103">
        <v>31500</v>
      </c>
      <c r="Y234" s="177" t="str">
        <f t="shared" ref="Y234:Y243" si="41">IF(W234="","",W234-X234)</f>
        <v/>
      </c>
      <c r="Z234" s="106"/>
      <c r="AA234" s="57"/>
    </row>
    <row r="235" spans="1:27" s="55" customFormat="1" ht="21" customHeight="1" x14ac:dyDescent="0.25">
      <c r="A235" s="56"/>
      <c r="B235" s="57"/>
      <c r="C235" s="57"/>
      <c r="D235" s="57"/>
      <c r="E235" s="57"/>
      <c r="F235" s="57"/>
      <c r="G235" s="57"/>
      <c r="H235" s="74"/>
      <c r="L235" s="61"/>
      <c r="M235" s="57"/>
      <c r="N235" s="100"/>
      <c r="O235" s="101" t="s">
        <v>63</v>
      </c>
      <c r="P235" s="101">
        <v>30</v>
      </c>
      <c r="Q235" s="101">
        <v>0</v>
      </c>
      <c r="R235" s="101">
        <v>15</v>
      </c>
      <c r="S235" s="105"/>
      <c r="T235" s="101" t="s">
        <v>63</v>
      </c>
      <c r="U235" s="177"/>
      <c r="V235" s="103"/>
      <c r="W235" s="177" t="str">
        <f t="shared" si="40"/>
        <v/>
      </c>
      <c r="X235" s="103"/>
      <c r="Y235" s="177" t="str">
        <f t="shared" si="41"/>
        <v/>
      </c>
      <c r="Z235" s="106"/>
      <c r="AA235" s="57"/>
    </row>
    <row r="236" spans="1:27" s="55" customFormat="1" ht="21" customHeight="1" x14ac:dyDescent="0.25">
      <c r="A236" s="56"/>
      <c r="B236" s="291" t="s">
        <v>58</v>
      </c>
      <c r="C236" s="292"/>
      <c r="D236" s="57"/>
      <c r="E236" s="57"/>
      <c r="F236" s="75" t="s">
        <v>80</v>
      </c>
      <c r="G236" s="197">
        <f>IF($J$1="January",U232,IF($J$1="February",U233,IF($J$1="March",U234,IF($J$1="April",U235,IF($J$1="May",U236,IF($J$1="June",U237,IF($J$1="July",U238,IF($J$1="August",U239,IF($J$1="August",U239,IF($J$1="September",U240,IF($J$1="October",U241,IF($J$1="November",U242,IF($J$1="December",U243)))))))))))))</f>
        <v>0</v>
      </c>
      <c r="H236" s="74"/>
      <c r="I236" s="76">
        <f>IF(C240&gt;=C239,$K$2,C238+C240)</f>
        <v>30</v>
      </c>
      <c r="J236" s="77" t="s">
        <v>77</v>
      </c>
      <c r="K236" s="78">
        <f>K232/$K$2*I236</f>
        <v>35000</v>
      </c>
      <c r="L236" s="79"/>
      <c r="M236" s="57"/>
      <c r="N236" s="100"/>
      <c r="O236" s="101" t="s">
        <v>64</v>
      </c>
      <c r="P236" s="101">
        <v>28</v>
      </c>
      <c r="Q236" s="101">
        <v>3</v>
      </c>
      <c r="R236" s="101">
        <f>R235-Q236</f>
        <v>12</v>
      </c>
      <c r="S236" s="105"/>
      <c r="T236" s="101" t="s">
        <v>64</v>
      </c>
      <c r="U236" s="177" t="str">
        <f>Y235</f>
        <v/>
      </c>
      <c r="V236" s="103"/>
      <c r="W236" s="177" t="str">
        <f t="shared" si="40"/>
        <v/>
      </c>
      <c r="X236" s="103"/>
      <c r="Y236" s="177" t="str">
        <f t="shared" si="41"/>
        <v/>
      </c>
      <c r="Z236" s="106"/>
      <c r="AA236" s="57"/>
    </row>
    <row r="237" spans="1:27" s="55" customFormat="1" ht="21" customHeight="1" x14ac:dyDescent="0.25">
      <c r="A237" s="56"/>
      <c r="B237" s="66"/>
      <c r="C237" s="66"/>
      <c r="D237" s="57"/>
      <c r="E237" s="57"/>
      <c r="F237" s="75" t="s">
        <v>29</v>
      </c>
      <c r="G237" s="197">
        <f>IF($J$1="January",V232,IF($J$1="February",V233,IF($J$1="March",V234,IF($J$1="April",V235,IF($J$1="May",V236,IF($J$1="June",V237,IF($J$1="July",V238,IF($J$1="August",V239,IF($J$1="August",V239,IF($J$1="September",V240,IF($J$1="October",V241,IF($J$1="November",V242,IF($J$1="December",V243)))))))))))))</f>
        <v>0</v>
      </c>
      <c r="H237" s="74"/>
      <c r="I237" s="76"/>
      <c r="J237" s="77" t="s">
        <v>78</v>
      </c>
      <c r="K237" s="80">
        <f>K232/$K$2/8*I237</f>
        <v>0</v>
      </c>
      <c r="L237" s="81"/>
      <c r="M237" s="57"/>
      <c r="N237" s="100"/>
      <c r="O237" s="101" t="s">
        <v>65</v>
      </c>
      <c r="P237" s="101">
        <v>31</v>
      </c>
      <c r="Q237" s="101">
        <v>0</v>
      </c>
      <c r="R237" s="101"/>
      <c r="S237" s="105"/>
      <c r="T237" s="101" t="s">
        <v>65</v>
      </c>
      <c r="U237" s="177"/>
      <c r="V237" s="103"/>
      <c r="W237" s="177" t="str">
        <f t="shared" si="40"/>
        <v/>
      </c>
      <c r="X237" s="103"/>
      <c r="Y237" s="177" t="str">
        <f t="shared" si="41"/>
        <v/>
      </c>
      <c r="Z237" s="106"/>
      <c r="AA237" s="57"/>
    </row>
    <row r="238" spans="1:27" s="55" customFormat="1" ht="21" customHeight="1" x14ac:dyDescent="0.25">
      <c r="A238" s="56"/>
      <c r="B238" s="75" t="s">
        <v>7</v>
      </c>
      <c r="C238" s="66">
        <f>IF($J$1="January",P232,IF($J$1="February",P233,IF($J$1="March",P234,IF($J$1="April",P235,IF($J$1="May",P236,IF($J$1="June",P237,IF($J$1="July",P238,IF($J$1="August",P239,IF($J$1="August",P239,IF($J$1="September",P240,IF($J$1="October",P241,IF($J$1="November",P242,IF($J$1="December",P243)))))))))))))</f>
        <v>31</v>
      </c>
      <c r="D238" s="57"/>
      <c r="E238" s="57"/>
      <c r="F238" s="75" t="s">
        <v>81</v>
      </c>
      <c r="G238" s="197" t="str">
        <f>IF($J$1="January",W232,IF($J$1="February",W233,IF($J$1="March",W234,IF($J$1="April",W235,IF($J$1="May",W236,IF($J$1="June",W237,IF($J$1="July",W238,IF($J$1="August",W239,IF($J$1="August",W239,IF($J$1="September",W240,IF($J$1="October",W241,IF($J$1="November",W242,IF($J$1="December",W243)))))))))))))</f>
        <v/>
      </c>
      <c r="H238" s="74"/>
      <c r="I238" s="293" t="s">
        <v>85</v>
      </c>
      <c r="J238" s="294"/>
      <c r="K238" s="80">
        <f>K236+K237</f>
        <v>35000</v>
      </c>
      <c r="L238" s="81"/>
      <c r="M238" s="57"/>
      <c r="N238" s="100"/>
      <c r="O238" s="101" t="s">
        <v>66</v>
      </c>
      <c r="P238" s="101"/>
      <c r="Q238" s="101"/>
      <c r="R238" s="101"/>
      <c r="S238" s="105"/>
      <c r="T238" s="101" t="s">
        <v>66</v>
      </c>
      <c r="U238" s="177"/>
      <c r="V238" s="103"/>
      <c r="W238" s="177" t="str">
        <f t="shared" si="40"/>
        <v/>
      </c>
      <c r="X238" s="103"/>
      <c r="Y238" s="177" t="str">
        <f t="shared" si="41"/>
        <v/>
      </c>
      <c r="Z238" s="106"/>
      <c r="AA238" s="57"/>
    </row>
    <row r="239" spans="1:27" s="55" customFormat="1" ht="21" customHeight="1" x14ac:dyDescent="0.25">
      <c r="A239" s="56"/>
      <c r="B239" s="75" t="s">
        <v>6</v>
      </c>
      <c r="C239" s="66">
        <f>IF($J$1="January",Q232,IF($J$1="February",Q233,IF($J$1="March",Q234,IF($J$1="April",Q235,IF($J$1="May",Q236,IF($J$1="June",Q237,IF($J$1="July",Q238,IF($J$1="August",Q239,IF($J$1="August",Q239,IF($J$1="September",Q240,IF($J$1="October",Q241,IF($J$1="November",Q242,IF($J$1="December",Q243)))))))))))))</f>
        <v>0</v>
      </c>
      <c r="D239" s="57"/>
      <c r="E239" s="57"/>
      <c r="F239" s="75" t="s">
        <v>30</v>
      </c>
      <c r="G239" s="197">
        <f>IF($J$1="January",X232,IF($J$1="February",X233,IF($J$1="March",X234,IF($J$1="April",X235,IF($J$1="May",X236,IF($J$1="June",X237,IF($J$1="July",X238,IF($J$1="August",X239,IF($J$1="August",X239,IF($J$1="September",X240,IF($J$1="October",X241,IF($J$1="November",X242,IF($J$1="December",X243)))))))))))))</f>
        <v>0</v>
      </c>
      <c r="H239" s="74"/>
      <c r="I239" s="293" t="s">
        <v>86</v>
      </c>
      <c r="J239" s="294"/>
      <c r="K239" s="70">
        <f>G239</f>
        <v>0</v>
      </c>
      <c r="L239" s="82"/>
      <c r="M239" s="57"/>
      <c r="N239" s="100"/>
      <c r="O239" s="101" t="s">
        <v>67</v>
      </c>
      <c r="P239" s="101"/>
      <c r="Q239" s="101"/>
      <c r="R239" s="101"/>
      <c r="S239" s="105"/>
      <c r="T239" s="101" t="s">
        <v>67</v>
      </c>
      <c r="U239" s="177"/>
      <c r="V239" s="103"/>
      <c r="W239" s="177" t="str">
        <f t="shared" si="40"/>
        <v/>
      </c>
      <c r="X239" s="103"/>
      <c r="Y239" s="177" t="str">
        <f t="shared" si="41"/>
        <v/>
      </c>
      <c r="Z239" s="106"/>
      <c r="AA239" s="57"/>
    </row>
    <row r="240" spans="1:27" s="55" customFormat="1" ht="21" customHeight="1" x14ac:dyDescent="0.25">
      <c r="A240" s="56"/>
      <c r="B240" s="83" t="s">
        <v>84</v>
      </c>
      <c r="C240" s="66">
        <f>IF($J$1="January",R232,IF($J$1="February",R233,IF($J$1="March",R234,IF($J$1="April",R235,IF($J$1="May",R236,IF($J$1="June",R237,IF($J$1="July",R238,IF($J$1="August",R239,IF($J$1="August",R239,IF($J$1="September",R240,IF($J$1="October",R241,IF($J$1="November",R242,IF($J$1="December",R243)))))))))))))</f>
        <v>0</v>
      </c>
      <c r="D240" s="57"/>
      <c r="E240" s="57"/>
      <c r="F240" s="75" t="s">
        <v>83</v>
      </c>
      <c r="G240" s="197" t="str">
        <f>IF($J$1="January",Y232,IF($J$1="February",Y233,IF($J$1="March",Y234,IF($J$1="April",Y235,IF($J$1="May",Y236,IF($J$1="June",Y237,IF($J$1="July",Y238,IF($J$1="August",Y239,IF($J$1="August",Y239,IF($J$1="September",Y240,IF($J$1="October",Y241,IF($J$1="November",Y242,IF($J$1="December",Y243)))))))))))))</f>
        <v/>
      </c>
      <c r="H240" s="57"/>
      <c r="I240" s="295" t="s">
        <v>79</v>
      </c>
      <c r="J240" s="296"/>
      <c r="K240" s="84">
        <f>K238-K239</f>
        <v>35000</v>
      </c>
      <c r="L240" s="85"/>
      <c r="M240" s="57"/>
      <c r="N240" s="100"/>
      <c r="O240" s="101" t="s">
        <v>72</v>
      </c>
      <c r="P240" s="101"/>
      <c r="Q240" s="101"/>
      <c r="R240" s="101"/>
      <c r="S240" s="105"/>
      <c r="T240" s="101" t="s">
        <v>72</v>
      </c>
      <c r="U240" s="177"/>
      <c r="V240" s="103"/>
      <c r="W240" s="177" t="str">
        <f t="shared" si="40"/>
        <v/>
      </c>
      <c r="X240" s="103"/>
      <c r="Y240" s="177" t="str">
        <f t="shared" si="41"/>
        <v/>
      </c>
      <c r="Z240" s="106"/>
      <c r="AA240" s="57"/>
    </row>
    <row r="241" spans="1:27" s="55" customFormat="1" ht="21" customHeight="1" x14ac:dyDescent="0.25">
      <c r="A241" s="56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73"/>
      <c r="M241" s="57"/>
      <c r="N241" s="100"/>
      <c r="O241" s="101" t="s">
        <v>68</v>
      </c>
      <c r="P241" s="101"/>
      <c r="Q241" s="101"/>
      <c r="R241" s="101"/>
      <c r="S241" s="105"/>
      <c r="T241" s="101" t="s">
        <v>68</v>
      </c>
      <c r="U241" s="177"/>
      <c r="V241" s="103"/>
      <c r="W241" s="177" t="str">
        <f t="shared" si="40"/>
        <v/>
      </c>
      <c r="X241" s="103"/>
      <c r="Y241" s="177" t="str">
        <f t="shared" si="41"/>
        <v/>
      </c>
      <c r="Z241" s="106"/>
      <c r="AA241" s="57"/>
    </row>
    <row r="242" spans="1:27" s="55" customFormat="1" ht="21" customHeight="1" x14ac:dyDescent="0.25">
      <c r="A242" s="56"/>
      <c r="B242" s="284" t="s">
        <v>116</v>
      </c>
      <c r="C242" s="284"/>
      <c r="D242" s="284"/>
      <c r="E242" s="284"/>
      <c r="F242" s="284"/>
      <c r="G242" s="284"/>
      <c r="H242" s="284"/>
      <c r="I242" s="284"/>
      <c r="J242" s="284"/>
      <c r="K242" s="284"/>
      <c r="L242" s="73"/>
      <c r="M242" s="57"/>
      <c r="N242" s="100"/>
      <c r="O242" s="101" t="s">
        <v>73</v>
      </c>
      <c r="P242" s="101"/>
      <c r="Q242" s="101"/>
      <c r="R242" s="101"/>
      <c r="S242" s="105"/>
      <c r="T242" s="101" t="s">
        <v>73</v>
      </c>
      <c r="U242" s="177"/>
      <c r="V242" s="103"/>
      <c r="W242" s="177" t="str">
        <f t="shared" si="40"/>
        <v/>
      </c>
      <c r="X242" s="103"/>
      <c r="Y242" s="177" t="str">
        <f t="shared" si="41"/>
        <v/>
      </c>
      <c r="Z242" s="106"/>
      <c r="AA242" s="57"/>
    </row>
    <row r="243" spans="1:27" s="55" customFormat="1" ht="21" customHeight="1" x14ac:dyDescent="0.25">
      <c r="A243" s="56"/>
      <c r="B243" s="284"/>
      <c r="C243" s="284"/>
      <c r="D243" s="284"/>
      <c r="E243" s="284"/>
      <c r="F243" s="284"/>
      <c r="G243" s="284"/>
      <c r="H243" s="284"/>
      <c r="I243" s="284"/>
      <c r="J243" s="284"/>
      <c r="K243" s="284"/>
      <c r="L243" s="73"/>
      <c r="M243" s="57"/>
      <c r="N243" s="100"/>
      <c r="O243" s="101" t="s">
        <v>74</v>
      </c>
      <c r="P243" s="101"/>
      <c r="Q243" s="101"/>
      <c r="R243" s="101"/>
      <c r="S243" s="105"/>
      <c r="T243" s="101" t="s">
        <v>74</v>
      </c>
      <c r="U243" s="177"/>
      <c r="V243" s="103"/>
      <c r="W243" s="177" t="str">
        <f t="shared" si="40"/>
        <v/>
      </c>
      <c r="X243" s="103"/>
      <c r="Y243" s="177" t="str">
        <f t="shared" si="41"/>
        <v/>
      </c>
      <c r="Z243" s="106"/>
      <c r="AA243" s="57"/>
    </row>
    <row r="244" spans="1:27" s="55" customFormat="1" ht="21" customHeight="1" thickBot="1" x14ac:dyDescent="0.3">
      <c r="A244" s="86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8"/>
      <c r="N244" s="107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9"/>
    </row>
    <row r="245" spans="1:27" s="57" customFormat="1" ht="21" customHeight="1" thickBot="1" x14ac:dyDescent="0.3"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</row>
    <row r="246" spans="1:27" s="55" customFormat="1" ht="21" customHeight="1" x14ac:dyDescent="0.25">
      <c r="A246" s="297" t="s">
        <v>56</v>
      </c>
      <c r="B246" s="298"/>
      <c r="C246" s="298"/>
      <c r="D246" s="298"/>
      <c r="E246" s="298"/>
      <c r="F246" s="298"/>
      <c r="G246" s="298"/>
      <c r="H246" s="298"/>
      <c r="I246" s="298"/>
      <c r="J246" s="298"/>
      <c r="K246" s="298"/>
      <c r="L246" s="299"/>
      <c r="M246" s="54"/>
      <c r="N246" s="93"/>
      <c r="O246" s="285" t="s">
        <v>58</v>
      </c>
      <c r="P246" s="286"/>
      <c r="Q246" s="286"/>
      <c r="R246" s="287"/>
      <c r="S246" s="94"/>
      <c r="T246" s="285" t="s">
        <v>59</v>
      </c>
      <c r="U246" s="286"/>
      <c r="V246" s="286"/>
      <c r="W246" s="286"/>
      <c r="X246" s="286"/>
      <c r="Y246" s="287"/>
      <c r="Z246" s="95"/>
      <c r="AA246" s="54"/>
    </row>
    <row r="247" spans="1:27" s="55" customFormat="1" ht="21" customHeight="1" x14ac:dyDescent="0.25">
      <c r="A247" s="56"/>
      <c r="B247" s="57"/>
      <c r="C247" s="288" t="s">
        <v>114</v>
      </c>
      <c r="D247" s="288"/>
      <c r="E247" s="288"/>
      <c r="F247" s="288"/>
      <c r="G247" s="58" t="str">
        <f>$J$1</f>
        <v>June</v>
      </c>
      <c r="H247" s="289">
        <f>$K$1</f>
        <v>2019</v>
      </c>
      <c r="I247" s="289"/>
      <c r="J247" s="57"/>
      <c r="K247" s="59"/>
      <c r="L247" s="60"/>
      <c r="M247" s="59"/>
      <c r="N247" s="96"/>
      <c r="O247" s="97" t="s">
        <v>69</v>
      </c>
      <c r="P247" s="97" t="s">
        <v>7</v>
      </c>
      <c r="Q247" s="97" t="s">
        <v>6</v>
      </c>
      <c r="R247" s="97" t="s">
        <v>70</v>
      </c>
      <c r="S247" s="98"/>
      <c r="T247" s="97" t="s">
        <v>69</v>
      </c>
      <c r="U247" s="97" t="s">
        <v>71</v>
      </c>
      <c r="V247" s="97" t="s">
        <v>29</v>
      </c>
      <c r="W247" s="97" t="s">
        <v>28</v>
      </c>
      <c r="X247" s="97" t="s">
        <v>30</v>
      </c>
      <c r="Y247" s="97" t="s">
        <v>75</v>
      </c>
      <c r="Z247" s="99"/>
      <c r="AA247" s="59"/>
    </row>
    <row r="248" spans="1:27" s="55" customFormat="1" ht="21" customHeight="1" x14ac:dyDescent="0.25">
      <c r="A248" s="56"/>
      <c r="B248" s="57"/>
      <c r="C248" s="57"/>
      <c r="D248" s="62"/>
      <c r="E248" s="62"/>
      <c r="F248" s="62"/>
      <c r="G248" s="62"/>
      <c r="H248" s="62"/>
      <c r="I248" s="57"/>
      <c r="J248" s="63" t="s">
        <v>1</v>
      </c>
      <c r="K248" s="64"/>
      <c r="L248" s="65"/>
      <c r="M248" s="57"/>
      <c r="N248" s="100"/>
      <c r="O248" s="101" t="s">
        <v>61</v>
      </c>
      <c r="P248" s="101"/>
      <c r="Q248" s="101"/>
      <c r="R248" s="101"/>
      <c r="S248" s="102"/>
      <c r="T248" s="101" t="s">
        <v>61</v>
      </c>
      <c r="U248" s="103"/>
      <c r="V248" s="103"/>
      <c r="W248" s="103">
        <f>V248+U248</f>
        <v>0</v>
      </c>
      <c r="X248" s="103"/>
      <c r="Y248" s="103">
        <f>W248-X248</f>
        <v>0</v>
      </c>
      <c r="Z248" s="99"/>
      <c r="AA248" s="57"/>
    </row>
    <row r="249" spans="1:27" s="55" customFormat="1" ht="21" customHeight="1" x14ac:dyDescent="0.25">
      <c r="A249" s="56"/>
      <c r="B249" s="57" t="s">
        <v>0</v>
      </c>
      <c r="C249" s="67"/>
      <c r="D249" s="57"/>
      <c r="E249" s="57"/>
      <c r="F249" s="57"/>
      <c r="G249" s="57"/>
      <c r="H249" s="68"/>
      <c r="I249" s="62"/>
      <c r="J249" s="57"/>
      <c r="K249" s="57"/>
      <c r="L249" s="69"/>
      <c r="M249" s="54"/>
      <c r="N249" s="104"/>
      <c r="O249" s="101" t="s">
        <v>87</v>
      </c>
      <c r="P249" s="101"/>
      <c r="Q249" s="101"/>
      <c r="R249" s="101" t="str">
        <f t="shared" ref="R249:R259" si="42">IF(Q249="","",R248-Q249)</f>
        <v/>
      </c>
      <c r="S249" s="105"/>
      <c r="T249" s="101" t="s">
        <v>87</v>
      </c>
      <c r="U249" s="177" t="str">
        <f>IF($J$1="February",Y248,"")</f>
        <v/>
      </c>
      <c r="V249" s="103"/>
      <c r="W249" s="177" t="str">
        <f>IF(U249="","",U249+V249)</f>
        <v/>
      </c>
      <c r="X249" s="103"/>
      <c r="Y249" s="177" t="str">
        <f>IF(W249="","",W249-X249)</f>
        <v/>
      </c>
      <c r="Z249" s="106"/>
      <c r="AA249" s="54"/>
    </row>
    <row r="250" spans="1:27" s="55" customFormat="1" ht="21" customHeight="1" x14ac:dyDescent="0.25">
      <c r="A250" s="56"/>
      <c r="B250" s="71" t="s">
        <v>57</v>
      </c>
      <c r="C250" s="72"/>
      <c r="D250" s="57"/>
      <c r="E250" s="57"/>
      <c r="F250" s="290" t="s">
        <v>59</v>
      </c>
      <c r="G250" s="290"/>
      <c r="H250" s="57"/>
      <c r="I250" s="290" t="s">
        <v>60</v>
      </c>
      <c r="J250" s="290"/>
      <c r="K250" s="290"/>
      <c r="L250" s="73"/>
      <c r="M250" s="57"/>
      <c r="N250" s="100"/>
      <c r="O250" s="101" t="s">
        <v>62</v>
      </c>
      <c r="P250" s="101"/>
      <c r="Q250" s="101"/>
      <c r="R250" s="101"/>
      <c r="S250" s="105"/>
      <c r="T250" s="101" t="s">
        <v>62</v>
      </c>
      <c r="U250" s="177" t="str">
        <f>IF($J$1="April",Y249,Y249)</f>
        <v/>
      </c>
      <c r="V250" s="103"/>
      <c r="W250" s="177" t="str">
        <f t="shared" ref="W250:W259" si="43">IF(U250="","",U250+V250)</f>
        <v/>
      </c>
      <c r="X250" s="103"/>
      <c r="Y250" s="177" t="str">
        <f t="shared" ref="Y250:Y259" si="44">IF(W250="","",W250-X250)</f>
        <v/>
      </c>
      <c r="Z250" s="106"/>
      <c r="AA250" s="57"/>
    </row>
    <row r="251" spans="1:27" s="55" customFormat="1" ht="21" customHeight="1" x14ac:dyDescent="0.25">
      <c r="A251" s="56"/>
      <c r="B251" s="57"/>
      <c r="C251" s="57"/>
      <c r="D251" s="57"/>
      <c r="E251" s="57"/>
      <c r="F251" s="57"/>
      <c r="G251" s="57"/>
      <c r="H251" s="74"/>
      <c r="L251" s="61"/>
      <c r="M251" s="57"/>
      <c r="N251" s="100"/>
      <c r="O251" s="101" t="s">
        <v>63</v>
      </c>
      <c r="P251" s="101"/>
      <c r="Q251" s="101"/>
      <c r="R251" s="101" t="str">
        <f t="shared" si="42"/>
        <v/>
      </c>
      <c r="S251" s="105"/>
      <c r="T251" s="101" t="s">
        <v>63</v>
      </c>
      <c r="U251" s="177" t="str">
        <f>IF($J$1="April",Y250,Y250)</f>
        <v/>
      </c>
      <c r="V251" s="103"/>
      <c r="W251" s="177" t="str">
        <f t="shared" si="43"/>
        <v/>
      </c>
      <c r="X251" s="103"/>
      <c r="Y251" s="177" t="str">
        <f t="shared" si="44"/>
        <v/>
      </c>
      <c r="Z251" s="106"/>
      <c r="AA251" s="57"/>
    </row>
    <row r="252" spans="1:27" s="55" customFormat="1" ht="21" customHeight="1" x14ac:dyDescent="0.25">
      <c r="A252" s="56"/>
      <c r="B252" s="291" t="s">
        <v>58</v>
      </c>
      <c r="C252" s="292"/>
      <c r="D252" s="57"/>
      <c r="E252" s="57"/>
      <c r="F252" s="75" t="s">
        <v>80</v>
      </c>
      <c r="G252" s="70" t="str">
        <f>IF($J$1="January",U248,IF($J$1="February",U249,IF($J$1="March",U250,IF($J$1="April",U251,IF($J$1="May",U252,IF($J$1="June",U253,IF($J$1="July",U254,IF($J$1="August",U255,IF($J$1="August",U255,IF($J$1="September",U256,IF($J$1="October",U257,IF($J$1="November",U258,IF($J$1="December",U259)))))))))))))</f>
        <v/>
      </c>
      <c r="H252" s="74"/>
      <c r="I252" s="76"/>
      <c r="J252" s="77" t="s">
        <v>77</v>
      </c>
      <c r="K252" s="78">
        <f>K248/$K$2*I252</f>
        <v>0</v>
      </c>
      <c r="L252" s="79"/>
      <c r="M252" s="57"/>
      <c r="N252" s="100"/>
      <c r="O252" s="101" t="s">
        <v>64</v>
      </c>
      <c r="P252" s="101"/>
      <c r="Q252" s="101"/>
      <c r="R252" s="101" t="str">
        <f t="shared" si="42"/>
        <v/>
      </c>
      <c r="S252" s="105"/>
      <c r="T252" s="101" t="s">
        <v>64</v>
      </c>
      <c r="U252" s="177" t="str">
        <f>IF($J$1="May",Y251,Y251)</f>
        <v/>
      </c>
      <c r="V252" s="103"/>
      <c r="W252" s="177" t="str">
        <f t="shared" si="43"/>
        <v/>
      </c>
      <c r="X252" s="103"/>
      <c r="Y252" s="177" t="str">
        <f t="shared" si="44"/>
        <v/>
      </c>
      <c r="Z252" s="106"/>
      <c r="AA252" s="57"/>
    </row>
    <row r="253" spans="1:27" s="55" customFormat="1" ht="21" customHeight="1" x14ac:dyDescent="0.25">
      <c r="A253" s="56"/>
      <c r="B253" s="66"/>
      <c r="C253" s="66"/>
      <c r="D253" s="57"/>
      <c r="E253" s="57"/>
      <c r="F253" s="75" t="s">
        <v>29</v>
      </c>
      <c r="G253" s="70">
        <f>IF($J$1="January",V248,IF($J$1="February",V249,IF($J$1="March",V250,IF($J$1="April",V251,IF($J$1="May",V252,IF($J$1="June",V253,IF($J$1="July",V254,IF($J$1="August",V255,IF($J$1="August",V255,IF($J$1="September",V256,IF($J$1="October",V257,IF($J$1="November",V258,IF($J$1="December",V259)))))))))))))</f>
        <v>0</v>
      </c>
      <c r="H253" s="74"/>
      <c r="I253" s="120"/>
      <c r="J253" s="77" t="s">
        <v>78</v>
      </c>
      <c r="K253" s="80"/>
      <c r="L253" s="81"/>
      <c r="M253" s="57"/>
      <c r="N253" s="100"/>
      <c r="O253" s="101" t="s">
        <v>65</v>
      </c>
      <c r="P253" s="101"/>
      <c r="Q253" s="101"/>
      <c r="R253" s="101" t="str">
        <f t="shared" si="42"/>
        <v/>
      </c>
      <c r="S253" s="105"/>
      <c r="T253" s="101" t="s">
        <v>65</v>
      </c>
      <c r="U253" s="177" t="str">
        <f>IF($J$1="May",Y252,Y252)</f>
        <v/>
      </c>
      <c r="V253" s="103"/>
      <c r="W253" s="177" t="str">
        <f t="shared" si="43"/>
        <v/>
      </c>
      <c r="X253" s="103"/>
      <c r="Y253" s="177" t="str">
        <f t="shared" si="44"/>
        <v/>
      </c>
      <c r="Z253" s="106"/>
      <c r="AA253" s="57"/>
    </row>
    <row r="254" spans="1:27" s="55" customFormat="1" ht="21" customHeight="1" x14ac:dyDescent="0.25">
      <c r="A254" s="56"/>
      <c r="B254" s="75" t="s">
        <v>7</v>
      </c>
      <c r="C254" s="66">
        <f>IF($J$1="January",P248,IF($J$1="February",P249,IF($J$1="March",P250,IF($J$1="April",P251,IF($J$1="May",P252,IF($J$1="June",P253,IF($J$1="July",P254,IF($J$1="August",P255,IF($J$1="August",P255,IF($J$1="September",P256,IF($J$1="October",P257,IF($J$1="November",P258,IF($J$1="December",P259)))))))))))))</f>
        <v>0</v>
      </c>
      <c r="D254" s="57"/>
      <c r="E254" s="57"/>
      <c r="F254" s="75" t="s">
        <v>81</v>
      </c>
      <c r="G254" s="70" t="str">
        <f>IF($J$1="January",W248,IF($J$1="February",W249,IF($J$1="March",W250,IF($J$1="April",W251,IF($J$1="May",W252,IF($J$1="June",W253,IF($J$1="July",W254,IF($J$1="August",W255,IF($J$1="August",W255,IF($J$1="September",W256,IF($J$1="October",W257,IF($J$1="November",W258,IF($J$1="December",W259)))))))))))))</f>
        <v/>
      </c>
      <c r="H254" s="74"/>
      <c r="I254" s="293" t="s">
        <v>85</v>
      </c>
      <c r="J254" s="294"/>
      <c r="K254" s="80">
        <f>K252+K253</f>
        <v>0</v>
      </c>
      <c r="L254" s="81"/>
      <c r="M254" s="57"/>
      <c r="N254" s="100"/>
      <c r="O254" s="101" t="s">
        <v>66</v>
      </c>
      <c r="P254" s="101"/>
      <c r="Q254" s="101"/>
      <c r="R254" s="101">
        <v>0</v>
      </c>
      <c r="S254" s="105"/>
      <c r="T254" s="101" t="s">
        <v>66</v>
      </c>
      <c r="U254" s="177" t="str">
        <f>IF($J$1="July",Y253,"")</f>
        <v/>
      </c>
      <c r="V254" s="103"/>
      <c r="W254" s="177" t="str">
        <f t="shared" si="43"/>
        <v/>
      </c>
      <c r="X254" s="103"/>
      <c r="Y254" s="177" t="str">
        <f t="shared" si="44"/>
        <v/>
      </c>
      <c r="Z254" s="106"/>
      <c r="AA254" s="57"/>
    </row>
    <row r="255" spans="1:27" s="55" customFormat="1" ht="21" customHeight="1" x14ac:dyDescent="0.25">
      <c r="A255" s="56"/>
      <c r="B255" s="75" t="s">
        <v>6</v>
      </c>
      <c r="C255" s="66">
        <f>IF($J$1="January",Q248,IF($J$1="February",Q249,IF($J$1="March",Q250,IF($J$1="April",Q251,IF($J$1="May",Q252,IF($J$1="June",Q253,IF($J$1="July",Q254,IF($J$1="August",Q255,IF($J$1="August",Q255,IF($J$1="September",Q256,IF($J$1="October",Q257,IF($J$1="November",Q258,IF($J$1="December",Q259)))))))))))))</f>
        <v>0</v>
      </c>
      <c r="D255" s="57"/>
      <c r="E255" s="57"/>
      <c r="F255" s="75" t="s">
        <v>30</v>
      </c>
      <c r="G255" s="70">
        <f>IF($J$1="January",X248,IF($J$1="February",X249,IF($J$1="March",X250,IF($J$1="April",X251,IF($J$1="May",X252,IF($J$1="June",X253,IF($J$1="July",X254,IF($J$1="August",X255,IF($J$1="August",X255,IF($J$1="September",X256,IF($J$1="October",X257,IF($J$1="November",X258,IF($J$1="December",X259)))))))))))))</f>
        <v>0</v>
      </c>
      <c r="H255" s="74"/>
      <c r="I255" s="293" t="s">
        <v>86</v>
      </c>
      <c r="J255" s="294"/>
      <c r="K255" s="70">
        <f>G255</f>
        <v>0</v>
      </c>
      <c r="L255" s="82"/>
      <c r="M255" s="57"/>
      <c r="N255" s="100"/>
      <c r="O255" s="101" t="s">
        <v>67</v>
      </c>
      <c r="P255" s="101"/>
      <c r="Q255" s="101"/>
      <c r="R255" s="101" t="str">
        <f t="shared" si="42"/>
        <v/>
      </c>
      <c r="S255" s="105"/>
      <c r="T255" s="101" t="s">
        <v>67</v>
      </c>
      <c r="U255" s="177" t="str">
        <f>IF($J$1="August",Y254,"")</f>
        <v/>
      </c>
      <c r="V255" s="103"/>
      <c r="W255" s="177" t="str">
        <f t="shared" si="43"/>
        <v/>
      </c>
      <c r="X255" s="103"/>
      <c r="Y255" s="177" t="str">
        <f t="shared" si="44"/>
        <v/>
      </c>
      <c r="Z255" s="106"/>
      <c r="AA255" s="57"/>
    </row>
    <row r="256" spans="1:27" s="55" customFormat="1" ht="21" customHeight="1" x14ac:dyDescent="0.25">
      <c r="A256" s="56"/>
      <c r="B256" s="83" t="s">
        <v>84</v>
      </c>
      <c r="C256" s="66" t="str">
        <f>IF($J$1="January",R248,IF($J$1="February",R249,IF($J$1="March",R250,IF($J$1="April",R251,IF($J$1="May",R252,IF($J$1="June",R253,IF($J$1="July",R254,IF($J$1="August",R255,IF($J$1="August",R255,IF($J$1="September",R256,IF($J$1="October",R257,IF($J$1="November",R258,IF($J$1="December",R259)))))))))))))</f>
        <v/>
      </c>
      <c r="D256" s="57"/>
      <c r="E256" s="57"/>
      <c r="F256" s="75" t="s">
        <v>83</v>
      </c>
      <c r="G256" s="70" t="str">
        <f>IF($J$1="January",Y248,IF($J$1="February",Y249,IF($J$1="March",Y250,IF($J$1="April",Y251,IF($J$1="May",Y252,IF($J$1="June",Y253,IF($J$1="July",Y254,IF($J$1="August",Y255,IF($J$1="August",Y255,IF($J$1="September",Y256,IF($J$1="October",Y257,IF($J$1="November",Y258,IF($J$1="December",Y259)))))))))))))</f>
        <v/>
      </c>
      <c r="H256" s="57"/>
      <c r="I256" s="295" t="s">
        <v>79</v>
      </c>
      <c r="J256" s="296"/>
      <c r="K256" s="84">
        <f>K254-K255</f>
        <v>0</v>
      </c>
      <c r="L256" s="85"/>
      <c r="M256" s="57"/>
      <c r="N256" s="100"/>
      <c r="O256" s="101" t="s">
        <v>72</v>
      </c>
      <c r="P256" s="101"/>
      <c r="Q256" s="101"/>
      <c r="R256" s="101" t="str">
        <f t="shared" si="42"/>
        <v/>
      </c>
      <c r="S256" s="105"/>
      <c r="T256" s="101" t="s">
        <v>72</v>
      </c>
      <c r="U256" s="177" t="str">
        <f>IF($J$1="Sept",Y255,"")</f>
        <v/>
      </c>
      <c r="V256" s="103"/>
      <c r="W256" s="177" t="str">
        <f t="shared" si="43"/>
        <v/>
      </c>
      <c r="X256" s="103"/>
      <c r="Y256" s="177" t="str">
        <f t="shared" si="44"/>
        <v/>
      </c>
      <c r="Z256" s="106"/>
      <c r="AA256" s="57"/>
    </row>
    <row r="257" spans="1:27" s="55" customFormat="1" ht="21" customHeight="1" x14ac:dyDescent="0.25">
      <c r="A257" s="56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73"/>
      <c r="M257" s="57"/>
      <c r="N257" s="100"/>
      <c r="O257" s="101" t="s">
        <v>68</v>
      </c>
      <c r="P257" s="101"/>
      <c r="Q257" s="101"/>
      <c r="R257" s="101">
        <v>0</v>
      </c>
      <c r="S257" s="105"/>
      <c r="T257" s="101" t="s">
        <v>68</v>
      </c>
      <c r="U257" s="177" t="str">
        <f>IF($J$1="October",Y256,"")</f>
        <v/>
      </c>
      <c r="V257" s="103"/>
      <c r="W257" s="177" t="str">
        <f t="shared" si="43"/>
        <v/>
      </c>
      <c r="X257" s="103"/>
      <c r="Y257" s="177" t="str">
        <f t="shared" si="44"/>
        <v/>
      </c>
      <c r="Z257" s="106"/>
      <c r="AA257" s="57"/>
    </row>
    <row r="258" spans="1:27" s="55" customFormat="1" ht="21" customHeight="1" x14ac:dyDescent="0.25">
      <c r="A258" s="56"/>
      <c r="B258" s="284" t="s">
        <v>116</v>
      </c>
      <c r="C258" s="284"/>
      <c r="D258" s="284"/>
      <c r="E258" s="284"/>
      <c r="F258" s="284"/>
      <c r="G258" s="284"/>
      <c r="H258" s="284"/>
      <c r="I258" s="284"/>
      <c r="J258" s="284"/>
      <c r="K258" s="284"/>
      <c r="L258" s="73"/>
      <c r="M258" s="57"/>
      <c r="N258" s="100"/>
      <c r="O258" s="101" t="s">
        <v>73</v>
      </c>
      <c r="P258" s="101"/>
      <c r="Q258" s="101"/>
      <c r="R258" s="101">
        <v>0</v>
      </c>
      <c r="S258" s="105"/>
      <c r="T258" s="101" t="s">
        <v>73</v>
      </c>
      <c r="U258" s="177" t="str">
        <f>IF($J$1="November",Y257,"")</f>
        <v/>
      </c>
      <c r="V258" s="103"/>
      <c r="W258" s="177" t="str">
        <f t="shared" si="43"/>
        <v/>
      </c>
      <c r="X258" s="103"/>
      <c r="Y258" s="177" t="str">
        <f t="shared" si="44"/>
        <v/>
      </c>
      <c r="Z258" s="106"/>
      <c r="AA258" s="57"/>
    </row>
    <row r="259" spans="1:27" s="55" customFormat="1" ht="21" customHeight="1" x14ac:dyDescent="0.25">
      <c r="A259" s="56"/>
      <c r="B259" s="284"/>
      <c r="C259" s="284"/>
      <c r="D259" s="284"/>
      <c r="E259" s="284"/>
      <c r="F259" s="284"/>
      <c r="G259" s="284"/>
      <c r="H259" s="284"/>
      <c r="I259" s="284"/>
      <c r="J259" s="284"/>
      <c r="K259" s="284"/>
      <c r="L259" s="73"/>
      <c r="M259" s="57"/>
      <c r="N259" s="100"/>
      <c r="O259" s="101" t="s">
        <v>74</v>
      </c>
      <c r="P259" s="101"/>
      <c r="Q259" s="101"/>
      <c r="R259" s="101" t="str">
        <f t="shared" si="42"/>
        <v/>
      </c>
      <c r="S259" s="105"/>
      <c r="T259" s="101" t="s">
        <v>74</v>
      </c>
      <c r="U259" s="177" t="str">
        <f>IF($J$1="Dec",Y258,"")</f>
        <v/>
      </c>
      <c r="V259" s="103"/>
      <c r="W259" s="177" t="str">
        <f t="shared" si="43"/>
        <v/>
      </c>
      <c r="X259" s="103"/>
      <c r="Y259" s="177" t="str">
        <f t="shared" si="44"/>
        <v/>
      </c>
      <c r="Z259" s="106"/>
      <c r="AA259" s="57"/>
    </row>
    <row r="260" spans="1:27" s="55" customFormat="1" ht="21" customHeight="1" thickBot="1" x14ac:dyDescent="0.3">
      <c r="A260" s="86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8"/>
      <c r="N260" s="107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9"/>
    </row>
    <row r="261" spans="1:27" s="57" customFormat="1" ht="21" customHeight="1" thickBot="1" x14ac:dyDescent="0.3"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</row>
    <row r="262" spans="1:27" s="55" customFormat="1" ht="21" customHeight="1" x14ac:dyDescent="0.25">
      <c r="A262" s="297" t="s">
        <v>56</v>
      </c>
      <c r="B262" s="298"/>
      <c r="C262" s="298"/>
      <c r="D262" s="298"/>
      <c r="E262" s="298"/>
      <c r="F262" s="298"/>
      <c r="G262" s="298"/>
      <c r="H262" s="298"/>
      <c r="I262" s="298"/>
      <c r="J262" s="298"/>
      <c r="K262" s="298"/>
      <c r="L262" s="299"/>
      <c r="M262" s="54"/>
      <c r="N262" s="93"/>
      <c r="O262" s="285" t="s">
        <v>58</v>
      </c>
      <c r="P262" s="286"/>
      <c r="Q262" s="286"/>
      <c r="R262" s="287"/>
      <c r="S262" s="94"/>
      <c r="T262" s="285" t="s">
        <v>59</v>
      </c>
      <c r="U262" s="286"/>
      <c r="V262" s="286"/>
      <c r="W262" s="286"/>
      <c r="X262" s="286"/>
      <c r="Y262" s="287"/>
      <c r="Z262" s="95"/>
      <c r="AA262" s="54"/>
    </row>
    <row r="263" spans="1:27" s="55" customFormat="1" ht="21" customHeight="1" x14ac:dyDescent="0.25">
      <c r="A263" s="56"/>
      <c r="B263" s="57"/>
      <c r="C263" s="288" t="s">
        <v>114</v>
      </c>
      <c r="D263" s="288"/>
      <c r="E263" s="288"/>
      <c r="F263" s="288"/>
      <c r="G263" s="58" t="str">
        <f>$J$1</f>
        <v>June</v>
      </c>
      <c r="H263" s="289">
        <f>$K$1</f>
        <v>2019</v>
      </c>
      <c r="I263" s="289"/>
      <c r="J263" s="57"/>
      <c r="K263" s="59"/>
      <c r="L263" s="60"/>
      <c r="M263" s="59"/>
      <c r="N263" s="96"/>
      <c r="O263" s="97" t="s">
        <v>69</v>
      </c>
      <c r="P263" s="97" t="s">
        <v>7</v>
      </c>
      <c r="Q263" s="97" t="s">
        <v>6</v>
      </c>
      <c r="R263" s="97" t="s">
        <v>70</v>
      </c>
      <c r="S263" s="98"/>
      <c r="T263" s="97" t="s">
        <v>69</v>
      </c>
      <c r="U263" s="97" t="s">
        <v>71</v>
      </c>
      <c r="V263" s="97" t="s">
        <v>29</v>
      </c>
      <c r="W263" s="97" t="s">
        <v>28</v>
      </c>
      <c r="X263" s="97" t="s">
        <v>30</v>
      </c>
      <c r="Y263" s="97" t="s">
        <v>75</v>
      </c>
      <c r="Z263" s="99"/>
      <c r="AA263" s="59"/>
    </row>
    <row r="264" spans="1:27" s="55" customFormat="1" ht="21" customHeight="1" x14ac:dyDescent="0.25">
      <c r="A264" s="56"/>
      <c r="B264" s="57"/>
      <c r="C264" s="57"/>
      <c r="D264" s="62"/>
      <c r="E264" s="62"/>
      <c r="F264" s="62"/>
      <c r="G264" s="62"/>
      <c r="H264" s="62"/>
      <c r="I264" s="57"/>
      <c r="J264" s="63" t="s">
        <v>1</v>
      </c>
      <c r="K264" s="64">
        <v>27000</v>
      </c>
      <c r="L264" s="65"/>
      <c r="M264" s="57"/>
      <c r="N264" s="100"/>
      <c r="O264" s="101" t="s">
        <v>61</v>
      </c>
      <c r="P264" s="101">
        <v>20</v>
      </c>
      <c r="Q264" s="101">
        <v>11</v>
      </c>
      <c r="R264" s="101">
        <f>15-Q264</f>
        <v>4</v>
      </c>
      <c r="S264" s="102"/>
      <c r="T264" s="101" t="s">
        <v>61</v>
      </c>
      <c r="U264" s="103">
        <v>5500</v>
      </c>
      <c r="V264" s="103"/>
      <c r="W264" s="103">
        <f>V264+U264</f>
        <v>5500</v>
      </c>
      <c r="X264" s="103">
        <v>2500</v>
      </c>
      <c r="Y264" s="103">
        <f>W264-X264</f>
        <v>3000</v>
      </c>
      <c r="Z264" s="99"/>
      <c r="AA264" s="57"/>
    </row>
    <row r="265" spans="1:27" s="55" customFormat="1" ht="21" customHeight="1" x14ac:dyDescent="0.25">
      <c r="A265" s="56"/>
      <c r="B265" s="57" t="s">
        <v>0</v>
      </c>
      <c r="C265" s="67" t="s">
        <v>112</v>
      </c>
      <c r="D265" s="57"/>
      <c r="E265" s="57"/>
      <c r="F265" s="57"/>
      <c r="G265" s="57"/>
      <c r="H265" s="68"/>
      <c r="I265" s="62"/>
      <c r="J265" s="57"/>
      <c r="K265" s="57"/>
      <c r="L265" s="69"/>
      <c r="M265" s="54"/>
      <c r="N265" s="104"/>
      <c r="O265" s="101" t="s">
        <v>87</v>
      </c>
      <c r="P265" s="101">
        <f>28-6</f>
        <v>22</v>
      </c>
      <c r="Q265" s="101">
        <v>6</v>
      </c>
      <c r="R265" s="101">
        <v>0</v>
      </c>
      <c r="S265" s="105"/>
      <c r="T265" s="101" t="s">
        <v>87</v>
      </c>
      <c r="U265" s="177">
        <f>Y264</f>
        <v>3000</v>
      </c>
      <c r="V265" s="103"/>
      <c r="W265" s="177">
        <f>IF(U265="","",U265+V265)</f>
        <v>3000</v>
      </c>
      <c r="X265" s="103"/>
      <c r="Y265" s="177">
        <f>IF(W265="","",W265-X265)</f>
        <v>3000</v>
      </c>
      <c r="Z265" s="106"/>
      <c r="AA265" s="54"/>
    </row>
    <row r="266" spans="1:27" s="55" customFormat="1" ht="21" customHeight="1" x14ac:dyDescent="0.25">
      <c r="A266" s="56"/>
      <c r="B266" s="71" t="s">
        <v>57</v>
      </c>
      <c r="C266" s="72" t="s">
        <v>113</v>
      </c>
      <c r="D266" s="57"/>
      <c r="E266" s="57"/>
      <c r="F266" s="290" t="s">
        <v>59</v>
      </c>
      <c r="G266" s="290"/>
      <c r="H266" s="57"/>
      <c r="I266" s="290" t="s">
        <v>60</v>
      </c>
      <c r="J266" s="290"/>
      <c r="K266" s="290"/>
      <c r="L266" s="73"/>
      <c r="M266" s="57"/>
      <c r="N266" s="100"/>
      <c r="O266" s="101" t="s">
        <v>62</v>
      </c>
      <c r="P266" s="101">
        <v>29</v>
      </c>
      <c r="Q266" s="101">
        <v>2</v>
      </c>
      <c r="R266" s="101">
        <v>0</v>
      </c>
      <c r="S266" s="105"/>
      <c r="T266" s="101" t="s">
        <v>62</v>
      </c>
      <c r="U266" s="177">
        <f>Y265</f>
        <v>3000</v>
      </c>
      <c r="V266" s="103"/>
      <c r="W266" s="177">
        <f t="shared" ref="W266:W275" si="45">IF(U266="","",U266+V266)</f>
        <v>3000</v>
      </c>
      <c r="X266" s="103">
        <v>3000</v>
      </c>
      <c r="Y266" s="177">
        <f t="shared" ref="Y266:Y275" si="46">IF(W266="","",W266-X266)</f>
        <v>0</v>
      </c>
      <c r="Z266" s="106"/>
      <c r="AA266" s="57"/>
    </row>
    <row r="267" spans="1:27" s="55" customFormat="1" ht="21" customHeight="1" x14ac:dyDescent="0.25">
      <c r="A267" s="56"/>
      <c r="B267" s="57"/>
      <c r="C267" s="57"/>
      <c r="D267" s="57"/>
      <c r="E267" s="57"/>
      <c r="F267" s="57"/>
      <c r="G267" s="57"/>
      <c r="H267" s="74"/>
      <c r="L267" s="61"/>
      <c r="M267" s="57"/>
      <c r="N267" s="100"/>
      <c r="O267" s="101" t="s">
        <v>63</v>
      </c>
      <c r="P267" s="101">
        <v>27</v>
      </c>
      <c r="Q267" s="101">
        <v>3</v>
      </c>
      <c r="R267" s="101">
        <v>0</v>
      </c>
      <c r="S267" s="105"/>
      <c r="T267" s="101" t="s">
        <v>63</v>
      </c>
      <c r="U267" s="177">
        <f>Y266</f>
        <v>0</v>
      </c>
      <c r="V267" s="103">
        <f>5000+1000</f>
        <v>6000</v>
      </c>
      <c r="W267" s="177">
        <f t="shared" si="45"/>
        <v>6000</v>
      </c>
      <c r="X267" s="103">
        <v>6000</v>
      </c>
      <c r="Y267" s="177">
        <f t="shared" si="46"/>
        <v>0</v>
      </c>
      <c r="Z267" s="106"/>
      <c r="AA267" s="57"/>
    </row>
    <row r="268" spans="1:27" s="55" customFormat="1" ht="21" customHeight="1" x14ac:dyDescent="0.25">
      <c r="A268" s="56"/>
      <c r="B268" s="291" t="s">
        <v>58</v>
      </c>
      <c r="C268" s="292"/>
      <c r="D268" s="57"/>
      <c r="E268" s="57"/>
      <c r="F268" s="75" t="s">
        <v>80</v>
      </c>
      <c r="G268" s="196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5000</v>
      </c>
      <c r="H268" s="74"/>
      <c r="I268" s="76">
        <f>IF(C272&gt;0,$K$2,C270)+4</f>
        <v>30</v>
      </c>
      <c r="J268" s="77" t="s">
        <v>77</v>
      </c>
      <c r="K268" s="78">
        <f>K264/$K$2*I268</f>
        <v>27000</v>
      </c>
      <c r="L268" s="79"/>
      <c r="M268" s="57"/>
      <c r="N268" s="100"/>
      <c r="O268" s="101" t="s">
        <v>64</v>
      </c>
      <c r="P268" s="101">
        <v>31</v>
      </c>
      <c r="Q268" s="101">
        <v>0</v>
      </c>
      <c r="R268" s="101">
        <f t="shared" ref="R268:R275" si="47">IF(Q268="","",R267-Q268)</f>
        <v>0</v>
      </c>
      <c r="S268" s="105"/>
      <c r="T268" s="101" t="s">
        <v>64</v>
      </c>
      <c r="U268" s="177">
        <f>Y267</f>
        <v>0</v>
      </c>
      <c r="V268" s="103">
        <v>10000</v>
      </c>
      <c r="W268" s="177">
        <f t="shared" si="45"/>
        <v>10000</v>
      </c>
      <c r="X268" s="103">
        <v>5000</v>
      </c>
      <c r="Y268" s="177">
        <f t="shared" si="46"/>
        <v>5000</v>
      </c>
      <c r="Z268" s="106"/>
      <c r="AA268" s="57"/>
    </row>
    <row r="269" spans="1:27" s="55" customFormat="1" ht="21" customHeight="1" x14ac:dyDescent="0.25">
      <c r="A269" s="56"/>
      <c r="B269" s="66"/>
      <c r="C269" s="66"/>
      <c r="D269" s="57"/>
      <c r="E269" s="57"/>
      <c r="F269" s="75" t="s">
        <v>29</v>
      </c>
      <c r="G269" s="196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74"/>
      <c r="I269" s="120"/>
      <c r="J269" s="77" t="s">
        <v>78</v>
      </c>
      <c r="K269" s="80">
        <f>K264/$K$2/8*I269</f>
        <v>0</v>
      </c>
      <c r="L269" s="81"/>
      <c r="M269" s="57"/>
      <c r="N269" s="100"/>
      <c r="O269" s="101" t="s">
        <v>65</v>
      </c>
      <c r="P269" s="101">
        <v>26</v>
      </c>
      <c r="Q269" s="101">
        <v>4</v>
      </c>
      <c r="R269" s="101">
        <v>0</v>
      </c>
      <c r="S269" s="105"/>
      <c r="T269" s="101" t="s">
        <v>65</v>
      </c>
      <c r="U269" s="177">
        <f>Y268</f>
        <v>5000</v>
      </c>
      <c r="V269" s="103"/>
      <c r="W269" s="177">
        <f t="shared" si="45"/>
        <v>5000</v>
      </c>
      <c r="X269" s="103">
        <v>5000</v>
      </c>
      <c r="Y269" s="177">
        <f t="shared" si="46"/>
        <v>0</v>
      </c>
      <c r="Z269" s="106"/>
      <c r="AA269" s="57"/>
    </row>
    <row r="270" spans="1:27" s="55" customFormat="1" ht="21" customHeight="1" x14ac:dyDescent="0.25">
      <c r="A270" s="56"/>
      <c r="B270" s="75" t="s">
        <v>7</v>
      </c>
      <c r="C270" s="66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26</v>
      </c>
      <c r="D270" s="57"/>
      <c r="E270" s="57"/>
      <c r="F270" s="75" t="s">
        <v>81</v>
      </c>
      <c r="G270" s="196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5000</v>
      </c>
      <c r="H270" s="74"/>
      <c r="I270" s="293" t="s">
        <v>85</v>
      </c>
      <c r="J270" s="294"/>
      <c r="K270" s="80">
        <f>K268+K269</f>
        <v>27000</v>
      </c>
      <c r="L270" s="81"/>
      <c r="M270" s="57"/>
      <c r="N270" s="100"/>
      <c r="O270" s="101" t="s">
        <v>66</v>
      </c>
      <c r="P270" s="101"/>
      <c r="Q270" s="101"/>
      <c r="R270" s="101" t="str">
        <f t="shared" si="47"/>
        <v/>
      </c>
      <c r="S270" s="105"/>
      <c r="T270" s="101" t="s">
        <v>66</v>
      </c>
      <c r="U270" s="177"/>
      <c r="V270" s="103"/>
      <c r="W270" s="177" t="str">
        <f t="shared" si="45"/>
        <v/>
      </c>
      <c r="X270" s="103"/>
      <c r="Y270" s="177" t="str">
        <f t="shared" si="46"/>
        <v/>
      </c>
      <c r="Z270" s="106"/>
      <c r="AA270" s="57"/>
    </row>
    <row r="271" spans="1:27" s="55" customFormat="1" ht="21" customHeight="1" x14ac:dyDescent="0.25">
      <c r="A271" s="56"/>
      <c r="B271" s="75" t="s">
        <v>6</v>
      </c>
      <c r="C271" s="66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4</v>
      </c>
      <c r="D271" s="57"/>
      <c r="E271" s="57"/>
      <c r="F271" s="75" t="s">
        <v>30</v>
      </c>
      <c r="G271" s="196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5000</v>
      </c>
      <c r="H271" s="74"/>
      <c r="I271" s="293" t="s">
        <v>86</v>
      </c>
      <c r="J271" s="294"/>
      <c r="K271" s="70">
        <f>G271</f>
        <v>5000</v>
      </c>
      <c r="L271" s="82"/>
      <c r="M271" s="57"/>
      <c r="N271" s="100"/>
      <c r="O271" s="101" t="s">
        <v>67</v>
      </c>
      <c r="P271" s="101"/>
      <c r="Q271" s="101"/>
      <c r="R271" s="101" t="str">
        <f t="shared" si="47"/>
        <v/>
      </c>
      <c r="S271" s="105"/>
      <c r="T271" s="101" t="s">
        <v>67</v>
      </c>
      <c r="U271" s="177"/>
      <c r="V271" s="103"/>
      <c r="W271" s="177" t="str">
        <f t="shared" si="45"/>
        <v/>
      </c>
      <c r="X271" s="103"/>
      <c r="Y271" s="177" t="str">
        <f t="shared" si="46"/>
        <v/>
      </c>
      <c r="Z271" s="106"/>
      <c r="AA271" s="57"/>
    </row>
    <row r="272" spans="1:27" s="55" customFormat="1" ht="21" customHeight="1" x14ac:dyDescent="0.25">
      <c r="A272" s="56"/>
      <c r="B272" s="83" t="s">
        <v>84</v>
      </c>
      <c r="C272" s="66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57"/>
      <c r="E272" s="57"/>
      <c r="F272" s="75" t="s">
        <v>83</v>
      </c>
      <c r="G272" s="196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0</v>
      </c>
      <c r="H272" s="57"/>
      <c r="I272" s="295" t="s">
        <v>79</v>
      </c>
      <c r="J272" s="296"/>
      <c r="K272" s="84">
        <f>K270-K271</f>
        <v>22000</v>
      </c>
      <c r="L272" s="85"/>
      <c r="M272" s="57"/>
      <c r="N272" s="100"/>
      <c r="O272" s="101" t="s">
        <v>72</v>
      </c>
      <c r="P272" s="101"/>
      <c r="Q272" s="101"/>
      <c r="R272" s="101" t="str">
        <f t="shared" si="47"/>
        <v/>
      </c>
      <c r="S272" s="105"/>
      <c r="T272" s="101" t="s">
        <v>72</v>
      </c>
      <c r="U272" s="177"/>
      <c r="V272" s="103"/>
      <c r="W272" s="177" t="str">
        <f t="shared" si="45"/>
        <v/>
      </c>
      <c r="X272" s="103"/>
      <c r="Y272" s="177" t="str">
        <f t="shared" si="46"/>
        <v/>
      </c>
      <c r="Z272" s="106"/>
      <c r="AA272" s="57"/>
    </row>
    <row r="273" spans="1:27" s="55" customFormat="1" ht="21" customHeight="1" x14ac:dyDescent="0.25">
      <c r="A273" s="56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73"/>
      <c r="M273" s="57"/>
      <c r="N273" s="100"/>
      <c r="O273" s="101" t="s">
        <v>68</v>
      </c>
      <c r="P273" s="101"/>
      <c r="Q273" s="101"/>
      <c r="R273" s="101" t="str">
        <f t="shared" si="47"/>
        <v/>
      </c>
      <c r="S273" s="105"/>
      <c r="T273" s="101" t="s">
        <v>68</v>
      </c>
      <c r="U273" s="177"/>
      <c r="V273" s="103"/>
      <c r="W273" s="177" t="str">
        <f t="shared" si="45"/>
        <v/>
      </c>
      <c r="X273" s="103"/>
      <c r="Y273" s="177" t="str">
        <f t="shared" si="46"/>
        <v/>
      </c>
      <c r="Z273" s="106"/>
      <c r="AA273" s="57"/>
    </row>
    <row r="274" spans="1:27" s="55" customFormat="1" ht="21" customHeight="1" x14ac:dyDescent="0.25">
      <c r="A274" s="56"/>
      <c r="B274" s="284" t="s">
        <v>116</v>
      </c>
      <c r="C274" s="284"/>
      <c r="D274" s="284"/>
      <c r="E274" s="284"/>
      <c r="F274" s="284"/>
      <c r="G274" s="284"/>
      <c r="H274" s="284"/>
      <c r="I274" s="284"/>
      <c r="J274" s="284"/>
      <c r="K274" s="284"/>
      <c r="L274" s="73"/>
      <c r="M274" s="57"/>
      <c r="N274" s="100"/>
      <c r="O274" s="101" t="s">
        <v>73</v>
      </c>
      <c r="P274" s="101"/>
      <c r="Q274" s="101"/>
      <c r="R274" s="101" t="str">
        <f t="shared" si="47"/>
        <v/>
      </c>
      <c r="S274" s="105"/>
      <c r="T274" s="101" t="s">
        <v>73</v>
      </c>
      <c r="U274" s="177"/>
      <c r="V274" s="103"/>
      <c r="W274" s="177" t="str">
        <f t="shared" si="45"/>
        <v/>
      </c>
      <c r="X274" s="103"/>
      <c r="Y274" s="177" t="str">
        <f t="shared" si="46"/>
        <v/>
      </c>
      <c r="Z274" s="106"/>
      <c r="AA274" s="57"/>
    </row>
    <row r="275" spans="1:27" s="55" customFormat="1" ht="21" customHeight="1" x14ac:dyDescent="0.25">
      <c r="A275" s="56"/>
      <c r="B275" s="284"/>
      <c r="C275" s="284"/>
      <c r="D275" s="284"/>
      <c r="E275" s="284"/>
      <c r="F275" s="284"/>
      <c r="G275" s="284"/>
      <c r="H275" s="284"/>
      <c r="I275" s="284"/>
      <c r="J275" s="284"/>
      <c r="K275" s="284"/>
      <c r="L275" s="73"/>
      <c r="M275" s="57"/>
      <c r="N275" s="100"/>
      <c r="O275" s="101" t="s">
        <v>74</v>
      </c>
      <c r="P275" s="101"/>
      <c r="Q275" s="101"/>
      <c r="R275" s="101" t="str">
        <f t="shared" si="47"/>
        <v/>
      </c>
      <c r="S275" s="105"/>
      <c r="T275" s="101" t="s">
        <v>74</v>
      </c>
      <c r="U275" s="177"/>
      <c r="V275" s="103"/>
      <c r="W275" s="177" t="str">
        <f t="shared" si="45"/>
        <v/>
      </c>
      <c r="X275" s="103"/>
      <c r="Y275" s="177" t="str">
        <f t="shared" si="46"/>
        <v/>
      </c>
      <c r="Z275" s="106"/>
      <c r="AA275" s="57"/>
    </row>
    <row r="276" spans="1:27" s="55" customFormat="1" ht="21" customHeight="1" thickBot="1" x14ac:dyDescent="0.3">
      <c r="A276" s="86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8"/>
      <c r="N276" s="107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9"/>
    </row>
    <row r="277" spans="1:27" s="57" customFormat="1" ht="21" customHeight="1" thickBot="1" x14ac:dyDescent="0.3"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</row>
    <row r="278" spans="1:27" s="55" customFormat="1" ht="21" customHeight="1" x14ac:dyDescent="0.25">
      <c r="A278" s="297" t="s">
        <v>56</v>
      </c>
      <c r="B278" s="298"/>
      <c r="C278" s="298"/>
      <c r="D278" s="298"/>
      <c r="E278" s="298"/>
      <c r="F278" s="298"/>
      <c r="G278" s="298"/>
      <c r="H278" s="298"/>
      <c r="I278" s="298"/>
      <c r="J278" s="298"/>
      <c r="K278" s="298"/>
      <c r="L278" s="299"/>
      <c r="M278" s="54"/>
      <c r="N278" s="93"/>
      <c r="O278" s="285" t="s">
        <v>58</v>
      </c>
      <c r="P278" s="286"/>
      <c r="Q278" s="286"/>
      <c r="R278" s="287"/>
      <c r="S278" s="94"/>
      <c r="T278" s="285" t="s">
        <v>59</v>
      </c>
      <c r="U278" s="286"/>
      <c r="V278" s="286"/>
      <c r="W278" s="286"/>
      <c r="X278" s="286"/>
      <c r="Y278" s="287"/>
      <c r="Z278" s="95"/>
      <c r="AA278" s="54"/>
    </row>
    <row r="279" spans="1:27" s="55" customFormat="1" ht="21" customHeight="1" x14ac:dyDescent="0.25">
      <c r="A279" s="56"/>
      <c r="B279" s="57"/>
      <c r="C279" s="288" t="s">
        <v>114</v>
      </c>
      <c r="D279" s="288"/>
      <c r="E279" s="288"/>
      <c r="F279" s="288"/>
      <c r="G279" s="58" t="str">
        <f>$J$1</f>
        <v>June</v>
      </c>
      <c r="H279" s="289">
        <f>$K$1</f>
        <v>2019</v>
      </c>
      <c r="I279" s="289"/>
      <c r="J279" s="57"/>
      <c r="K279" s="59"/>
      <c r="L279" s="60"/>
      <c r="M279" s="59"/>
      <c r="N279" s="96"/>
      <c r="O279" s="97" t="s">
        <v>69</v>
      </c>
      <c r="P279" s="97" t="s">
        <v>7</v>
      </c>
      <c r="Q279" s="97" t="s">
        <v>6</v>
      </c>
      <c r="R279" s="97" t="s">
        <v>70</v>
      </c>
      <c r="S279" s="98"/>
      <c r="T279" s="97" t="s">
        <v>69</v>
      </c>
      <c r="U279" s="97" t="s">
        <v>71</v>
      </c>
      <c r="V279" s="97" t="s">
        <v>29</v>
      </c>
      <c r="W279" s="97" t="s">
        <v>28</v>
      </c>
      <c r="X279" s="97" t="s">
        <v>30</v>
      </c>
      <c r="Y279" s="97" t="s">
        <v>75</v>
      </c>
      <c r="Z279" s="99"/>
      <c r="AA279" s="59"/>
    </row>
    <row r="280" spans="1:27" s="55" customFormat="1" ht="21" customHeight="1" x14ac:dyDescent="0.25">
      <c r="A280" s="56"/>
      <c r="B280" s="57"/>
      <c r="C280" s="57"/>
      <c r="D280" s="62"/>
      <c r="E280" s="62"/>
      <c r="F280" s="62"/>
      <c r="G280" s="62"/>
      <c r="H280" s="62"/>
      <c r="I280" s="57"/>
      <c r="J280" s="63" t="s">
        <v>1</v>
      </c>
      <c r="K280" s="64">
        <v>22000</v>
      </c>
      <c r="L280" s="65"/>
      <c r="M280" s="57"/>
      <c r="N280" s="100"/>
      <c r="O280" s="101" t="s">
        <v>61</v>
      </c>
      <c r="P280" s="101">
        <v>28</v>
      </c>
      <c r="Q280" s="101">
        <v>3</v>
      </c>
      <c r="R280" s="101">
        <f>15-Q280</f>
        <v>12</v>
      </c>
      <c r="S280" s="102"/>
      <c r="T280" s="101" t="s">
        <v>61</v>
      </c>
      <c r="U280" s="103"/>
      <c r="V280" s="103"/>
      <c r="W280" s="103">
        <f>V280+U280</f>
        <v>0</v>
      </c>
      <c r="X280" s="103"/>
      <c r="Y280" s="103">
        <f>W280-X280</f>
        <v>0</v>
      </c>
      <c r="Z280" s="99"/>
      <c r="AA280" s="57"/>
    </row>
    <row r="281" spans="1:27" s="55" customFormat="1" ht="21" customHeight="1" x14ac:dyDescent="0.25">
      <c r="A281" s="56"/>
      <c r="B281" s="57" t="s">
        <v>0</v>
      </c>
      <c r="C281" s="67" t="s">
        <v>103</v>
      </c>
      <c r="D281" s="57"/>
      <c r="E281" s="57"/>
      <c r="F281" s="57"/>
      <c r="G281" s="57"/>
      <c r="H281" s="68"/>
      <c r="I281" s="62"/>
      <c r="J281" s="57"/>
      <c r="K281" s="57"/>
      <c r="L281" s="69"/>
      <c r="M281" s="54"/>
      <c r="N281" s="104"/>
      <c r="O281" s="101" t="s">
        <v>87</v>
      </c>
      <c r="P281" s="101">
        <f>28-9</f>
        <v>19</v>
      </c>
      <c r="Q281" s="101">
        <v>9</v>
      </c>
      <c r="R281" s="101">
        <f>R280-Q281</f>
        <v>3</v>
      </c>
      <c r="S281" s="105"/>
      <c r="T281" s="101" t="s">
        <v>87</v>
      </c>
      <c r="U281" s="177" t="str">
        <f>IF($J$1="February",Y280,"")</f>
        <v/>
      </c>
      <c r="V281" s="103"/>
      <c r="W281" s="177" t="str">
        <f>IF(U281="","",U281+V281)</f>
        <v/>
      </c>
      <c r="X281" s="103"/>
      <c r="Y281" s="177" t="str">
        <f>IF(W281="","",W281-X281)</f>
        <v/>
      </c>
      <c r="Z281" s="106"/>
      <c r="AA281" s="54"/>
    </row>
    <row r="282" spans="1:27" s="55" customFormat="1" ht="21" customHeight="1" x14ac:dyDescent="0.25">
      <c r="A282" s="56"/>
      <c r="B282" s="71" t="s">
        <v>57</v>
      </c>
      <c r="C282" s="72"/>
      <c r="D282" s="57"/>
      <c r="E282" s="57"/>
      <c r="F282" s="290" t="s">
        <v>59</v>
      </c>
      <c r="G282" s="290"/>
      <c r="H282" s="57"/>
      <c r="I282" s="290" t="s">
        <v>60</v>
      </c>
      <c r="J282" s="290"/>
      <c r="K282" s="290"/>
      <c r="L282" s="73"/>
      <c r="M282" s="57"/>
      <c r="N282" s="100"/>
      <c r="O282" s="101" t="s">
        <v>62</v>
      </c>
      <c r="P282" s="101">
        <v>27</v>
      </c>
      <c r="Q282" s="101">
        <v>4</v>
      </c>
      <c r="R282" s="101">
        <v>0</v>
      </c>
      <c r="S282" s="105"/>
      <c r="T282" s="101" t="s">
        <v>62</v>
      </c>
      <c r="U282" s="177" t="str">
        <f>IF($J$1="April",Y281,Y281)</f>
        <v/>
      </c>
      <c r="V282" s="103"/>
      <c r="W282" s="177" t="str">
        <f t="shared" ref="W282:W291" si="48">IF(U282="","",U282+V282)</f>
        <v/>
      </c>
      <c r="X282" s="103"/>
      <c r="Y282" s="177" t="str">
        <f t="shared" ref="Y282:Y291" si="49">IF(W282="","",W282-X282)</f>
        <v/>
      </c>
      <c r="Z282" s="106"/>
      <c r="AA282" s="57"/>
    </row>
    <row r="283" spans="1:27" s="55" customFormat="1" ht="21" customHeight="1" x14ac:dyDescent="0.25">
      <c r="A283" s="56"/>
      <c r="B283" s="57"/>
      <c r="C283" s="57"/>
      <c r="D283" s="57"/>
      <c r="E283" s="57"/>
      <c r="F283" s="57"/>
      <c r="G283" s="57"/>
      <c r="H283" s="74"/>
      <c r="L283" s="61"/>
      <c r="M283" s="57"/>
      <c r="N283" s="100"/>
      <c r="O283" s="101" t="s">
        <v>63</v>
      </c>
      <c r="P283" s="101">
        <v>14</v>
      </c>
      <c r="Q283" s="101">
        <v>16</v>
      </c>
      <c r="R283" s="101">
        <v>0</v>
      </c>
      <c r="S283" s="105"/>
      <c r="T283" s="101" t="s">
        <v>63</v>
      </c>
      <c r="U283" s="177" t="str">
        <f>IF($J$1="April",Y282,Y282)</f>
        <v/>
      </c>
      <c r="V283" s="103"/>
      <c r="W283" s="177" t="str">
        <f t="shared" si="48"/>
        <v/>
      </c>
      <c r="X283" s="103"/>
      <c r="Y283" s="177" t="str">
        <f t="shared" si="49"/>
        <v/>
      </c>
      <c r="Z283" s="106"/>
      <c r="AA283" s="57"/>
    </row>
    <row r="284" spans="1:27" s="55" customFormat="1" ht="21" customHeight="1" x14ac:dyDescent="0.25">
      <c r="A284" s="56"/>
      <c r="B284" s="291" t="s">
        <v>58</v>
      </c>
      <c r="C284" s="292"/>
      <c r="D284" s="57"/>
      <c r="E284" s="57"/>
      <c r="F284" s="75" t="s">
        <v>80</v>
      </c>
      <c r="G284" s="70" t="str">
        <f>IF($J$1="January",U280,IF($J$1="February",U281,IF($J$1="March",U282,IF($J$1="April",U283,IF($J$1="May",U284,IF($J$1="June",U285,IF($J$1="July",U286,IF($J$1="August",U287,IF($J$1="August",U287,IF($J$1="September",U288,IF($J$1="October",U289,IF($J$1="November",U290,IF($J$1="December",U291)))))))))))))</f>
        <v/>
      </c>
      <c r="H284" s="74"/>
      <c r="I284" s="76">
        <f>IF(C288&gt;0,$K$2,C286)</f>
        <v>25</v>
      </c>
      <c r="J284" s="77" t="s">
        <v>77</v>
      </c>
      <c r="K284" s="78">
        <f>K280/$K$2*I284</f>
        <v>18333.333333333336</v>
      </c>
      <c r="L284" s="79"/>
      <c r="M284" s="57"/>
      <c r="N284" s="100"/>
      <c r="O284" s="101" t="s">
        <v>64</v>
      </c>
      <c r="P284" s="101">
        <v>10</v>
      </c>
      <c r="Q284" s="101"/>
      <c r="R284" s="101">
        <v>0</v>
      </c>
      <c r="S284" s="105"/>
      <c r="T284" s="101" t="s">
        <v>64</v>
      </c>
      <c r="U284" s="177" t="str">
        <f>IF($J$1="May",Y283,Y283)</f>
        <v/>
      </c>
      <c r="V284" s="103"/>
      <c r="W284" s="177" t="str">
        <f t="shared" si="48"/>
        <v/>
      </c>
      <c r="X284" s="103"/>
      <c r="Y284" s="177" t="str">
        <f t="shared" si="49"/>
        <v/>
      </c>
      <c r="Z284" s="106"/>
      <c r="AA284" s="57"/>
    </row>
    <row r="285" spans="1:27" s="55" customFormat="1" ht="21" customHeight="1" x14ac:dyDescent="0.25">
      <c r="A285" s="56"/>
      <c r="B285" s="66"/>
      <c r="C285" s="66"/>
      <c r="D285" s="57"/>
      <c r="E285" s="57"/>
      <c r="F285" s="75" t="s">
        <v>29</v>
      </c>
      <c r="G285" s="70">
        <f>IF($J$1="January",V280,IF($J$1="February",V281,IF($J$1="March",V282,IF($J$1="April",V283,IF($J$1="May",V284,IF($J$1="June",V285,IF($J$1="July",V286,IF($J$1="August",V287,IF($J$1="August",V287,IF($J$1="September",V288,IF($J$1="October",V289,IF($J$1="November",V290,IF($J$1="December",V291)))))))))))))</f>
        <v>0</v>
      </c>
      <c r="H285" s="74"/>
      <c r="I285" s="175"/>
      <c r="J285" s="77" t="s">
        <v>78</v>
      </c>
      <c r="K285" s="80">
        <f>K280/$K$2/8*I285</f>
        <v>0</v>
      </c>
      <c r="L285" s="81"/>
      <c r="M285" s="57"/>
      <c r="N285" s="100"/>
      <c r="O285" s="101" t="s">
        <v>65</v>
      </c>
      <c r="P285" s="101">
        <v>25</v>
      </c>
      <c r="Q285" s="101">
        <v>5</v>
      </c>
      <c r="R285" s="101">
        <v>0</v>
      </c>
      <c r="S285" s="105"/>
      <c r="T285" s="101" t="s">
        <v>65</v>
      </c>
      <c r="U285" s="177" t="str">
        <f>IF($J$1="May",Y284,Y284)</f>
        <v/>
      </c>
      <c r="V285" s="103"/>
      <c r="W285" s="177" t="str">
        <f t="shared" si="48"/>
        <v/>
      </c>
      <c r="X285" s="103"/>
      <c r="Y285" s="177" t="str">
        <f t="shared" si="49"/>
        <v/>
      </c>
      <c r="Z285" s="106"/>
      <c r="AA285" s="57"/>
    </row>
    <row r="286" spans="1:27" s="55" customFormat="1" ht="21" customHeight="1" x14ac:dyDescent="0.25">
      <c r="A286" s="56"/>
      <c r="B286" s="75" t="s">
        <v>7</v>
      </c>
      <c r="C286" s="66">
        <f>IF($J$1="January",P280,IF($J$1="February",P281,IF($J$1="March",P282,IF($J$1="April",P283,IF($J$1="May",P284,IF($J$1="June",P285,IF($J$1="July",P286,IF($J$1="August",P287,IF($J$1="August",P287,IF($J$1="September",P288,IF($J$1="October",P289,IF($J$1="November",P290,IF($J$1="December",P291)))))))))))))</f>
        <v>25</v>
      </c>
      <c r="D286" s="57"/>
      <c r="E286" s="57"/>
      <c r="F286" s="75" t="s">
        <v>81</v>
      </c>
      <c r="G286" s="70" t="str">
        <f>IF($J$1="January",W280,IF($J$1="February",W281,IF($J$1="March",W282,IF($J$1="April",W283,IF($J$1="May",W284,IF($J$1="June",W285,IF($J$1="July",W286,IF($J$1="August",W287,IF($J$1="August",W287,IF($J$1="September",W288,IF($J$1="October",W289,IF($J$1="November",W290,IF($J$1="December",W291)))))))))))))</f>
        <v/>
      </c>
      <c r="H286" s="74"/>
      <c r="I286" s="293" t="s">
        <v>85</v>
      </c>
      <c r="J286" s="294"/>
      <c r="K286" s="80">
        <f>K284+K285</f>
        <v>18333.333333333336</v>
      </c>
      <c r="L286" s="81"/>
      <c r="M286" s="57"/>
      <c r="N286" s="100"/>
      <c r="O286" s="101" t="s">
        <v>66</v>
      </c>
      <c r="P286" s="101"/>
      <c r="Q286" s="101"/>
      <c r="R286" s="101"/>
      <c r="S286" s="105"/>
      <c r="T286" s="101" t="s">
        <v>66</v>
      </c>
      <c r="U286" s="177" t="str">
        <f>IF($J$1="July",Y285,"")</f>
        <v/>
      </c>
      <c r="V286" s="103"/>
      <c r="W286" s="177" t="str">
        <f t="shared" si="48"/>
        <v/>
      </c>
      <c r="X286" s="103"/>
      <c r="Y286" s="177" t="str">
        <f t="shared" si="49"/>
        <v/>
      </c>
      <c r="Z286" s="106"/>
      <c r="AA286" s="57"/>
    </row>
    <row r="287" spans="1:27" s="55" customFormat="1" ht="21" customHeight="1" x14ac:dyDescent="0.25">
      <c r="A287" s="56"/>
      <c r="B287" s="75" t="s">
        <v>6</v>
      </c>
      <c r="C287" s="66">
        <f>IF($J$1="January",Q280,IF($J$1="February",Q281,IF($J$1="March",Q282,IF($J$1="April",Q283,IF($J$1="May",Q284,IF($J$1="June",Q285,IF($J$1="July",Q286,IF($J$1="August",Q287,IF($J$1="August",Q287,IF($J$1="September",Q288,IF($J$1="October",Q289,IF($J$1="November",Q290,IF($J$1="December",Q291)))))))))))))</f>
        <v>5</v>
      </c>
      <c r="D287" s="57"/>
      <c r="E287" s="57"/>
      <c r="F287" s="75" t="s">
        <v>30</v>
      </c>
      <c r="G287" s="70">
        <f>IF($J$1="January",X280,IF($J$1="February",X281,IF($J$1="March",X282,IF($J$1="April",X283,IF($J$1="May",X284,IF($J$1="June",X285,IF($J$1="July",X286,IF($J$1="August",X287,IF($J$1="August",X287,IF($J$1="September",X288,IF($J$1="October",X289,IF($J$1="November",X290,IF($J$1="December",X291)))))))))))))</f>
        <v>0</v>
      </c>
      <c r="H287" s="74"/>
      <c r="I287" s="293" t="s">
        <v>86</v>
      </c>
      <c r="J287" s="294"/>
      <c r="K287" s="70">
        <f>G287</f>
        <v>0</v>
      </c>
      <c r="L287" s="82"/>
      <c r="M287" s="57"/>
      <c r="N287" s="100"/>
      <c r="O287" s="101" t="s">
        <v>67</v>
      </c>
      <c r="P287" s="101"/>
      <c r="Q287" s="101"/>
      <c r="R287" s="101"/>
      <c r="S287" s="105"/>
      <c r="T287" s="101" t="s">
        <v>67</v>
      </c>
      <c r="U287" s="177" t="str">
        <f>IF($J$1="September",Y286,"")</f>
        <v/>
      </c>
      <c r="V287" s="103"/>
      <c r="W287" s="177" t="str">
        <f t="shared" si="48"/>
        <v/>
      </c>
      <c r="X287" s="103"/>
      <c r="Y287" s="177" t="str">
        <f t="shared" si="49"/>
        <v/>
      </c>
      <c r="Z287" s="106"/>
      <c r="AA287" s="57"/>
    </row>
    <row r="288" spans="1:27" s="55" customFormat="1" ht="21" customHeight="1" x14ac:dyDescent="0.25">
      <c r="A288" s="56"/>
      <c r="B288" s="83" t="s">
        <v>84</v>
      </c>
      <c r="C288" s="66">
        <f>IF($J$1="January",R280,IF($J$1="February",R281,IF($J$1="March",R282,IF($J$1="April",R283,IF($J$1="May",R284,IF($J$1="June",R285,IF($J$1="July",R286,IF($J$1="August",R287,IF($J$1="August",R287,IF($J$1="September",R288,IF($J$1="October",R289,IF($J$1="November",R290,IF($J$1="December",R291)))))))))))))</f>
        <v>0</v>
      </c>
      <c r="D288" s="57"/>
      <c r="E288" s="57"/>
      <c r="F288" s="75" t="s">
        <v>83</v>
      </c>
      <c r="G288" s="70" t="str">
        <f>IF($J$1="January",Y280,IF($J$1="February",Y281,IF($J$1="March",Y282,IF($J$1="April",Y283,IF($J$1="May",Y284,IF($J$1="June",Y285,IF($J$1="July",Y286,IF($J$1="August",Y287,IF($J$1="August",Y287,IF($J$1="September",Y288,IF($J$1="October",Y289,IF($J$1="November",Y290,IF($J$1="December",Y291)))))))))))))</f>
        <v/>
      </c>
      <c r="H288" s="57"/>
      <c r="I288" s="295" t="s">
        <v>79</v>
      </c>
      <c r="J288" s="296"/>
      <c r="K288" s="84">
        <f>K286-K287</f>
        <v>18333.333333333336</v>
      </c>
      <c r="L288" s="85"/>
      <c r="M288" s="57"/>
      <c r="N288" s="100"/>
      <c r="O288" s="101" t="s">
        <v>72</v>
      </c>
      <c r="P288" s="101"/>
      <c r="Q288" s="101"/>
      <c r="R288" s="101"/>
      <c r="S288" s="105"/>
      <c r="T288" s="101" t="s">
        <v>72</v>
      </c>
      <c r="U288" s="177" t="str">
        <f>IF($J$1="September",Y287,"")</f>
        <v/>
      </c>
      <c r="V288" s="103"/>
      <c r="W288" s="177" t="str">
        <f t="shared" si="48"/>
        <v/>
      </c>
      <c r="X288" s="103"/>
      <c r="Y288" s="177" t="str">
        <f t="shared" si="49"/>
        <v/>
      </c>
      <c r="Z288" s="106"/>
      <c r="AA288" s="57"/>
    </row>
    <row r="289" spans="1:27" s="55" customFormat="1" ht="21" customHeight="1" x14ac:dyDescent="0.25">
      <c r="A289" s="56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73"/>
      <c r="M289" s="57"/>
      <c r="N289" s="100"/>
      <c r="O289" s="101" t="s">
        <v>68</v>
      </c>
      <c r="P289" s="101"/>
      <c r="Q289" s="101"/>
      <c r="R289" s="101"/>
      <c r="S289" s="105"/>
      <c r="T289" s="101" t="s">
        <v>68</v>
      </c>
      <c r="U289" s="177" t="str">
        <f>IF($J$1="October",Y288,"")</f>
        <v/>
      </c>
      <c r="V289" s="103"/>
      <c r="W289" s="177" t="str">
        <f t="shared" si="48"/>
        <v/>
      </c>
      <c r="X289" s="103"/>
      <c r="Y289" s="177" t="str">
        <f t="shared" si="49"/>
        <v/>
      </c>
      <c r="Z289" s="106"/>
      <c r="AA289" s="57"/>
    </row>
    <row r="290" spans="1:27" s="55" customFormat="1" ht="21" customHeight="1" x14ac:dyDescent="0.25">
      <c r="A290" s="56"/>
      <c r="B290" s="284" t="s">
        <v>116</v>
      </c>
      <c r="C290" s="284"/>
      <c r="D290" s="284"/>
      <c r="E290" s="284"/>
      <c r="F290" s="284"/>
      <c r="G290" s="284"/>
      <c r="H290" s="284"/>
      <c r="I290" s="284"/>
      <c r="J290" s="284"/>
      <c r="K290" s="284"/>
      <c r="L290" s="73"/>
      <c r="M290" s="57"/>
      <c r="N290" s="100"/>
      <c r="O290" s="101" t="s">
        <v>73</v>
      </c>
      <c r="P290" s="101"/>
      <c r="Q290" s="101"/>
      <c r="R290" s="101"/>
      <c r="S290" s="105"/>
      <c r="T290" s="101" t="s">
        <v>73</v>
      </c>
      <c r="U290" s="177" t="str">
        <f>IF($J$1="November",Y289,"")</f>
        <v/>
      </c>
      <c r="V290" s="103"/>
      <c r="W290" s="177" t="str">
        <f t="shared" si="48"/>
        <v/>
      </c>
      <c r="X290" s="103"/>
      <c r="Y290" s="177" t="str">
        <f t="shared" si="49"/>
        <v/>
      </c>
      <c r="Z290" s="106"/>
      <c r="AA290" s="57"/>
    </row>
    <row r="291" spans="1:27" s="55" customFormat="1" ht="21" customHeight="1" x14ac:dyDescent="0.25">
      <c r="A291" s="56"/>
      <c r="B291" s="284"/>
      <c r="C291" s="284"/>
      <c r="D291" s="284"/>
      <c r="E291" s="284"/>
      <c r="F291" s="284"/>
      <c r="G291" s="284"/>
      <c r="H291" s="284"/>
      <c r="I291" s="284"/>
      <c r="J291" s="284"/>
      <c r="K291" s="284"/>
      <c r="L291" s="73"/>
      <c r="M291" s="57"/>
      <c r="N291" s="100"/>
      <c r="O291" s="101" t="s">
        <v>74</v>
      </c>
      <c r="P291" s="101"/>
      <c r="Q291" s="101"/>
      <c r="R291" s="101"/>
      <c r="S291" s="105"/>
      <c r="T291" s="101" t="s">
        <v>74</v>
      </c>
      <c r="U291" s="177" t="str">
        <f>IF($J$1="Dec",Y290,"")</f>
        <v/>
      </c>
      <c r="V291" s="103"/>
      <c r="W291" s="177" t="str">
        <f t="shared" si="48"/>
        <v/>
      </c>
      <c r="X291" s="103"/>
      <c r="Y291" s="177" t="str">
        <f t="shared" si="49"/>
        <v/>
      </c>
      <c r="Z291" s="106"/>
      <c r="AA291" s="57"/>
    </row>
    <row r="292" spans="1:27" s="55" customFormat="1" ht="21" customHeight="1" thickBot="1" x14ac:dyDescent="0.3">
      <c r="A292" s="86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8"/>
      <c r="N292" s="107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9"/>
    </row>
    <row r="293" spans="1:27" s="57" customFormat="1" ht="21" customHeight="1" thickBot="1" x14ac:dyDescent="0.3"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</row>
    <row r="294" spans="1:27" s="55" customFormat="1" ht="21" customHeight="1" x14ac:dyDescent="0.25">
      <c r="A294" s="297" t="s">
        <v>56</v>
      </c>
      <c r="B294" s="298"/>
      <c r="C294" s="298"/>
      <c r="D294" s="298"/>
      <c r="E294" s="298"/>
      <c r="F294" s="298"/>
      <c r="G294" s="298"/>
      <c r="H294" s="298"/>
      <c r="I294" s="298"/>
      <c r="J294" s="298"/>
      <c r="K294" s="298"/>
      <c r="L294" s="299"/>
      <c r="M294" s="54"/>
      <c r="N294" s="93"/>
      <c r="O294" s="285" t="s">
        <v>58</v>
      </c>
      <c r="P294" s="286"/>
      <c r="Q294" s="286"/>
      <c r="R294" s="287"/>
      <c r="S294" s="94"/>
      <c r="T294" s="285" t="s">
        <v>59</v>
      </c>
      <c r="U294" s="286"/>
      <c r="V294" s="286"/>
      <c r="W294" s="286"/>
      <c r="X294" s="286"/>
      <c r="Y294" s="287"/>
      <c r="Z294" s="95"/>
      <c r="AA294" s="54"/>
    </row>
    <row r="295" spans="1:27" s="55" customFormat="1" ht="21" customHeight="1" x14ac:dyDescent="0.25">
      <c r="A295" s="56"/>
      <c r="B295" s="57"/>
      <c r="C295" s="288" t="s">
        <v>114</v>
      </c>
      <c r="D295" s="288"/>
      <c r="E295" s="288"/>
      <c r="F295" s="288"/>
      <c r="G295" s="58" t="str">
        <f>$J$1</f>
        <v>June</v>
      </c>
      <c r="H295" s="289">
        <f>$K$1</f>
        <v>2019</v>
      </c>
      <c r="I295" s="289"/>
      <c r="J295" s="57"/>
      <c r="K295" s="59"/>
      <c r="L295" s="60"/>
      <c r="M295" s="59"/>
      <c r="N295" s="96"/>
      <c r="O295" s="97" t="s">
        <v>69</v>
      </c>
      <c r="P295" s="97" t="s">
        <v>7</v>
      </c>
      <c r="Q295" s="97" t="s">
        <v>6</v>
      </c>
      <c r="R295" s="97" t="s">
        <v>70</v>
      </c>
      <c r="S295" s="98"/>
      <c r="T295" s="97" t="s">
        <v>69</v>
      </c>
      <c r="U295" s="97" t="s">
        <v>71</v>
      </c>
      <c r="V295" s="97" t="s">
        <v>29</v>
      </c>
      <c r="W295" s="97" t="s">
        <v>28</v>
      </c>
      <c r="X295" s="97" t="s">
        <v>30</v>
      </c>
      <c r="Y295" s="97" t="s">
        <v>75</v>
      </c>
      <c r="Z295" s="99"/>
      <c r="AA295" s="59"/>
    </row>
    <row r="296" spans="1:27" s="55" customFormat="1" ht="21" customHeight="1" x14ac:dyDescent="0.25">
      <c r="A296" s="56"/>
      <c r="B296" s="57"/>
      <c r="C296" s="57"/>
      <c r="D296" s="62"/>
      <c r="E296" s="62"/>
      <c r="F296" s="62"/>
      <c r="G296" s="62"/>
      <c r="H296" s="62"/>
      <c r="I296" s="57"/>
      <c r="J296" s="63" t="s">
        <v>1</v>
      </c>
      <c r="K296" s="64">
        <v>42000</v>
      </c>
      <c r="L296" s="65"/>
      <c r="M296" s="57"/>
      <c r="N296" s="100"/>
      <c r="O296" s="101" t="s">
        <v>61</v>
      </c>
      <c r="P296" s="101">
        <v>29</v>
      </c>
      <c r="Q296" s="101">
        <v>2</v>
      </c>
      <c r="R296" s="101">
        <f>15-Q296</f>
        <v>13</v>
      </c>
      <c r="S296" s="102"/>
      <c r="T296" s="101" t="s">
        <v>61</v>
      </c>
      <c r="U296" s="103">
        <v>5000</v>
      </c>
      <c r="V296" s="103"/>
      <c r="W296" s="103">
        <f>V296+U296</f>
        <v>5000</v>
      </c>
      <c r="X296" s="103">
        <v>5000</v>
      </c>
      <c r="Y296" s="103">
        <f>W296-X296</f>
        <v>0</v>
      </c>
      <c r="Z296" s="99"/>
      <c r="AA296" s="57"/>
    </row>
    <row r="297" spans="1:27" s="55" customFormat="1" ht="21" customHeight="1" x14ac:dyDescent="0.25">
      <c r="A297" s="56"/>
      <c r="B297" s="57" t="s">
        <v>0</v>
      </c>
      <c r="C297" s="67" t="s">
        <v>34</v>
      </c>
      <c r="D297" s="57"/>
      <c r="E297" s="57"/>
      <c r="F297" s="57"/>
      <c r="G297" s="57"/>
      <c r="H297" s="68"/>
      <c r="I297" s="62"/>
      <c r="J297" s="57"/>
      <c r="K297" s="57"/>
      <c r="L297" s="69"/>
      <c r="M297" s="54"/>
      <c r="N297" s="104"/>
      <c r="O297" s="101" t="s">
        <v>87</v>
      </c>
      <c r="P297" s="101">
        <v>28</v>
      </c>
      <c r="Q297" s="101">
        <v>0</v>
      </c>
      <c r="R297" s="101">
        <f>IF(Q297="","",R296-Q297)</f>
        <v>13</v>
      </c>
      <c r="S297" s="105"/>
      <c r="T297" s="101" t="s">
        <v>87</v>
      </c>
      <c r="U297" s="177"/>
      <c r="V297" s="103">
        <v>3000</v>
      </c>
      <c r="W297" s="103">
        <f>V297+U297</f>
        <v>3000</v>
      </c>
      <c r="X297" s="103">
        <v>3000</v>
      </c>
      <c r="Y297" s="177">
        <f>IF(W297="","",W297-X297)</f>
        <v>0</v>
      </c>
      <c r="Z297" s="106"/>
      <c r="AA297" s="54"/>
    </row>
    <row r="298" spans="1:27" s="55" customFormat="1" ht="21" customHeight="1" x14ac:dyDescent="0.25">
      <c r="A298" s="56"/>
      <c r="B298" s="71" t="s">
        <v>57</v>
      </c>
      <c r="C298" s="72"/>
      <c r="D298" s="57"/>
      <c r="E298" s="57"/>
      <c r="F298" s="290" t="s">
        <v>59</v>
      </c>
      <c r="G298" s="290"/>
      <c r="H298" s="57"/>
      <c r="I298" s="290" t="s">
        <v>60</v>
      </c>
      <c r="J298" s="290"/>
      <c r="K298" s="290"/>
      <c r="L298" s="73"/>
      <c r="M298" s="57"/>
      <c r="N298" s="100"/>
      <c r="O298" s="101" t="s">
        <v>62</v>
      </c>
      <c r="P298" s="101">
        <v>30</v>
      </c>
      <c r="Q298" s="101">
        <v>1</v>
      </c>
      <c r="R298" s="101">
        <f t="shared" ref="R298:R307" si="50">IF(Q298="","",R297-Q298)</f>
        <v>12</v>
      </c>
      <c r="S298" s="105"/>
      <c r="T298" s="101" t="s">
        <v>62</v>
      </c>
      <c r="U298" s="177"/>
      <c r="V298" s="103">
        <v>3000</v>
      </c>
      <c r="W298" s="103">
        <f>V298+U298</f>
        <v>3000</v>
      </c>
      <c r="X298" s="103">
        <v>3000</v>
      </c>
      <c r="Y298" s="177">
        <f t="shared" ref="Y298:Y307" si="51">IF(W298="","",W298-X298)</f>
        <v>0</v>
      </c>
      <c r="Z298" s="106"/>
      <c r="AA298" s="57"/>
    </row>
    <row r="299" spans="1:27" s="55" customFormat="1" ht="21" customHeight="1" x14ac:dyDescent="0.25">
      <c r="A299" s="56"/>
      <c r="B299" s="57"/>
      <c r="C299" s="57"/>
      <c r="D299" s="57"/>
      <c r="E299" s="57"/>
      <c r="F299" s="57"/>
      <c r="G299" s="57"/>
      <c r="H299" s="74"/>
      <c r="L299" s="61"/>
      <c r="M299" s="57"/>
      <c r="N299" s="100"/>
      <c r="O299" s="101" t="s">
        <v>63</v>
      </c>
      <c r="P299" s="101">
        <v>30</v>
      </c>
      <c r="Q299" s="101">
        <v>0</v>
      </c>
      <c r="R299" s="101">
        <f t="shared" si="50"/>
        <v>12</v>
      </c>
      <c r="S299" s="105"/>
      <c r="T299" s="101" t="s">
        <v>63</v>
      </c>
      <c r="U299" s="177">
        <f>Y298</f>
        <v>0</v>
      </c>
      <c r="V299" s="103">
        <v>14000</v>
      </c>
      <c r="W299" s="177">
        <f t="shared" ref="W299:W307" si="52">IF(U299="","",U299+V299)</f>
        <v>14000</v>
      </c>
      <c r="X299" s="103">
        <v>3000</v>
      </c>
      <c r="Y299" s="177">
        <f t="shared" si="51"/>
        <v>11000</v>
      </c>
      <c r="Z299" s="106"/>
      <c r="AA299" s="57"/>
    </row>
    <row r="300" spans="1:27" s="55" customFormat="1" ht="21" customHeight="1" x14ac:dyDescent="0.25">
      <c r="A300" s="56"/>
      <c r="B300" s="291" t="s">
        <v>58</v>
      </c>
      <c r="C300" s="292"/>
      <c r="D300" s="57"/>
      <c r="E300" s="57"/>
      <c r="F300" s="75" t="s">
        <v>80</v>
      </c>
      <c r="G300" s="70">
        <f>IF($J$1="January",U296,IF($J$1="February",U297,IF($J$1="March",U298,IF($J$1="April",U299,IF($J$1="May",U300,IF($J$1="June",U301,IF($J$1="July",U302,IF($J$1="August",U303,IF($J$1="August",U303,IF($J$1="September",U304,IF($J$1="October",U305,IF($J$1="November",U306,IF($J$1="December",U307)))))))))))))</f>
        <v>8000</v>
      </c>
      <c r="H300" s="74"/>
      <c r="I300" s="76">
        <f>IF(C304&gt;0,$K$2,C302)</f>
        <v>30</v>
      </c>
      <c r="J300" s="77" t="s">
        <v>77</v>
      </c>
      <c r="K300" s="78">
        <f>K296/$K$2*I300</f>
        <v>42000</v>
      </c>
      <c r="L300" s="79"/>
      <c r="M300" s="57"/>
      <c r="N300" s="100"/>
      <c r="O300" s="101" t="s">
        <v>64</v>
      </c>
      <c r="P300" s="101">
        <v>31</v>
      </c>
      <c r="Q300" s="101">
        <v>0</v>
      </c>
      <c r="R300" s="101">
        <f t="shared" si="50"/>
        <v>12</v>
      </c>
      <c r="S300" s="105"/>
      <c r="T300" s="101" t="s">
        <v>64</v>
      </c>
      <c r="U300" s="177">
        <f>Y299</f>
        <v>11000</v>
      </c>
      <c r="V300" s="103"/>
      <c r="W300" s="177">
        <f t="shared" si="52"/>
        <v>11000</v>
      </c>
      <c r="X300" s="103">
        <v>3000</v>
      </c>
      <c r="Y300" s="177">
        <f t="shared" si="51"/>
        <v>8000</v>
      </c>
      <c r="Z300" s="106"/>
      <c r="AA300" s="57"/>
    </row>
    <row r="301" spans="1:27" s="55" customFormat="1" ht="21" customHeight="1" x14ac:dyDescent="0.25">
      <c r="A301" s="56"/>
      <c r="B301" s="66"/>
      <c r="C301" s="66"/>
      <c r="D301" s="57"/>
      <c r="E301" s="57"/>
      <c r="F301" s="75" t="s">
        <v>29</v>
      </c>
      <c r="G301" s="70">
        <f>IF($J$1="January",V296,IF($J$1="February",V297,IF($J$1="March",V298,IF($J$1="April",V299,IF($J$1="May",V300,IF($J$1="June",V301,IF($J$1="July",V302,IF($J$1="August",V303,IF($J$1="August",V303,IF($J$1="September",V304,IF($J$1="October",V305,IF($J$1="November",V306,IF($J$1="December",V307)))))))))))))</f>
        <v>5000</v>
      </c>
      <c r="H301" s="74"/>
      <c r="I301" s="120">
        <v>8</v>
      </c>
      <c r="J301" s="77" t="s">
        <v>78</v>
      </c>
      <c r="K301" s="80">
        <f>K296/$K$2/8*I301</f>
        <v>1400</v>
      </c>
      <c r="L301" s="81"/>
      <c r="M301" s="57"/>
      <c r="N301" s="100"/>
      <c r="O301" s="101" t="s">
        <v>65</v>
      </c>
      <c r="P301" s="101">
        <v>31</v>
      </c>
      <c r="Q301" s="101">
        <v>0</v>
      </c>
      <c r="R301" s="101">
        <f t="shared" si="50"/>
        <v>12</v>
      </c>
      <c r="S301" s="105"/>
      <c r="T301" s="101" t="s">
        <v>65</v>
      </c>
      <c r="U301" s="177">
        <f>Y300</f>
        <v>8000</v>
      </c>
      <c r="V301" s="103">
        <v>5000</v>
      </c>
      <c r="W301" s="177">
        <f t="shared" si="52"/>
        <v>13000</v>
      </c>
      <c r="X301" s="103">
        <v>5000</v>
      </c>
      <c r="Y301" s="177">
        <f t="shared" si="51"/>
        <v>8000</v>
      </c>
      <c r="Z301" s="106"/>
      <c r="AA301" s="57"/>
    </row>
    <row r="302" spans="1:27" s="55" customFormat="1" ht="21" customHeight="1" x14ac:dyDescent="0.25">
      <c r="A302" s="56"/>
      <c r="B302" s="75" t="s">
        <v>7</v>
      </c>
      <c r="C302" s="66">
        <f>IF($J$1="January",P296,IF($J$1="February",P297,IF($J$1="March",P298,IF($J$1="April",P299,IF($J$1="May",P300,IF($J$1="June",P301,IF($J$1="July",P302,IF($J$1="August",P303,IF($J$1="August",P303,IF($J$1="September",P304,IF($J$1="October",P305,IF($J$1="November",P306,IF($J$1="December",P307)))))))))))))</f>
        <v>31</v>
      </c>
      <c r="D302" s="57"/>
      <c r="E302" s="57"/>
      <c r="F302" s="75" t="s">
        <v>81</v>
      </c>
      <c r="G302" s="196">
        <f>IF($J$1="January",W296,IF($J$1="February",W297,IF($J$1="March",W298,IF($J$1="April",W299,IF($J$1="May",W300,IF($J$1="June",W301,IF($J$1="July",W302,IF($J$1="August",W303,IF($J$1="August",W303,IF($J$1="September",W304,IF($J$1="October",W305,IF($J$1="November",W306,IF($J$1="December",W307)))))))))))))</f>
        <v>13000</v>
      </c>
      <c r="H302" s="74"/>
      <c r="I302" s="293" t="s">
        <v>85</v>
      </c>
      <c r="J302" s="294"/>
      <c r="K302" s="80">
        <f>K300+K301</f>
        <v>43400</v>
      </c>
      <c r="L302" s="81"/>
      <c r="M302" s="57"/>
      <c r="N302" s="100"/>
      <c r="O302" s="101" t="s">
        <v>66</v>
      </c>
      <c r="P302" s="101"/>
      <c r="Q302" s="101"/>
      <c r="R302" s="101" t="str">
        <f t="shared" si="50"/>
        <v/>
      </c>
      <c r="S302" s="105"/>
      <c r="T302" s="101" t="s">
        <v>66</v>
      </c>
      <c r="U302" s="177"/>
      <c r="V302" s="103"/>
      <c r="W302" s="177" t="str">
        <f t="shared" si="52"/>
        <v/>
      </c>
      <c r="X302" s="103"/>
      <c r="Y302" s="177" t="str">
        <f t="shared" si="51"/>
        <v/>
      </c>
      <c r="Z302" s="106"/>
      <c r="AA302" s="57"/>
    </row>
    <row r="303" spans="1:27" s="55" customFormat="1" ht="21" customHeight="1" x14ac:dyDescent="0.25">
      <c r="A303" s="56"/>
      <c r="B303" s="75" t="s">
        <v>6</v>
      </c>
      <c r="C303" s="66">
        <f>IF($J$1="January",Q296,IF($J$1="February",Q297,IF($J$1="March",Q298,IF($J$1="April",Q299,IF($J$1="May",Q300,IF($J$1="June",Q301,IF($J$1="July",Q302,IF($J$1="August",Q303,IF($J$1="August",Q303,IF($J$1="September",Q304,IF($J$1="October",Q305,IF($J$1="November",Q306,IF($J$1="December",Q307)))))))))))))</f>
        <v>0</v>
      </c>
      <c r="D303" s="57"/>
      <c r="E303" s="57"/>
      <c r="F303" s="75" t="s">
        <v>30</v>
      </c>
      <c r="G303" s="196">
        <f>IF($J$1="January",X296,IF($J$1="February",X297,IF($J$1="March",X298,IF($J$1="April",X299,IF($J$1="May",X300,IF($J$1="June",X301,IF($J$1="July",X302,IF($J$1="August",X303,IF($J$1="August",X303,IF($J$1="September",X304,IF($J$1="October",X305,IF($J$1="November",X306,IF($J$1="December",X307)))))))))))))</f>
        <v>5000</v>
      </c>
      <c r="H303" s="74"/>
      <c r="I303" s="293" t="s">
        <v>86</v>
      </c>
      <c r="J303" s="294"/>
      <c r="K303" s="70">
        <f>G303</f>
        <v>5000</v>
      </c>
      <c r="L303" s="82"/>
      <c r="M303" s="57"/>
      <c r="N303" s="100"/>
      <c r="O303" s="101" t="s">
        <v>67</v>
      </c>
      <c r="P303" s="101"/>
      <c r="Q303" s="101"/>
      <c r="R303" s="101" t="str">
        <f t="shared" si="50"/>
        <v/>
      </c>
      <c r="S303" s="105"/>
      <c r="T303" s="101" t="s">
        <v>67</v>
      </c>
      <c r="U303" s="177"/>
      <c r="V303" s="103"/>
      <c r="W303" s="177" t="str">
        <f t="shared" si="52"/>
        <v/>
      </c>
      <c r="X303" s="103"/>
      <c r="Y303" s="177" t="str">
        <f t="shared" si="51"/>
        <v/>
      </c>
      <c r="Z303" s="106"/>
      <c r="AA303" s="57"/>
    </row>
    <row r="304" spans="1:27" s="55" customFormat="1" ht="21" customHeight="1" x14ac:dyDescent="0.25">
      <c r="A304" s="56"/>
      <c r="B304" s="83" t="s">
        <v>84</v>
      </c>
      <c r="C304" s="66">
        <f>IF($J$1="January",R296,IF($J$1="February",R297,IF($J$1="March",R298,IF($J$1="April",R299,IF($J$1="May",R300,IF($J$1="June",R301,IF($J$1="July",R302,IF($J$1="August",R303,IF($J$1="August",R303,IF($J$1="September",R304,IF($J$1="October",R305,IF($J$1="November",R306,IF($J$1="December",R307)))))))))))))</f>
        <v>12</v>
      </c>
      <c r="D304" s="57"/>
      <c r="E304" s="57"/>
      <c r="F304" s="75" t="s">
        <v>83</v>
      </c>
      <c r="G304" s="196">
        <f>IF($J$1="January",Y296,IF($J$1="February",Y297,IF($J$1="March",Y298,IF($J$1="April",Y299,IF($J$1="May",Y300,IF($J$1="June",Y301,IF($J$1="July",Y302,IF($J$1="August",Y303,IF($J$1="August",Y303,IF($J$1="September",Y304,IF($J$1="October",Y305,IF($J$1="November",Y306,IF($J$1="December",Y307)))))))))))))</f>
        <v>8000</v>
      </c>
      <c r="H304" s="57"/>
      <c r="I304" s="295" t="s">
        <v>79</v>
      </c>
      <c r="J304" s="296"/>
      <c r="K304" s="84">
        <f>K302-K303</f>
        <v>38400</v>
      </c>
      <c r="L304" s="85"/>
      <c r="M304" s="57"/>
      <c r="N304" s="100"/>
      <c r="O304" s="101" t="s">
        <v>72</v>
      </c>
      <c r="P304" s="101"/>
      <c r="Q304" s="101"/>
      <c r="R304" s="101" t="str">
        <f t="shared" si="50"/>
        <v/>
      </c>
      <c r="S304" s="105"/>
      <c r="T304" s="101" t="s">
        <v>72</v>
      </c>
      <c r="U304" s="177"/>
      <c r="V304" s="103"/>
      <c r="W304" s="177" t="str">
        <f t="shared" si="52"/>
        <v/>
      </c>
      <c r="X304" s="103"/>
      <c r="Y304" s="177" t="str">
        <f t="shared" si="51"/>
        <v/>
      </c>
      <c r="Z304" s="106"/>
      <c r="AA304" s="57"/>
    </row>
    <row r="305" spans="1:27" s="55" customFormat="1" ht="21" customHeight="1" x14ac:dyDescent="0.25">
      <c r="A305" s="56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73"/>
      <c r="M305" s="57"/>
      <c r="N305" s="100"/>
      <c r="O305" s="101" t="s">
        <v>68</v>
      </c>
      <c r="P305" s="101"/>
      <c r="Q305" s="101"/>
      <c r="R305" s="101" t="str">
        <f t="shared" si="50"/>
        <v/>
      </c>
      <c r="S305" s="105"/>
      <c r="T305" s="101" t="s">
        <v>68</v>
      </c>
      <c r="U305" s="177"/>
      <c r="V305" s="103"/>
      <c r="W305" s="177" t="str">
        <f t="shared" si="52"/>
        <v/>
      </c>
      <c r="X305" s="103"/>
      <c r="Y305" s="177" t="str">
        <f t="shared" si="51"/>
        <v/>
      </c>
      <c r="Z305" s="106"/>
      <c r="AA305" s="57"/>
    </row>
    <row r="306" spans="1:27" s="55" customFormat="1" ht="21" customHeight="1" x14ac:dyDescent="0.25">
      <c r="A306" s="56"/>
      <c r="B306" s="284" t="s">
        <v>116</v>
      </c>
      <c r="C306" s="284"/>
      <c r="D306" s="284"/>
      <c r="E306" s="284"/>
      <c r="F306" s="284"/>
      <c r="G306" s="284"/>
      <c r="H306" s="284"/>
      <c r="I306" s="284"/>
      <c r="J306" s="284"/>
      <c r="K306" s="284"/>
      <c r="L306" s="73"/>
      <c r="M306" s="57"/>
      <c r="N306" s="100"/>
      <c r="O306" s="101" t="s">
        <v>73</v>
      </c>
      <c r="P306" s="101"/>
      <c r="Q306" s="101"/>
      <c r="R306" s="101" t="str">
        <f t="shared" si="50"/>
        <v/>
      </c>
      <c r="S306" s="105"/>
      <c r="T306" s="101" t="s">
        <v>73</v>
      </c>
      <c r="U306" s="177"/>
      <c r="V306" s="103"/>
      <c r="W306" s="177" t="str">
        <f t="shared" si="52"/>
        <v/>
      </c>
      <c r="X306" s="103"/>
      <c r="Y306" s="177" t="str">
        <f t="shared" si="51"/>
        <v/>
      </c>
      <c r="Z306" s="106"/>
      <c r="AA306" s="57"/>
    </row>
    <row r="307" spans="1:27" s="55" customFormat="1" ht="21" customHeight="1" x14ac:dyDescent="0.25">
      <c r="A307" s="56"/>
      <c r="B307" s="284"/>
      <c r="C307" s="284"/>
      <c r="D307" s="284"/>
      <c r="E307" s="284"/>
      <c r="F307" s="284"/>
      <c r="G307" s="284"/>
      <c r="H307" s="284"/>
      <c r="I307" s="284"/>
      <c r="J307" s="284"/>
      <c r="K307" s="284"/>
      <c r="L307" s="73"/>
      <c r="M307" s="57"/>
      <c r="N307" s="100"/>
      <c r="O307" s="101" t="s">
        <v>74</v>
      </c>
      <c r="P307" s="101"/>
      <c r="Q307" s="101"/>
      <c r="R307" s="101" t="str">
        <f t="shared" si="50"/>
        <v/>
      </c>
      <c r="S307" s="105"/>
      <c r="T307" s="101" t="s">
        <v>74</v>
      </c>
      <c r="U307" s="177"/>
      <c r="V307" s="103"/>
      <c r="W307" s="177" t="str">
        <f t="shared" si="52"/>
        <v/>
      </c>
      <c r="X307" s="103"/>
      <c r="Y307" s="177" t="str">
        <f t="shared" si="51"/>
        <v/>
      </c>
      <c r="Z307" s="106"/>
      <c r="AA307" s="57"/>
    </row>
    <row r="308" spans="1:27" s="55" customFormat="1" ht="21" customHeight="1" thickBot="1" x14ac:dyDescent="0.3">
      <c r="A308" s="86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8"/>
      <c r="N308" s="107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9"/>
    </row>
    <row r="309" spans="1:27" s="57" customFormat="1" ht="21" customHeight="1" thickBot="1" x14ac:dyDescent="0.3"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</row>
    <row r="310" spans="1:27" s="55" customFormat="1" ht="21" customHeight="1" x14ac:dyDescent="0.25">
      <c r="A310" s="297" t="s">
        <v>56</v>
      </c>
      <c r="B310" s="298"/>
      <c r="C310" s="298"/>
      <c r="D310" s="298"/>
      <c r="E310" s="298"/>
      <c r="F310" s="298"/>
      <c r="G310" s="298"/>
      <c r="H310" s="298"/>
      <c r="I310" s="298"/>
      <c r="J310" s="298"/>
      <c r="K310" s="298"/>
      <c r="L310" s="299"/>
      <c r="M310" s="113"/>
      <c r="N310" s="93"/>
      <c r="O310" s="285" t="s">
        <v>58</v>
      </c>
      <c r="P310" s="286"/>
      <c r="Q310" s="286"/>
      <c r="R310" s="287"/>
      <c r="S310" s="94"/>
      <c r="T310" s="285" t="s">
        <v>59</v>
      </c>
      <c r="U310" s="286"/>
      <c r="V310" s="286"/>
      <c r="W310" s="286"/>
      <c r="X310" s="286"/>
      <c r="Y310" s="287"/>
      <c r="Z310" s="92"/>
    </row>
    <row r="311" spans="1:27" s="55" customFormat="1" ht="21" customHeight="1" x14ac:dyDescent="0.25">
      <c r="A311" s="56"/>
      <c r="B311" s="57"/>
      <c r="C311" s="288" t="s">
        <v>114</v>
      </c>
      <c r="D311" s="288"/>
      <c r="E311" s="288"/>
      <c r="F311" s="288"/>
      <c r="G311" s="58" t="str">
        <f>$J$1</f>
        <v>June</v>
      </c>
      <c r="H311" s="289">
        <f>$K$1</f>
        <v>2019</v>
      </c>
      <c r="I311" s="289"/>
      <c r="J311" s="57"/>
      <c r="K311" s="59"/>
      <c r="L311" s="60"/>
      <c r="M311" s="59"/>
      <c r="N311" s="96"/>
      <c r="O311" s="97" t="s">
        <v>69</v>
      </c>
      <c r="P311" s="97" t="s">
        <v>7</v>
      </c>
      <c r="Q311" s="97" t="s">
        <v>6</v>
      </c>
      <c r="R311" s="97" t="s">
        <v>70</v>
      </c>
      <c r="S311" s="98"/>
      <c r="T311" s="97" t="s">
        <v>69</v>
      </c>
      <c r="U311" s="97" t="s">
        <v>71</v>
      </c>
      <c r="V311" s="97" t="s">
        <v>29</v>
      </c>
      <c r="W311" s="97" t="s">
        <v>28</v>
      </c>
      <c r="X311" s="97" t="s">
        <v>30</v>
      </c>
      <c r="Y311" s="97" t="s">
        <v>75</v>
      </c>
      <c r="Z311" s="92"/>
    </row>
    <row r="312" spans="1:27" s="55" customFormat="1" ht="21" customHeight="1" x14ac:dyDescent="0.25">
      <c r="A312" s="56"/>
      <c r="B312" s="57"/>
      <c r="C312" s="57"/>
      <c r="D312" s="62"/>
      <c r="E312" s="62"/>
      <c r="F312" s="62"/>
      <c r="G312" s="62"/>
      <c r="H312" s="62"/>
      <c r="I312" s="57"/>
      <c r="J312" s="63" t="s">
        <v>1</v>
      </c>
      <c r="K312" s="64">
        <v>10000</v>
      </c>
      <c r="L312" s="65"/>
      <c r="M312" s="57"/>
      <c r="N312" s="100"/>
      <c r="O312" s="101" t="s">
        <v>61</v>
      </c>
      <c r="P312" s="101"/>
      <c r="Q312" s="101"/>
      <c r="R312" s="101"/>
      <c r="S312" s="102"/>
      <c r="T312" s="101" t="s">
        <v>61</v>
      </c>
      <c r="U312" s="103"/>
      <c r="V312" s="103"/>
      <c r="W312" s="103">
        <f>V312+U312</f>
        <v>0</v>
      </c>
      <c r="X312" s="103"/>
      <c r="Y312" s="103">
        <f>W312-X312</f>
        <v>0</v>
      </c>
      <c r="Z312" s="92"/>
    </row>
    <row r="313" spans="1:27" s="55" customFormat="1" ht="21" customHeight="1" x14ac:dyDescent="0.25">
      <c r="A313" s="56"/>
      <c r="B313" s="57" t="s">
        <v>0</v>
      </c>
      <c r="C313" s="112" t="s">
        <v>186</v>
      </c>
      <c r="D313" s="57"/>
      <c r="E313" s="57"/>
      <c r="F313" s="57"/>
      <c r="G313" s="57"/>
      <c r="H313" s="68"/>
      <c r="I313" s="62"/>
      <c r="J313" s="57"/>
      <c r="K313" s="57"/>
      <c r="L313" s="69"/>
      <c r="M313" s="113"/>
      <c r="N313" s="104"/>
      <c r="O313" s="101" t="s">
        <v>87</v>
      </c>
      <c r="P313" s="101"/>
      <c r="Q313" s="101"/>
      <c r="R313" s="101">
        <v>0</v>
      </c>
      <c r="S313" s="105"/>
      <c r="T313" s="101" t="s">
        <v>87</v>
      </c>
      <c r="U313" s="177"/>
      <c r="V313" s="103"/>
      <c r="W313" s="103">
        <f>V313+U313</f>
        <v>0</v>
      </c>
      <c r="X313" s="103"/>
      <c r="Y313" s="177">
        <f>IF(W313="","",W313-X313)</f>
        <v>0</v>
      </c>
      <c r="Z313" s="92"/>
    </row>
    <row r="314" spans="1:27" s="55" customFormat="1" ht="21" customHeight="1" x14ac:dyDescent="0.25">
      <c r="A314" s="56"/>
      <c r="B314" s="71" t="s">
        <v>57</v>
      </c>
      <c r="C314" s="72"/>
      <c r="D314" s="57"/>
      <c r="E314" s="57"/>
      <c r="F314" s="290" t="s">
        <v>59</v>
      </c>
      <c r="G314" s="290"/>
      <c r="H314" s="57"/>
      <c r="I314" s="290" t="s">
        <v>60</v>
      </c>
      <c r="J314" s="290"/>
      <c r="K314" s="290"/>
      <c r="L314" s="73"/>
      <c r="M314" s="57"/>
      <c r="N314" s="100"/>
      <c r="O314" s="101" t="s">
        <v>62</v>
      </c>
      <c r="P314" s="101"/>
      <c r="Q314" s="101"/>
      <c r="R314" s="101">
        <v>0</v>
      </c>
      <c r="S314" s="105"/>
      <c r="T314" s="101" t="s">
        <v>62</v>
      </c>
      <c r="U314" s="177"/>
      <c r="V314" s="103"/>
      <c r="W314" s="103">
        <f>V314+U314</f>
        <v>0</v>
      </c>
      <c r="X314" s="103"/>
      <c r="Y314" s="177">
        <f t="shared" ref="Y314:Y323" si="53">IF(W314="","",W314-X314)</f>
        <v>0</v>
      </c>
      <c r="Z314" s="92"/>
    </row>
    <row r="315" spans="1:27" s="55" customFormat="1" ht="21" customHeight="1" x14ac:dyDescent="0.25">
      <c r="A315" s="56"/>
      <c r="B315" s="57"/>
      <c r="C315" s="57"/>
      <c r="D315" s="57"/>
      <c r="E315" s="57"/>
      <c r="F315" s="57"/>
      <c r="G315" s="57"/>
      <c r="H315" s="74"/>
      <c r="L315" s="61"/>
      <c r="M315" s="57"/>
      <c r="N315" s="100"/>
      <c r="O315" s="101" t="s">
        <v>63</v>
      </c>
      <c r="P315" s="101"/>
      <c r="Q315" s="101"/>
      <c r="R315" s="101">
        <v>0</v>
      </c>
      <c r="S315" s="105"/>
      <c r="T315" s="101" t="s">
        <v>63</v>
      </c>
      <c r="U315" s="177">
        <f>Y314</f>
        <v>0</v>
      </c>
      <c r="V315" s="103"/>
      <c r="W315" s="177">
        <f t="shared" ref="W315:W323" si="54">IF(U315="","",U315+V315)</f>
        <v>0</v>
      </c>
      <c r="X315" s="103"/>
      <c r="Y315" s="177">
        <f t="shared" si="53"/>
        <v>0</v>
      </c>
      <c r="Z315" s="92"/>
    </row>
    <row r="316" spans="1:27" s="55" customFormat="1" ht="21" customHeight="1" x14ac:dyDescent="0.25">
      <c r="A316" s="56"/>
      <c r="B316" s="291" t="s">
        <v>58</v>
      </c>
      <c r="C316" s="292"/>
      <c r="D316" s="57"/>
      <c r="E316" s="57"/>
      <c r="F316" s="75" t="s">
        <v>80</v>
      </c>
      <c r="G316" s="70">
        <f>IF($J$1="January",U312,IF($J$1="February",U313,IF($J$1="March",U314,IF($J$1="April",U315,IF($J$1="May",U316,IF($J$1="June",U317,IF($J$1="July",U318,IF($J$1="August",U319,IF($J$1="August",U319,IF($J$1="September",U320,IF($J$1="October",U321,IF($J$1="November",U322,IF($J$1="December",U323)))))))))))))</f>
        <v>0</v>
      </c>
      <c r="H316" s="74"/>
      <c r="I316" s="76">
        <f>IF(C320&gt;0,$K$2,C318)</f>
        <v>22</v>
      </c>
      <c r="J316" s="77" t="s">
        <v>77</v>
      </c>
      <c r="K316" s="78">
        <f>K312/$K$2*I316</f>
        <v>7333.333333333333</v>
      </c>
      <c r="L316" s="79"/>
      <c r="M316" s="57"/>
      <c r="N316" s="100"/>
      <c r="O316" s="101" t="s">
        <v>64</v>
      </c>
      <c r="P316" s="101">
        <v>25</v>
      </c>
      <c r="Q316" s="101">
        <v>6</v>
      </c>
      <c r="R316" s="101">
        <v>0</v>
      </c>
      <c r="S316" s="105"/>
      <c r="T316" s="101" t="s">
        <v>64</v>
      </c>
      <c r="U316" s="177">
        <f>Y315</f>
        <v>0</v>
      </c>
      <c r="V316" s="103"/>
      <c r="W316" s="177">
        <f t="shared" si="54"/>
        <v>0</v>
      </c>
      <c r="X316" s="103"/>
      <c r="Y316" s="177">
        <f t="shared" si="53"/>
        <v>0</v>
      </c>
      <c r="Z316" s="92"/>
    </row>
    <row r="317" spans="1:27" s="55" customFormat="1" ht="21" customHeight="1" x14ac:dyDescent="0.25">
      <c r="A317" s="56"/>
      <c r="B317" s="66"/>
      <c r="C317" s="66"/>
      <c r="D317" s="57"/>
      <c r="E317" s="57"/>
      <c r="F317" s="75" t="s">
        <v>29</v>
      </c>
      <c r="G317" s="70">
        <f>IF($J$1="January",V312,IF($J$1="February",V313,IF($J$1="March",V314,IF($J$1="April",V315,IF($J$1="May",V316,IF($J$1="June",V317,IF($J$1="July",V318,IF($J$1="August",V319,IF($J$1="August",V319,IF($J$1="September",V320,IF($J$1="October",V321,IF($J$1="November",V322,IF($J$1="December",V323)))))))))))))</f>
        <v>0</v>
      </c>
      <c r="H317" s="74"/>
      <c r="I317" s="120">
        <v>0</v>
      </c>
      <c r="J317" s="77" t="s">
        <v>78</v>
      </c>
      <c r="K317" s="80">
        <f>K312/$K$2/8*I317</f>
        <v>0</v>
      </c>
      <c r="L317" s="81"/>
      <c r="M317" s="57"/>
      <c r="N317" s="100"/>
      <c r="O317" s="101" t="s">
        <v>65</v>
      </c>
      <c r="P317" s="101">
        <v>22</v>
      </c>
      <c r="Q317" s="101">
        <v>8</v>
      </c>
      <c r="R317" s="101">
        <v>0</v>
      </c>
      <c r="S317" s="105"/>
      <c r="T317" s="101" t="s">
        <v>65</v>
      </c>
      <c r="U317" s="177"/>
      <c r="V317" s="103"/>
      <c r="W317" s="177" t="str">
        <f t="shared" si="54"/>
        <v/>
      </c>
      <c r="X317" s="103"/>
      <c r="Y317" s="177" t="str">
        <f t="shared" si="53"/>
        <v/>
      </c>
      <c r="Z317" s="92"/>
    </row>
    <row r="318" spans="1:27" s="55" customFormat="1" ht="21" customHeight="1" x14ac:dyDescent="0.25">
      <c r="A318" s="56"/>
      <c r="B318" s="75" t="s">
        <v>7</v>
      </c>
      <c r="C318" s="66">
        <f>IF($J$1="January",P312,IF($J$1="February",P313,IF($J$1="March",P314,IF($J$1="April",P315,IF($J$1="May",P316,IF($J$1="June",P317,IF($J$1="July",P318,IF($J$1="August",P319,IF($J$1="August",P319,IF($J$1="September",P320,IF($J$1="October",P321,IF($J$1="November",P322,IF($J$1="December",P323)))))))))))))</f>
        <v>22</v>
      </c>
      <c r="D318" s="57"/>
      <c r="E318" s="57"/>
      <c r="F318" s="75" t="s">
        <v>81</v>
      </c>
      <c r="G318" s="70" t="str">
        <f>IF($J$1="January",W312,IF($J$1="February",W313,IF($J$1="March",W314,IF($J$1="April",W315,IF($J$1="May",W316,IF($J$1="June",W317,IF($J$1="July",W318,IF($J$1="August",W319,IF($J$1="August",W319,IF($J$1="September",W320,IF($J$1="October",W321,IF($J$1="November",W322,IF($J$1="December",W323)))))))))))))</f>
        <v/>
      </c>
      <c r="H318" s="74"/>
      <c r="I318" s="293" t="s">
        <v>85</v>
      </c>
      <c r="J318" s="294"/>
      <c r="K318" s="80">
        <f>K316+K317</f>
        <v>7333.333333333333</v>
      </c>
      <c r="L318" s="81"/>
      <c r="M318" s="57"/>
      <c r="N318" s="100"/>
      <c r="O318" s="101" t="s">
        <v>66</v>
      </c>
      <c r="P318" s="101"/>
      <c r="Q318" s="101"/>
      <c r="R318" s="101"/>
      <c r="S318" s="105"/>
      <c r="T318" s="101" t="s">
        <v>66</v>
      </c>
      <c r="U318" s="177"/>
      <c r="V318" s="103"/>
      <c r="W318" s="177" t="str">
        <f t="shared" si="54"/>
        <v/>
      </c>
      <c r="X318" s="103"/>
      <c r="Y318" s="177" t="str">
        <f t="shared" si="53"/>
        <v/>
      </c>
      <c r="Z318" s="92"/>
    </row>
    <row r="319" spans="1:27" s="55" customFormat="1" ht="21" customHeight="1" x14ac:dyDescent="0.25">
      <c r="A319" s="56"/>
      <c r="B319" s="75" t="s">
        <v>6</v>
      </c>
      <c r="C319" s="66">
        <f>IF($J$1="January",Q312,IF($J$1="February",Q313,IF($J$1="March",Q314,IF($J$1="April",Q315,IF($J$1="May",Q316,IF($J$1="June",Q317,IF($J$1="July",Q318,IF($J$1="August",Q319,IF($J$1="August",Q319,IF($J$1="September",Q320,IF($J$1="October",Q321,IF($J$1="November",Q322,IF($J$1="December",Q323)))))))))))))</f>
        <v>8</v>
      </c>
      <c r="D319" s="57"/>
      <c r="E319" s="57"/>
      <c r="F319" s="75" t="s">
        <v>30</v>
      </c>
      <c r="G319" s="70">
        <f>IF($J$1="January",X312,IF($J$1="February",X313,IF($J$1="March",X314,IF($J$1="April",X315,IF($J$1="May",X316,IF($J$1="June",X317,IF($J$1="July",X318,IF($J$1="August",X319,IF($J$1="August",X319,IF($J$1="September",X320,IF($J$1="October",X321,IF($J$1="November",X322,IF($J$1="December",X323)))))))))))))</f>
        <v>0</v>
      </c>
      <c r="H319" s="74"/>
      <c r="I319" s="293" t="s">
        <v>86</v>
      </c>
      <c r="J319" s="294"/>
      <c r="K319" s="70">
        <f>G319</f>
        <v>0</v>
      </c>
      <c r="L319" s="82"/>
      <c r="M319" s="57"/>
      <c r="N319" s="100"/>
      <c r="O319" s="101" t="s">
        <v>67</v>
      </c>
      <c r="P319" s="101"/>
      <c r="Q319" s="101"/>
      <c r="R319" s="101"/>
      <c r="S319" s="105"/>
      <c r="T319" s="101" t="s">
        <v>67</v>
      </c>
      <c r="U319" s="177"/>
      <c r="V319" s="103"/>
      <c r="W319" s="177" t="str">
        <f t="shared" si="54"/>
        <v/>
      </c>
      <c r="X319" s="103"/>
      <c r="Y319" s="177" t="str">
        <f t="shared" si="53"/>
        <v/>
      </c>
      <c r="Z319" s="92"/>
    </row>
    <row r="320" spans="1:27" s="55" customFormat="1" ht="21" customHeight="1" x14ac:dyDescent="0.25">
      <c r="A320" s="56"/>
      <c r="B320" s="83" t="s">
        <v>84</v>
      </c>
      <c r="C320" s="66">
        <f>IF($J$1="January",R312,IF($J$1="February",R313,IF($J$1="March",R314,IF($J$1="April",R315,IF($J$1="May",R316,IF($J$1="June",R317,IF($J$1="July",R318,IF($J$1="August",R319,IF($J$1="August",R319,IF($J$1="September",R320,IF($J$1="October",R321,IF($J$1="November",R322,IF($J$1="December",R323)))))))))))))</f>
        <v>0</v>
      </c>
      <c r="D320" s="57"/>
      <c r="E320" s="57"/>
      <c r="F320" s="75" t="s">
        <v>83</v>
      </c>
      <c r="G320" s="70" t="str">
        <f>IF($J$1="January",Y312,IF($J$1="February",Y313,IF($J$1="March",Y314,IF($J$1="April",Y315,IF($J$1="May",Y316,IF($J$1="June",Y317,IF($J$1="July",Y318,IF($J$1="August",Y319,IF($J$1="August",Y319,IF($J$1="September",Y320,IF($J$1="October",Y321,IF($J$1="November",Y322,IF($J$1="December",Y323)))))))))))))</f>
        <v/>
      </c>
      <c r="H320" s="57"/>
      <c r="I320" s="295" t="s">
        <v>79</v>
      </c>
      <c r="J320" s="296"/>
      <c r="K320" s="84">
        <f>K318-K319</f>
        <v>7333.333333333333</v>
      </c>
      <c r="L320" s="85"/>
      <c r="M320" s="57"/>
      <c r="N320" s="100"/>
      <c r="O320" s="101" t="s">
        <v>72</v>
      </c>
      <c r="P320" s="101"/>
      <c r="Q320" s="101"/>
      <c r="R320" s="101"/>
      <c r="S320" s="105"/>
      <c r="T320" s="101" t="s">
        <v>72</v>
      </c>
      <c r="U320" s="177"/>
      <c r="V320" s="103"/>
      <c r="W320" s="177" t="str">
        <f t="shared" si="54"/>
        <v/>
      </c>
      <c r="X320" s="103"/>
      <c r="Y320" s="177" t="str">
        <f t="shared" si="53"/>
        <v/>
      </c>
      <c r="Z320" s="92"/>
    </row>
    <row r="321" spans="1:27" s="55" customFormat="1" ht="21" customHeight="1" x14ac:dyDescent="0.25">
      <c r="A321" s="56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73"/>
      <c r="M321" s="57"/>
      <c r="N321" s="100"/>
      <c r="O321" s="101" t="s">
        <v>68</v>
      </c>
      <c r="P321" s="101"/>
      <c r="Q321" s="101"/>
      <c r="R321" s="101"/>
      <c r="S321" s="105"/>
      <c r="T321" s="101" t="s">
        <v>68</v>
      </c>
      <c r="U321" s="177"/>
      <c r="V321" s="103"/>
      <c r="W321" s="177" t="str">
        <f t="shared" si="54"/>
        <v/>
      </c>
      <c r="X321" s="103"/>
      <c r="Y321" s="177" t="str">
        <f t="shared" si="53"/>
        <v/>
      </c>
      <c r="Z321" s="92"/>
    </row>
    <row r="322" spans="1:27" s="55" customFormat="1" ht="21" customHeight="1" x14ac:dyDescent="0.25">
      <c r="A322" s="56"/>
      <c r="B322" s="284" t="s">
        <v>116</v>
      </c>
      <c r="C322" s="284"/>
      <c r="D322" s="284"/>
      <c r="E322" s="284"/>
      <c r="F322" s="284"/>
      <c r="G322" s="284"/>
      <c r="H322" s="284"/>
      <c r="I322" s="284"/>
      <c r="J322" s="284"/>
      <c r="K322" s="284"/>
      <c r="L322" s="73"/>
      <c r="M322" s="57"/>
      <c r="N322" s="100"/>
      <c r="O322" s="101" t="s">
        <v>73</v>
      </c>
      <c r="P322" s="101"/>
      <c r="Q322" s="101"/>
      <c r="R322" s="101"/>
      <c r="S322" s="105"/>
      <c r="T322" s="101" t="s">
        <v>73</v>
      </c>
      <c r="U322" s="177"/>
      <c r="V322" s="103"/>
      <c r="W322" s="177" t="str">
        <f t="shared" si="54"/>
        <v/>
      </c>
      <c r="X322" s="103"/>
      <c r="Y322" s="177" t="str">
        <f t="shared" si="53"/>
        <v/>
      </c>
      <c r="Z322" s="92"/>
    </row>
    <row r="323" spans="1:27" s="55" customFormat="1" ht="21" customHeight="1" x14ac:dyDescent="0.25">
      <c r="A323" s="56"/>
      <c r="B323" s="284"/>
      <c r="C323" s="284"/>
      <c r="D323" s="284"/>
      <c r="E323" s="284"/>
      <c r="F323" s="284"/>
      <c r="G323" s="284"/>
      <c r="H323" s="284"/>
      <c r="I323" s="284"/>
      <c r="J323" s="284"/>
      <c r="K323" s="284"/>
      <c r="L323" s="73"/>
      <c r="M323" s="57"/>
      <c r="N323" s="100"/>
      <c r="O323" s="101" t="s">
        <v>74</v>
      </c>
      <c r="P323" s="101"/>
      <c r="Q323" s="101"/>
      <c r="R323" s="101"/>
      <c r="S323" s="105"/>
      <c r="T323" s="101" t="s">
        <v>74</v>
      </c>
      <c r="U323" s="177"/>
      <c r="V323" s="103"/>
      <c r="W323" s="177" t="str">
        <f t="shared" si="54"/>
        <v/>
      </c>
      <c r="X323" s="103"/>
      <c r="Y323" s="177" t="str">
        <f t="shared" si="53"/>
        <v/>
      </c>
      <c r="Z323" s="92"/>
    </row>
    <row r="324" spans="1:27" s="55" customFormat="1" ht="21" customHeight="1" thickBot="1" x14ac:dyDescent="0.3">
      <c r="A324" s="86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8"/>
      <c r="N324" s="107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92"/>
    </row>
    <row r="325" spans="1:27" s="57" customFormat="1" ht="21" customHeight="1" thickBot="1" x14ac:dyDescent="0.3"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</row>
    <row r="326" spans="1:27" s="55" customFormat="1" ht="21" customHeight="1" x14ac:dyDescent="0.25">
      <c r="A326" s="297" t="s">
        <v>56</v>
      </c>
      <c r="B326" s="298"/>
      <c r="C326" s="298"/>
      <c r="D326" s="298"/>
      <c r="E326" s="298"/>
      <c r="F326" s="298"/>
      <c r="G326" s="298"/>
      <c r="H326" s="298"/>
      <c r="I326" s="298"/>
      <c r="J326" s="298"/>
      <c r="K326" s="298"/>
      <c r="L326" s="299"/>
      <c r="M326" s="54"/>
      <c r="N326" s="93"/>
      <c r="O326" s="285" t="s">
        <v>58</v>
      </c>
      <c r="P326" s="286"/>
      <c r="Q326" s="286"/>
      <c r="R326" s="287"/>
      <c r="S326" s="94"/>
      <c r="T326" s="285" t="s">
        <v>59</v>
      </c>
      <c r="U326" s="286"/>
      <c r="V326" s="286"/>
      <c r="W326" s="286"/>
      <c r="X326" s="286"/>
      <c r="Y326" s="287"/>
      <c r="Z326" s="95"/>
      <c r="AA326" s="54"/>
    </row>
    <row r="327" spans="1:27" s="55" customFormat="1" ht="21" customHeight="1" x14ac:dyDescent="0.25">
      <c r="A327" s="56"/>
      <c r="B327" s="57"/>
      <c r="C327" s="288" t="s">
        <v>114</v>
      </c>
      <c r="D327" s="288"/>
      <c r="E327" s="288"/>
      <c r="F327" s="288"/>
      <c r="G327" s="58" t="str">
        <f>$J$1</f>
        <v>June</v>
      </c>
      <c r="H327" s="289">
        <f>$K$1</f>
        <v>2019</v>
      </c>
      <c r="I327" s="289"/>
      <c r="J327" s="57"/>
      <c r="K327" s="59"/>
      <c r="L327" s="60"/>
      <c r="M327" s="59"/>
      <c r="N327" s="96"/>
      <c r="O327" s="97" t="s">
        <v>69</v>
      </c>
      <c r="P327" s="97" t="s">
        <v>7</v>
      </c>
      <c r="Q327" s="97" t="s">
        <v>6</v>
      </c>
      <c r="R327" s="97" t="s">
        <v>70</v>
      </c>
      <c r="S327" s="98"/>
      <c r="T327" s="97" t="s">
        <v>69</v>
      </c>
      <c r="U327" s="97" t="s">
        <v>71</v>
      </c>
      <c r="V327" s="97" t="s">
        <v>29</v>
      </c>
      <c r="W327" s="97" t="s">
        <v>28</v>
      </c>
      <c r="X327" s="97" t="s">
        <v>30</v>
      </c>
      <c r="Y327" s="97" t="s">
        <v>75</v>
      </c>
      <c r="Z327" s="99"/>
      <c r="AA327" s="59"/>
    </row>
    <row r="328" spans="1:27" s="55" customFormat="1" ht="21" customHeight="1" x14ac:dyDescent="0.25">
      <c r="A328" s="56"/>
      <c r="B328" s="57"/>
      <c r="C328" s="57"/>
      <c r="D328" s="62"/>
      <c r="E328" s="62"/>
      <c r="F328" s="62"/>
      <c r="G328" s="62"/>
      <c r="H328" s="62"/>
      <c r="I328" s="57"/>
      <c r="J328" s="63" t="s">
        <v>1</v>
      </c>
      <c r="K328" s="64">
        <v>21500</v>
      </c>
      <c r="L328" s="65"/>
      <c r="M328" s="57"/>
      <c r="N328" s="100"/>
      <c r="O328" s="101" t="s">
        <v>61</v>
      </c>
      <c r="P328" s="101">
        <v>26</v>
      </c>
      <c r="Q328" s="101">
        <v>5</v>
      </c>
      <c r="R328" s="101">
        <f>15-Q328</f>
        <v>10</v>
      </c>
      <c r="S328" s="102"/>
      <c r="T328" s="101" t="s">
        <v>61</v>
      </c>
      <c r="U328" s="103">
        <v>34500</v>
      </c>
      <c r="V328" s="103"/>
      <c r="W328" s="103">
        <f>V328+U328</f>
        <v>34500</v>
      </c>
      <c r="X328" s="103">
        <v>5000</v>
      </c>
      <c r="Y328" s="103">
        <f>W328-X328</f>
        <v>29500</v>
      </c>
      <c r="Z328" s="99"/>
      <c r="AA328" s="57"/>
    </row>
    <row r="329" spans="1:27" s="55" customFormat="1" ht="21" customHeight="1" x14ac:dyDescent="0.25">
      <c r="A329" s="56"/>
      <c r="B329" s="57" t="s">
        <v>0</v>
      </c>
      <c r="C329" s="67" t="s">
        <v>32</v>
      </c>
      <c r="D329" s="57"/>
      <c r="E329" s="57"/>
      <c r="F329" s="57"/>
      <c r="G329" s="57"/>
      <c r="H329" s="68"/>
      <c r="I329" s="62"/>
      <c r="J329" s="57"/>
      <c r="K329" s="57"/>
      <c r="L329" s="69"/>
      <c r="M329" s="54"/>
      <c r="N329" s="104"/>
      <c r="O329" s="101" t="s">
        <v>87</v>
      </c>
      <c r="P329" s="101">
        <v>26</v>
      </c>
      <c r="Q329" s="101">
        <v>2</v>
      </c>
      <c r="R329" s="101">
        <f>IF(Q329="","",R328-Q329)</f>
        <v>8</v>
      </c>
      <c r="S329" s="105"/>
      <c r="T329" s="101" t="s">
        <v>87</v>
      </c>
      <c r="U329" s="177">
        <f>Y328</f>
        <v>29500</v>
      </c>
      <c r="V329" s="103">
        <v>4000</v>
      </c>
      <c r="W329" s="177">
        <f>IF(U329="","",U329+V329)</f>
        <v>33500</v>
      </c>
      <c r="X329" s="103">
        <v>4000</v>
      </c>
      <c r="Y329" s="177">
        <f>IF(W329="","",W329-X329)</f>
        <v>29500</v>
      </c>
      <c r="Z329" s="106"/>
      <c r="AA329" s="54"/>
    </row>
    <row r="330" spans="1:27" s="55" customFormat="1" ht="21" customHeight="1" x14ac:dyDescent="0.25">
      <c r="A330" s="56"/>
      <c r="B330" s="71" t="s">
        <v>57</v>
      </c>
      <c r="C330" s="72"/>
      <c r="D330" s="57"/>
      <c r="E330" s="57"/>
      <c r="F330" s="290" t="s">
        <v>59</v>
      </c>
      <c r="G330" s="290"/>
      <c r="H330" s="57"/>
      <c r="I330" s="290" t="s">
        <v>60</v>
      </c>
      <c r="J330" s="290"/>
      <c r="K330" s="290"/>
      <c r="L330" s="73"/>
      <c r="M330" s="57"/>
      <c r="N330" s="100"/>
      <c r="O330" s="101" t="s">
        <v>62</v>
      </c>
      <c r="P330" s="101">
        <v>29</v>
      </c>
      <c r="Q330" s="101">
        <v>2</v>
      </c>
      <c r="R330" s="101">
        <f t="shared" ref="R330:R339" si="55">IF(Q330="","",R329-Q330)</f>
        <v>6</v>
      </c>
      <c r="S330" s="105"/>
      <c r="T330" s="101" t="s">
        <v>62</v>
      </c>
      <c r="U330" s="177">
        <f>Y329</f>
        <v>29500</v>
      </c>
      <c r="V330" s="103">
        <v>500</v>
      </c>
      <c r="W330" s="177">
        <f t="shared" ref="W330:W339" si="56">IF(U330="","",U330+V330)</f>
        <v>30000</v>
      </c>
      <c r="X330" s="103">
        <v>5000</v>
      </c>
      <c r="Y330" s="177">
        <f t="shared" ref="Y330:Y339" si="57">IF(W330="","",W330-X330)</f>
        <v>25000</v>
      </c>
      <c r="Z330" s="106"/>
      <c r="AA330" s="57"/>
    </row>
    <row r="331" spans="1:27" s="55" customFormat="1" ht="21" customHeight="1" x14ac:dyDescent="0.25">
      <c r="A331" s="56"/>
      <c r="B331" s="57"/>
      <c r="C331" s="57"/>
      <c r="D331" s="57"/>
      <c r="E331" s="57"/>
      <c r="F331" s="57"/>
      <c r="G331" s="57"/>
      <c r="H331" s="74"/>
      <c r="L331" s="61"/>
      <c r="M331" s="57"/>
      <c r="N331" s="100"/>
      <c r="O331" s="101" t="s">
        <v>63</v>
      </c>
      <c r="P331" s="101">
        <v>28</v>
      </c>
      <c r="Q331" s="101">
        <v>2</v>
      </c>
      <c r="R331" s="101">
        <f t="shared" si="55"/>
        <v>4</v>
      </c>
      <c r="S331" s="105"/>
      <c r="T331" s="101" t="s">
        <v>63</v>
      </c>
      <c r="U331" s="177">
        <f>Y330</f>
        <v>25000</v>
      </c>
      <c r="V331" s="103">
        <v>10000</v>
      </c>
      <c r="W331" s="177">
        <f t="shared" si="56"/>
        <v>35000</v>
      </c>
      <c r="X331" s="103">
        <v>5000</v>
      </c>
      <c r="Y331" s="177">
        <f t="shared" si="57"/>
        <v>30000</v>
      </c>
      <c r="Z331" s="106"/>
      <c r="AA331" s="57"/>
    </row>
    <row r="332" spans="1:27" s="55" customFormat="1" ht="21" customHeight="1" x14ac:dyDescent="0.25">
      <c r="A332" s="56"/>
      <c r="B332" s="291" t="s">
        <v>58</v>
      </c>
      <c r="C332" s="292"/>
      <c r="D332" s="57"/>
      <c r="E332" s="57"/>
      <c r="F332" s="75" t="s">
        <v>80</v>
      </c>
      <c r="G332" s="196">
        <f>IF($J$1="January",U328,IF($J$1="February",U329,IF($J$1="March",U330,IF($J$1="April",U331,IF($J$1="May",U332,IF($J$1="June",U333,IF($J$1="July",U334,IF($J$1="August",U335,IF($J$1="August",U335,IF($J$1="September",U336,IF($J$1="October",U337,IF($J$1="November",U338,IF($J$1="December",U339)))))))))))))</f>
        <v>31000</v>
      </c>
      <c r="H332" s="74"/>
      <c r="I332" s="76">
        <f>IF(C336&gt;0,$K$2,C334)</f>
        <v>30</v>
      </c>
      <c r="J332" s="77" t="s">
        <v>77</v>
      </c>
      <c r="K332" s="78">
        <f>K328/$K$2*I332</f>
        <v>21500</v>
      </c>
      <c r="L332" s="79"/>
      <c r="M332" s="57"/>
      <c r="N332" s="100"/>
      <c r="O332" s="101" t="s">
        <v>64</v>
      </c>
      <c r="P332" s="101">
        <v>29</v>
      </c>
      <c r="Q332" s="101">
        <v>2</v>
      </c>
      <c r="R332" s="101">
        <f t="shared" si="55"/>
        <v>2</v>
      </c>
      <c r="S332" s="105"/>
      <c r="T332" s="101" t="s">
        <v>64</v>
      </c>
      <c r="U332" s="177">
        <f>Y331</f>
        <v>30000</v>
      </c>
      <c r="V332" s="103">
        <v>1000</v>
      </c>
      <c r="W332" s="177">
        <f t="shared" si="56"/>
        <v>31000</v>
      </c>
      <c r="X332" s="103"/>
      <c r="Y332" s="177">
        <f t="shared" si="57"/>
        <v>31000</v>
      </c>
      <c r="Z332" s="106"/>
      <c r="AA332" s="57"/>
    </row>
    <row r="333" spans="1:27" s="55" customFormat="1" ht="21" customHeight="1" x14ac:dyDescent="0.25">
      <c r="A333" s="56"/>
      <c r="B333" s="66"/>
      <c r="C333" s="66"/>
      <c r="D333" s="57"/>
      <c r="E333" s="57"/>
      <c r="F333" s="75" t="s">
        <v>29</v>
      </c>
      <c r="G333" s="196">
        <f>IF($J$1="January",V328,IF($J$1="February",V329,IF($J$1="March",V330,IF($J$1="April",V331,IF($J$1="May",V332,IF($J$1="June",V333,IF($J$1="July",V334,IF($J$1="August",V335,IF($J$1="August",V335,IF($J$1="September",V336,IF($J$1="October",V337,IF($J$1="November",V338,IF($J$1="December",V339)))))))))))))</f>
        <v>5000</v>
      </c>
      <c r="H333" s="74"/>
      <c r="I333" s="120">
        <v>10.5</v>
      </c>
      <c r="J333" s="77" t="s">
        <v>78</v>
      </c>
      <c r="K333" s="80">
        <f>K328/$K$2/8*I333</f>
        <v>940.625</v>
      </c>
      <c r="L333" s="81"/>
      <c r="M333" s="57"/>
      <c r="N333" s="100"/>
      <c r="O333" s="101" t="s">
        <v>65</v>
      </c>
      <c r="P333" s="101">
        <v>29</v>
      </c>
      <c r="Q333" s="101">
        <v>1</v>
      </c>
      <c r="R333" s="101">
        <f t="shared" si="55"/>
        <v>1</v>
      </c>
      <c r="S333" s="105"/>
      <c r="T333" s="101" t="s">
        <v>65</v>
      </c>
      <c r="U333" s="177">
        <f>Y332</f>
        <v>31000</v>
      </c>
      <c r="V333" s="103">
        <v>5000</v>
      </c>
      <c r="W333" s="177">
        <f t="shared" si="56"/>
        <v>36000</v>
      </c>
      <c r="X333" s="103"/>
      <c r="Y333" s="177">
        <f t="shared" si="57"/>
        <v>36000</v>
      </c>
      <c r="Z333" s="106"/>
      <c r="AA333" s="57"/>
    </row>
    <row r="334" spans="1:27" s="55" customFormat="1" ht="21" customHeight="1" x14ac:dyDescent="0.25">
      <c r="A334" s="56"/>
      <c r="B334" s="75" t="s">
        <v>7</v>
      </c>
      <c r="C334" s="66">
        <f>IF($J$1="January",P328,IF($J$1="February",P329,IF($J$1="March",P330,IF($J$1="April",P331,IF($J$1="May",P332,IF($J$1="June",P333,IF($J$1="July",P334,IF($J$1="August",P335,IF($J$1="August",P335,IF($J$1="September",P336,IF($J$1="October",P337,IF($J$1="November",P338,IF($J$1="December",P339)))))))))))))</f>
        <v>29</v>
      </c>
      <c r="D334" s="57"/>
      <c r="E334" s="57"/>
      <c r="F334" s="75" t="s">
        <v>81</v>
      </c>
      <c r="G334" s="196">
        <f>IF($J$1="January",W328,IF($J$1="February",W329,IF($J$1="March",W330,IF($J$1="April",W331,IF($J$1="May",W332,IF($J$1="June",W333,IF($J$1="July",W334,IF($J$1="August",W335,IF($J$1="August",W335,IF($J$1="September",W336,IF($J$1="October",W337,IF($J$1="November",W338,IF($J$1="December",W339)))))))))))))</f>
        <v>36000</v>
      </c>
      <c r="H334" s="74"/>
      <c r="I334" s="293" t="s">
        <v>85</v>
      </c>
      <c r="J334" s="294"/>
      <c r="K334" s="80">
        <f>K332+K333</f>
        <v>22440.625</v>
      </c>
      <c r="L334" s="81"/>
      <c r="M334" s="57"/>
      <c r="N334" s="100"/>
      <c r="O334" s="101" t="s">
        <v>66</v>
      </c>
      <c r="P334" s="101"/>
      <c r="Q334" s="101"/>
      <c r="R334" s="101" t="str">
        <f t="shared" si="55"/>
        <v/>
      </c>
      <c r="S334" s="105"/>
      <c r="T334" s="101" t="s">
        <v>66</v>
      </c>
      <c r="U334" s="177"/>
      <c r="V334" s="103"/>
      <c r="W334" s="177" t="str">
        <f t="shared" si="56"/>
        <v/>
      </c>
      <c r="X334" s="103"/>
      <c r="Y334" s="177" t="str">
        <f t="shared" si="57"/>
        <v/>
      </c>
      <c r="Z334" s="106"/>
      <c r="AA334" s="57"/>
    </row>
    <row r="335" spans="1:27" s="55" customFormat="1" ht="21" customHeight="1" x14ac:dyDescent="0.25">
      <c r="A335" s="56"/>
      <c r="B335" s="75" t="s">
        <v>6</v>
      </c>
      <c r="C335" s="66">
        <f>IF($J$1="January",Q328,IF($J$1="February",Q329,IF($J$1="March",Q330,IF($J$1="April",Q331,IF($J$1="May",Q332,IF($J$1="June",Q333,IF($J$1="July",Q334,IF($J$1="August",Q335,IF($J$1="August",Q335,IF($J$1="September",Q336,IF($J$1="October",Q337,IF($J$1="November",Q338,IF($J$1="December",Q339)))))))))))))</f>
        <v>1</v>
      </c>
      <c r="D335" s="57"/>
      <c r="E335" s="57"/>
      <c r="F335" s="75" t="s">
        <v>30</v>
      </c>
      <c r="G335" s="196">
        <f>IF($J$1="January",X328,IF($J$1="February",X329,IF($J$1="March",X330,IF($J$1="April",X331,IF($J$1="May",X332,IF($J$1="June",X333,IF($J$1="July",X334,IF($J$1="August",X335,IF($J$1="August",X335,IF($J$1="September",X336,IF($J$1="October",X337,IF($J$1="November",X338,IF($J$1="December",X339)))))))))))))</f>
        <v>0</v>
      </c>
      <c r="H335" s="74"/>
      <c r="I335" s="293" t="s">
        <v>86</v>
      </c>
      <c r="J335" s="294"/>
      <c r="K335" s="70">
        <f>G335</f>
        <v>0</v>
      </c>
      <c r="L335" s="82"/>
      <c r="M335" s="57"/>
      <c r="N335" s="100"/>
      <c r="O335" s="101" t="s">
        <v>67</v>
      </c>
      <c r="P335" s="101"/>
      <c r="Q335" s="101"/>
      <c r="R335" s="101" t="str">
        <f t="shared" si="55"/>
        <v/>
      </c>
      <c r="S335" s="105"/>
      <c r="T335" s="101" t="s">
        <v>67</v>
      </c>
      <c r="U335" s="177"/>
      <c r="V335" s="103"/>
      <c r="W335" s="177" t="str">
        <f t="shared" si="56"/>
        <v/>
      </c>
      <c r="X335" s="103"/>
      <c r="Y335" s="177" t="str">
        <f t="shared" si="57"/>
        <v/>
      </c>
      <c r="Z335" s="106"/>
      <c r="AA335" s="57"/>
    </row>
    <row r="336" spans="1:27" s="55" customFormat="1" ht="21" customHeight="1" x14ac:dyDescent="0.25">
      <c r="A336" s="56"/>
      <c r="B336" s="83" t="s">
        <v>84</v>
      </c>
      <c r="C336" s="66">
        <f>IF($J$1="January",R328,IF($J$1="February",R329,IF($J$1="March",R330,IF($J$1="April",R331,IF($J$1="May",R332,IF($J$1="June",R333,IF($J$1="July",R334,IF($J$1="August",R335,IF($J$1="August",R335,IF($J$1="September",R336,IF($J$1="October",R337,IF($J$1="November",R338,IF($J$1="December",R339)))))))))))))</f>
        <v>1</v>
      </c>
      <c r="D336" s="57"/>
      <c r="E336" s="57"/>
      <c r="F336" s="75" t="s">
        <v>83</v>
      </c>
      <c r="G336" s="196">
        <f>IF($J$1="January",Y328,IF($J$1="February",Y329,IF($J$1="March",Y330,IF($J$1="April",Y331,IF($J$1="May",Y332,IF($J$1="June",Y333,IF($J$1="July",Y334,IF($J$1="August",Y335,IF($J$1="August",Y335,IF($J$1="September",Y336,IF($J$1="October",Y337,IF($J$1="November",Y338,IF($J$1="December",Y339)))))))))))))</f>
        <v>36000</v>
      </c>
      <c r="H336" s="57"/>
      <c r="I336" s="295" t="s">
        <v>79</v>
      </c>
      <c r="J336" s="296"/>
      <c r="K336" s="84">
        <f>K334-K335</f>
        <v>22440.625</v>
      </c>
      <c r="L336" s="85"/>
      <c r="M336" s="57"/>
      <c r="N336" s="100"/>
      <c r="O336" s="101" t="s">
        <v>72</v>
      </c>
      <c r="P336" s="101"/>
      <c r="Q336" s="101"/>
      <c r="R336" s="101" t="str">
        <f t="shared" si="55"/>
        <v/>
      </c>
      <c r="S336" s="105"/>
      <c r="T336" s="101" t="s">
        <v>72</v>
      </c>
      <c r="U336" s="177"/>
      <c r="V336" s="103"/>
      <c r="W336" s="177" t="str">
        <f t="shared" si="56"/>
        <v/>
      </c>
      <c r="X336" s="103"/>
      <c r="Y336" s="177" t="str">
        <f t="shared" si="57"/>
        <v/>
      </c>
      <c r="Z336" s="106"/>
      <c r="AA336" s="57"/>
    </row>
    <row r="337" spans="1:27" s="55" customFormat="1" ht="21" customHeight="1" x14ac:dyDescent="0.25">
      <c r="A337" s="56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73"/>
      <c r="M337" s="57"/>
      <c r="N337" s="100"/>
      <c r="O337" s="101" t="s">
        <v>68</v>
      </c>
      <c r="P337" s="101"/>
      <c r="Q337" s="101"/>
      <c r="R337" s="101" t="str">
        <f t="shared" si="55"/>
        <v/>
      </c>
      <c r="S337" s="105"/>
      <c r="T337" s="101" t="s">
        <v>68</v>
      </c>
      <c r="U337" s="177"/>
      <c r="V337" s="103"/>
      <c r="W337" s="177" t="str">
        <f t="shared" si="56"/>
        <v/>
      </c>
      <c r="X337" s="103"/>
      <c r="Y337" s="177" t="str">
        <f t="shared" si="57"/>
        <v/>
      </c>
      <c r="Z337" s="106"/>
      <c r="AA337" s="57"/>
    </row>
    <row r="338" spans="1:27" s="55" customFormat="1" ht="21" customHeight="1" x14ac:dyDescent="0.25">
      <c r="A338" s="56"/>
      <c r="B338" s="284" t="s">
        <v>116</v>
      </c>
      <c r="C338" s="284"/>
      <c r="D338" s="284"/>
      <c r="E338" s="284"/>
      <c r="F338" s="284"/>
      <c r="G338" s="284"/>
      <c r="H338" s="284"/>
      <c r="I338" s="284"/>
      <c r="J338" s="284"/>
      <c r="K338" s="284"/>
      <c r="L338" s="73"/>
      <c r="M338" s="57"/>
      <c r="N338" s="100"/>
      <c r="O338" s="101" t="s">
        <v>73</v>
      </c>
      <c r="P338" s="101"/>
      <c r="Q338" s="101"/>
      <c r="R338" s="101" t="str">
        <f t="shared" si="55"/>
        <v/>
      </c>
      <c r="S338" s="105"/>
      <c r="T338" s="101" t="s">
        <v>73</v>
      </c>
      <c r="U338" s="177"/>
      <c r="V338" s="103"/>
      <c r="W338" s="177" t="str">
        <f t="shared" si="56"/>
        <v/>
      </c>
      <c r="X338" s="103"/>
      <c r="Y338" s="177" t="str">
        <f t="shared" si="57"/>
        <v/>
      </c>
      <c r="Z338" s="106"/>
      <c r="AA338" s="57"/>
    </row>
    <row r="339" spans="1:27" s="55" customFormat="1" ht="21" customHeight="1" x14ac:dyDescent="0.25">
      <c r="A339" s="56"/>
      <c r="B339" s="284"/>
      <c r="C339" s="284"/>
      <c r="D339" s="284"/>
      <c r="E339" s="284"/>
      <c r="F339" s="284"/>
      <c r="G339" s="284"/>
      <c r="H339" s="284"/>
      <c r="I339" s="284"/>
      <c r="J339" s="284"/>
      <c r="K339" s="284"/>
      <c r="L339" s="73"/>
      <c r="M339" s="57"/>
      <c r="N339" s="100"/>
      <c r="O339" s="101" t="s">
        <v>74</v>
      </c>
      <c r="P339" s="101"/>
      <c r="Q339" s="101"/>
      <c r="R339" s="101" t="str">
        <f t="shared" si="55"/>
        <v/>
      </c>
      <c r="S339" s="105"/>
      <c r="T339" s="101" t="s">
        <v>74</v>
      </c>
      <c r="U339" s="177"/>
      <c r="V339" s="103"/>
      <c r="W339" s="177" t="str">
        <f t="shared" si="56"/>
        <v/>
      </c>
      <c r="X339" s="103"/>
      <c r="Y339" s="177" t="str">
        <f t="shared" si="57"/>
        <v/>
      </c>
      <c r="Z339" s="106"/>
      <c r="AA339" s="57"/>
    </row>
    <row r="340" spans="1:27" s="55" customFormat="1" ht="21" customHeight="1" thickBot="1" x14ac:dyDescent="0.3">
      <c r="A340" s="86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8"/>
      <c r="N340" s="107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9"/>
    </row>
    <row r="341" spans="1:27" s="57" customFormat="1" ht="21" customHeight="1" thickBot="1" x14ac:dyDescent="0.3"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  <c r="Z341" s="105"/>
    </row>
    <row r="342" spans="1:27" s="55" customFormat="1" ht="21" customHeight="1" x14ac:dyDescent="0.25">
      <c r="A342" s="297" t="s">
        <v>56</v>
      </c>
      <c r="B342" s="298"/>
      <c r="C342" s="298"/>
      <c r="D342" s="298"/>
      <c r="E342" s="298"/>
      <c r="F342" s="298"/>
      <c r="G342" s="298"/>
      <c r="H342" s="298"/>
      <c r="I342" s="298"/>
      <c r="J342" s="298"/>
      <c r="K342" s="298"/>
      <c r="L342" s="299"/>
      <c r="M342" s="140"/>
      <c r="N342" s="93"/>
      <c r="O342" s="285" t="s">
        <v>58</v>
      </c>
      <c r="P342" s="286"/>
      <c r="Q342" s="286"/>
      <c r="R342" s="287"/>
      <c r="S342" s="94"/>
      <c r="T342" s="285" t="s">
        <v>59</v>
      </c>
      <c r="U342" s="286"/>
      <c r="V342" s="286"/>
      <c r="W342" s="286"/>
      <c r="X342" s="286"/>
      <c r="Y342" s="287"/>
      <c r="Z342" s="95"/>
    </row>
    <row r="343" spans="1:27" s="55" customFormat="1" ht="21" customHeight="1" x14ac:dyDescent="0.25">
      <c r="A343" s="56"/>
      <c r="B343" s="57"/>
      <c r="C343" s="288" t="s">
        <v>114</v>
      </c>
      <c r="D343" s="288"/>
      <c r="E343" s="288"/>
      <c r="F343" s="288"/>
      <c r="G343" s="58" t="str">
        <f>$J$1</f>
        <v>June</v>
      </c>
      <c r="H343" s="289">
        <f>$K$1</f>
        <v>2019</v>
      </c>
      <c r="I343" s="289"/>
      <c r="J343" s="57"/>
      <c r="K343" s="59"/>
      <c r="L343" s="60"/>
      <c r="M343" s="59"/>
      <c r="N343" s="96"/>
      <c r="O343" s="97" t="s">
        <v>69</v>
      </c>
      <c r="P343" s="97" t="s">
        <v>7</v>
      </c>
      <c r="Q343" s="97" t="s">
        <v>6</v>
      </c>
      <c r="R343" s="97" t="s">
        <v>70</v>
      </c>
      <c r="S343" s="98"/>
      <c r="T343" s="97" t="s">
        <v>69</v>
      </c>
      <c r="U343" s="97" t="s">
        <v>71</v>
      </c>
      <c r="V343" s="97" t="s">
        <v>29</v>
      </c>
      <c r="W343" s="97" t="s">
        <v>28</v>
      </c>
      <c r="X343" s="97" t="s">
        <v>30</v>
      </c>
      <c r="Y343" s="97" t="s">
        <v>75</v>
      </c>
      <c r="Z343" s="99"/>
    </row>
    <row r="344" spans="1:27" s="55" customFormat="1" ht="21" customHeight="1" x14ac:dyDescent="0.25">
      <c r="A344" s="56"/>
      <c r="B344" s="57"/>
      <c r="C344" s="57"/>
      <c r="D344" s="62"/>
      <c r="E344" s="62"/>
      <c r="F344" s="62"/>
      <c r="G344" s="62"/>
      <c r="H344" s="62"/>
      <c r="I344" s="57"/>
      <c r="J344" s="63" t="s">
        <v>1</v>
      </c>
      <c r="K344" s="64">
        <v>15000</v>
      </c>
      <c r="L344" s="65"/>
      <c r="M344" s="57"/>
      <c r="N344" s="100"/>
      <c r="O344" s="101" t="s">
        <v>61</v>
      </c>
      <c r="P344" s="101">
        <v>5</v>
      </c>
      <c r="Q344" s="101"/>
      <c r="R344" s="101"/>
      <c r="S344" s="102"/>
      <c r="T344" s="101" t="s">
        <v>61</v>
      </c>
      <c r="U344" s="103"/>
      <c r="V344" s="103"/>
      <c r="W344" s="103">
        <f>V344+U344</f>
        <v>0</v>
      </c>
      <c r="X344" s="103"/>
      <c r="Y344" s="103">
        <f>W344-X344</f>
        <v>0</v>
      </c>
      <c r="Z344" s="99"/>
    </row>
    <row r="345" spans="1:27" s="55" customFormat="1" ht="21" customHeight="1" x14ac:dyDescent="0.25">
      <c r="A345" s="56"/>
      <c r="B345" s="57" t="s">
        <v>0</v>
      </c>
      <c r="C345" s="112" t="s">
        <v>190</v>
      </c>
      <c r="D345" s="57"/>
      <c r="E345" s="57"/>
      <c r="F345" s="57"/>
      <c r="G345" s="57"/>
      <c r="H345" s="68"/>
      <c r="I345" s="62"/>
      <c r="J345" s="57"/>
      <c r="K345" s="57"/>
      <c r="L345" s="69"/>
      <c r="M345" s="140"/>
      <c r="N345" s="104"/>
      <c r="O345" s="101" t="s">
        <v>87</v>
      </c>
      <c r="P345" s="101"/>
      <c r="Q345" s="101"/>
      <c r="R345" s="101">
        <v>0</v>
      </c>
      <c r="S345" s="105"/>
      <c r="T345" s="101" t="s">
        <v>87</v>
      </c>
      <c r="U345" s="177">
        <f>Y344</f>
        <v>0</v>
      </c>
      <c r="V345" s="103"/>
      <c r="W345" s="177">
        <f>IF(U345="","",U345+V345)</f>
        <v>0</v>
      </c>
      <c r="X345" s="103"/>
      <c r="Y345" s="177">
        <f>IF(W345="","",W345-X345)</f>
        <v>0</v>
      </c>
      <c r="Z345" s="106"/>
    </row>
    <row r="346" spans="1:27" s="55" customFormat="1" ht="21" customHeight="1" x14ac:dyDescent="0.25">
      <c r="A346" s="56"/>
      <c r="B346" s="71" t="s">
        <v>57</v>
      </c>
      <c r="C346" s="112"/>
      <c r="D346" s="57"/>
      <c r="E346" s="57"/>
      <c r="F346" s="290" t="s">
        <v>59</v>
      </c>
      <c r="G346" s="290"/>
      <c r="H346" s="57"/>
      <c r="I346" s="290" t="s">
        <v>60</v>
      </c>
      <c r="J346" s="290"/>
      <c r="K346" s="290"/>
      <c r="L346" s="73"/>
      <c r="M346" s="57"/>
      <c r="N346" s="100"/>
      <c r="O346" s="101" t="s">
        <v>62</v>
      </c>
      <c r="P346" s="101"/>
      <c r="Q346" s="101"/>
      <c r="R346" s="101">
        <v>0</v>
      </c>
      <c r="S346" s="105"/>
      <c r="T346" s="101" t="s">
        <v>62</v>
      </c>
      <c r="U346" s="177">
        <f>IF($J$1="April",Y345,Y345)</f>
        <v>0</v>
      </c>
      <c r="V346" s="103"/>
      <c r="W346" s="177">
        <f t="shared" ref="W346:W355" si="58">IF(U346="","",U346+V346)</f>
        <v>0</v>
      </c>
      <c r="X346" s="103"/>
      <c r="Y346" s="177">
        <f t="shared" ref="Y346:Y355" si="59">IF(W346="","",W346-X346)</f>
        <v>0</v>
      </c>
      <c r="Z346" s="106"/>
    </row>
    <row r="347" spans="1:27" s="55" customFormat="1" ht="21" customHeight="1" x14ac:dyDescent="0.25">
      <c r="A347" s="56"/>
      <c r="B347" s="57"/>
      <c r="C347" s="57"/>
      <c r="D347" s="57"/>
      <c r="E347" s="57"/>
      <c r="F347" s="57"/>
      <c r="G347" s="57"/>
      <c r="H347" s="74"/>
      <c r="L347" s="61"/>
      <c r="M347" s="57"/>
      <c r="N347" s="100"/>
      <c r="O347" s="101" t="s">
        <v>63</v>
      </c>
      <c r="P347" s="101"/>
      <c r="Q347" s="101"/>
      <c r="R347" s="101">
        <v>0</v>
      </c>
      <c r="S347" s="105"/>
      <c r="T347" s="101" t="s">
        <v>63</v>
      </c>
      <c r="U347" s="177">
        <f>IF($J$1="April",Y346,Y346)</f>
        <v>0</v>
      </c>
      <c r="V347" s="103"/>
      <c r="W347" s="177">
        <f t="shared" si="58"/>
        <v>0</v>
      </c>
      <c r="X347" s="103"/>
      <c r="Y347" s="177">
        <f t="shared" si="59"/>
        <v>0</v>
      </c>
      <c r="Z347" s="106"/>
    </row>
    <row r="348" spans="1:27" s="55" customFormat="1" ht="21" customHeight="1" x14ac:dyDescent="0.25">
      <c r="A348" s="56"/>
      <c r="B348" s="291" t="s">
        <v>58</v>
      </c>
      <c r="C348" s="292"/>
      <c r="D348" s="57"/>
      <c r="E348" s="57"/>
      <c r="F348" s="75" t="s">
        <v>80</v>
      </c>
      <c r="G348" s="70">
        <f>IF($J$1="January",U344,IF($J$1="February",U345,IF($J$1="March",U346,IF($J$1="April",U347,IF($J$1="May",U348,IF($J$1="June",U349,IF($J$1="July",U350,IF($J$1="August",U351,IF($J$1="August",U351,IF($J$1="September",U352,IF($J$1="October",U353,IF($J$1="November",U354,IF($J$1="December",U355)))))))))))))</f>
        <v>0</v>
      </c>
      <c r="H348" s="74"/>
      <c r="I348" s="76">
        <v>11</v>
      </c>
      <c r="J348" s="77" t="s">
        <v>77</v>
      </c>
      <c r="K348" s="78">
        <f>K344/$K$2*I348</f>
        <v>5500</v>
      </c>
      <c r="L348" s="79"/>
      <c r="M348" s="57"/>
      <c r="N348" s="100"/>
      <c r="O348" s="101" t="s">
        <v>64</v>
      </c>
      <c r="P348" s="101"/>
      <c r="Q348" s="101"/>
      <c r="R348" s="101" t="str">
        <f t="shared" ref="R348:R351" si="60">IF(Q348="","",R347-Q348)</f>
        <v/>
      </c>
      <c r="S348" s="105"/>
      <c r="T348" s="101" t="s">
        <v>64</v>
      </c>
      <c r="U348" s="177">
        <f>IF($J$1="May",Y347,Y347)</f>
        <v>0</v>
      </c>
      <c r="V348" s="103"/>
      <c r="W348" s="177">
        <f t="shared" si="58"/>
        <v>0</v>
      </c>
      <c r="X348" s="103"/>
      <c r="Y348" s="177">
        <f t="shared" si="59"/>
        <v>0</v>
      </c>
      <c r="Z348" s="106"/>
    </row>
    <row r="349" spans="1:27" s="55" customFormat="1" ht="21" customHeight="1" x14ac:dyDescent="0.25">
      <c r="A349" s="56"/>
      <c r="B349" s="66"/>
      <c r="C349" s="66"/>
      <c r="D349" s="57"/>
      <c r="E349" s="57"/>
      <c r="F349" s="75" t="s">
        <v>29</v>
      </c>
      <c r="G349" s="70">
        <f>IF($J$1="January",V344,IF($J$1="February",V345,IF($J$1="March",V346,IF($J$1="April",V347,IF($J$1="May",V348,IF($J$1="June",V349,IF($J$1="July",V350,IF($J$1="August",V351,IF($J$1="August",V351,IF($J$1="September",V352,IF($J$1="October",V353,IF($J$1="November",V354,IF($J$1="December",V355)))))))))))))</f>
        <v>2000</v>
      </c>
      <c r="H349" s="74"/>
      <c r="I349" s="120"/>
      <c r="J349" s="77" t="s">
        <v>78</v>
      </c>
      <c r="K349" s="80">
        <f>K344/$K$2/8*I349</f>
        <v>0</v>
      </c>
      <c r="L349" s="81"/>
      <c r="M349" s="57"/>
      <c r="N349" s="100"/>
      <c r="O349" s="101" t="s">
        <v>65</v>
      </c>
      <c r="P349" s="101"/>
      <c r="Q349" s="101"/>
      <c r="R349" s="101">
        <v>0</v>
      </c>
      <c r="S349" s="105"/>
      <c r="T349" s="101" t="s">
        <v>65</v>
      </c>
      <c r="U349" s="177">
        <f>IF($J$1="May",Y348,Y348)</f>
        <v>0</v>
      </c>
      <c r="V349" s="103">
        <v>2000</v>
      </c>
      <c r="W349" s="177">
        <f t="shared" si="58"/>
        <v>2000</v>
      </c>
      <c r="X349" s="103">
        <v>2000</v>
      </c>
      <c r="Y349" s="177">
        <f t="shared" si="59"/>
        <v>0</v>
      </c>
      <c r="Z349" s="106"/>
    </row>
    <row r="350" spans="1:27" s="55" customFormat="1" ht="21" customHeight="1" x14ac:dyDescent="0.25">
      <c r="A350" s="56"/>
      <c r="B350" s="75" t="s">
        <v>7</v>
      </c>
      <c r="C350" s="66">
        <f>IF($J$1="January",P344,IF($J$1="February",P345,IF($J$1="March",P346,IF($J$1="April",P347,IF($J$1="May",P348,IF($J$1="June",P349,IF($J$1="July",P350,IF($J$1="August",P351,IF($J$1="August",P351,IF($J$1="September",P352,IF($J$1="October",P353,IF($J$1="November",P354,IF($J$1="December",P355)))))))))))))</f>
        <v>0</v>
      </c>
      <c r="D350" s="57"/>
      <c r="E350" s="57"/>
      <c r="F350" s="75" t="s">
        <v>81</v>
      </c>
      <c r="G350" s="70">
        <f>IF($J$1="January",W344,IF($J$1="February",W345,IF($J$1="March",W346,IF($J$1="April",W347,IF($J$1="May",W348,IF($J$1="June",W349,IF($J$1="July",W350,IF($J$1="August",W351,IF($J$1="August",W351,IF($J$1="September",W352,IF($J$1="October",W353,IF($J$1="November",W354,IF($J$1="December",W355)))))))))))))</f>
        <v>2000</v>
      </c>
      <c r="H350" s="74"/>
      <c r="I350" s="293" t="s">
        <v>85</v>
      </c>
      <c r="J350" s="294"/>
      <c r="K350" s="80">
        <f>K348+K349</f>
        <v>5500</v>
      </c>
      <c r="L350" s="81"/>
      <c r="M350" s="57"/>
      <c r="N350" s="100"/>
      <c r="O350" s="101" t="s">
        <v>66</v>
      </c>
      <c r="P350" s="101"/>
      <c r="Q350" s="101"/>
      <c r="R350" s="101">
        <v>0</v>
      </c>
      <c r="S350" s="105"/>
      <c r="T350" s="101" t="s">
        <v>66</v>
      </c>
      <c r="U350" s="177">
        <f>IF($J$1="May",Y349,Y349)</f>
        <v>0</v>
      </c>
      <c r="V350" s="103"/>
      <c r="W350" s="177">
        <f t="shared" si="58"/>
        <v>0</v>
      </c>
      <c r="X350" s="103"/>
      <c r="Y350" s="177">
        <f t="shared" si="59"/>
        <v>0</v>
      </c>
      <c r="Z350" s="106"/>
    </row>
    <row r="351" spans="1:27" s="55" customFormat="1" ht="21" customHeight="1" x14ac:dyDescent="0.25">
      <c r="A351" s="56"/>
      <c r="B351" s="75" t="s">
        <v>6</v>
      </c>
      <c r="C351" s="66">
        <f>IF($J$1="January",Q344,IF($J$1="February",Q345,IF($J$1="March",Q346,IF($J$1="April",Q347,IF($J$1="May",Q348,IF($J$1="June",Q349,IF($J$1="July",Q350,IF($J$1="August",Q351,IF($J$1="August",Q351,IF($J$1="September",Q352,IF($J$1="October",Q353,IF($J$1="November",Q354,IF($J$1="December",Q355)))))))))))))</f>
        <v>0</v>
      </c>
      <c r="D351" s="57"/>
      <c r="E351" s="57"/>
      <c r="F351" s="75" t="s">
        <v>30</v>
      </c>
      <c r="G351" s="70">
        <f>IF($J$1="January",X344,IF($J$1="February",X345,IF($J$1="March",X346,IF($J$1="April",X347,IF($J$1="May",X348,IF($J$1="June",X349,IF($J$1="July",X350,IF($J$1="August",X351,IF($J$1="August",X351,IF($J$1="September",X352,IF($J$1="October",X353,IF($J$1="November",X354,IF($J$1="December",X355)))))))))))))</f>
        <v>2000</v>
      </c>
      <c r="H351" s="74"/>
      <c r="I351" s="293" t="s">
        <v>86</v>
      </c>
      <c r="J351" s="294"/>
      <c r="K351" s="70">
        <f>G351</f>
        <v>2000</v>
      </c>
      <c r="L351" s="82"/>
      <c r="M351" s="57"/>
      <c r="N351" s="100"/>
      <c r="O351" s="101" t="s">
        <v>67</v>
      </c>
      <c r="P351" s="101"/>
      <c r="Q351" s="101"/>
      <c r="R351" s="101" t="str">
        <f t="shared" si="60"/>
        <v/>
      </c>
      <c r="S351" s="105"/>
      <c r="T351" s="101" t="s">
        <v>67</v>
      </c>
      <c r="U351" s="177" t="str">
        <f>IF($J$1="September",Y350,"")</f>
        <v/>
      </c>
      <c r="V351" s="103"/>
      <c r="W351" s="177" t="str">
        <f t="shared" si="58"/>
        <v/>
      </c>
      <c r="X351" s="103"/>
      <c r="Y351" s="177" t="str">
        <f t="shared" si="59"/>
        <v/>
      </c>
      <c r="Z351" s="106"/>
    </row>
    <row r="352" spans="1:27" s="55" customFormat="1" ht="21" customHeight="1" x14ac:dyDescent="0.25">
      <c r="A352" s="56"/>
      <c r="B352" s="83" t="s">
        <v>84</v>
      </c>
      <c r="C352" s="66">
        <f>IF($J$1="January",R344,IF($J$1="February",R345,IF($J$1="March",R346,IF($J$1="April",R347,IF($J$1="May",R348,IF($J$1="June",R349,IF($J$1="July",R350,IF($J$1="August",R351,IF($J$1="August",R351,IF($J$1="September",R352,IF($J$1="October",R353,IF($J$1="November",R354,IF($J$1="December",R355)))))))))))))</f>
        <v>0</v>
      </c>
      <c r="D352" s="57"/>
      <c r="E352" s="57"/>
      <c r="F352" s="75" t="s">
        <v>83</v>
      </c>
      <c r="G352" s="70">
        <f>IF($J$1="January",Y344,IF($J$1="February",Y345,IF($J$1="March",Y346,IF($J$1="April",Y347,IF($J$1="May",Y348,IF($J$1="June",Y349,IF($J$1="July",Y350,IF($J$1="August",Y351,IF($J$1="August",Y351,IF($J$1="September",Y352,IF($J$1="October",Y353,IF($J$1="November",Y354,IF($J$1="December",Y355)))))))))))))</f>
        <v>0</v>
      </c>
      <c r="H352" s="57"/>
      <c r="I352" s="295" t="s">
        <v>79</v>
      </c>
      <c r="J352" s="296"/>
      <c r="K352" s="84">
        <f>K350-K351</f>
        <v>3500</v>
      </c>
      <c r="L352" s="85"/>
      <c r="M352" s="57"/>
      <c r="N352" s="100"/>
      <c r="O352" s="101" t="s">
        <v>72</v>
      </c>
      <c r="P352" s="101"/>
      <c r="Q352" s="101"/>
      <c r="R352" s="101">
        <v>0</v>
      </c>
      <c r="S352" s="105"/>
      <c r="T352" s="101" t="s">
        <v>72</v>
      </c>
      <c r="U352" s="177" t="str">
        <f>IF($J$1="September",Y351,"")</f>
        <v/>
      </c>
      <c r="V352" s="103"/>
      <c r="W352" s="177" t="str">
        <f t="shared" si="58"/>
        <v/>
      </c>
      <c r="X352" s="103"/>
      <c r="Y352" s="177" t="str">
        <f t="shared" si="59"/>
        <v/>
      </c>
      <c r="Z352" s="106"/>
    </row>
    <row r="353" spans="1:26" s="55" customFormat="1" ht="21" customHeight="1" x14ac:dyDescent="0.25">
      <c r="A353" s="56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73"/>
      <c r="M353" s="57"/>
      <c r="N353" s="100"/>
      <c r="O353" s="101" t="s">
        <v>68</v>
      </c>
      <c r="P353" s="101"/>
      <c r="Q353" s="101"/>
      <c r="R353" s="101">
        <v>0</v>
      </c>
      <c r="S353" s="105"/>
      <c r="T353" s="101" t="s">
        <v>68</v>
      </c>
      <c r="U353" s="177" t="str">
        <f>IF($J$1="October",Y352,"")</f>
        <v/>
      </c>
      <c r="V353" s="103"/>
      <c r="W353" s="177" t="str">
        <f t="shared" si="58"/>
        <v/>
      </c>
      <c r="X353" s="103"/>
      <c r="Y353" s="177" t="str">
        <f t="shared" si="59"/>
        <v/>
      </c>
      <c r="Z353" s="106"/>
    </row>
    <row r="354" spans="1:26" s="55" customFormat="1" ht="21" customHeight="1" x14ac:dyDescent="0.25">
      <c r="A354" s="56"/>
      <c r="B354" s="284"/>
      <c r="C354" s="284"/>
      <c r="D354" s="284"/>
      <c r="E354" s="284"/>
      <c r="F354" s="284"/>
      <c r="G354" s="284"/>
      <c r="H354" s="284"/>
      <c r="I354" s="284"/>
      <c r="J354" s="284"/>
      <c r="K354" s="284"/>
      <c r="L354" s="73"/>
      <c r="M354" s="57"/>
      <c r="N354" s="100"/>
      <c r="O354" s="101" t="s">
        <v>73</v>
      </c>
      <c r="P354" s="101"/>
      <c r="Q354" s="101"/>
      <c r="R354" s="101">
        <v>0</v>
      </c>
      <c r="S354" s="105"/>
      <c r="T354" s="101" t="s">
        <v>73</v>
      </c>
      <c r="U354" s="177" t="str">
        <f>IF($J$1="November",Y353,"")</f>
        <v/>
      </c>
      <c r="V354" s="103"/>
      <c r="W354" s="177" t="str">
        <f t="shared" si="58"/>
        <v/>
      </c>
      <c r="X354" s="103"/>
      <c r="Y354" s="177" t="str">
        <f t="shared" si="59"/>
        <v/>
      </c>
      <c r="Z354" s="106"/>
    </row>
    <row r="355" spans="1:26" s="55" customFormat="1" ht="21" customHeight="1" x14ac:dyDescent="0.25">
      <c r="A355" s="56"/>
      <c r="B355" s="284"/>
      <c r="C355" s="284"/>
      <c r="D355" s="284"/>
      <c r="E355" s="284"/>
      <c r="F355" s="284"/>
      <c r="G355" s="284"/>
      <c r="H355" s="284"/>
      <c r="I355" s="284"/>
      <c r="J355" s="284"/>
      <c r="K355" s="284"/>
      <c r="L355" s="73"/>
      <c r="M355" s="57"/>
      <c r="N355" s="100"/>
      <c r="O355" s="101" t="s">
        <v>74</v>
      </c>
      <c r="P355" s="101"/>
      <c r="Q355" s="101"/>
      <c r="R355" s="101">
        <v>0</v>
      </c>
      <c r="S355" s="105"/>
      <c r="T355" s="101" t="s">
        <v>74</v>
      </c>
      <c r="U355" s="177" t="str">
        <f>IF($J$1="Dec",Y354,"")</f>
        <v/>
      </c>
      <c r="V355" s="103"/>
      <c r="W355" s="177" t="str">
        <f t="shared" si="58"/>
        <v/>
      </c>
      <c r="X355" s="103"/>
      <c r="Y355" s="177" t="str">
        <f t="shared" si="59"/>
        <v/>
      </c>
      <c r="Z355" s="106"/>
    </row>
    <row r="356" spans="1:26" s="55" customFormat="1" ht="21" customHeight="1" thickBot="1" x14ac:dyDescent="0.3">
      <c r="A356" s="86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8"/>
      <c r="N356" s="107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9"/>
    </row>
    <row r="357" spans="1:26" s="57" customFormat="1" ht="21" customHeight="1" thickBot="1" x14ac:dyDescent="0.3"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</row>
    <row r="358" spans="1:26" s="55" customFormat="1" ht="21" customHeight="1" x14ac:dyDescent="0.25">
      <c r="A358" s="297" t="s">
        <v>56</v>
      </c>
      <c r="B358" s="298"/>
      <c r="C358" s="298"/>
      <c r="D358" s="298"/>
      <c r="E358" s="298"/>
      <c r="F358" s="298"/>
      <c r="G358" s="298"/>
      <c r="H358" s="298"/>
      <c r="I358" s="298"/>
      <c r="J358" s="298"/>
      <c r="K358" s="298"/>
      <c r="L358" s="299"/>
      <c r="M358" s="143"/>
      <c r="N358" s="93"/>
      <c r="O358" s="285" t="s">
        <v>58</v>
      </c>
      <c r="P358" s="286"/>
      <c r="Q358" s="286"/>
      <c r="R358" s="287"/>
      <c r="S358" s="94"/>
      <c r="T358" s="285" t="s">
        <v>59</v>
      </c>
      <c r="U358" s="286"/>
      <c r="V358" s="286"/>
      <c r="W358" s="286"/>
      <c r="X358" s="286"/>
      <c r="Y358" s="287"/>
      <c r="Z358" s="92"/>
    </row>
    <row r="359" spans="1:26" s="55" customFormat="1" ht="21" customHeight="1" x14ac:dyDescent="0.25">
      <c r="A359" s="56"/>
      <c r="B359" s="57"/>
      <c r="C359" s="288" t="s">
        <v>114</v>
      </c>
      <c r="D359" s="288"/>
      <c r="E359" s="288"/>
      <c r="F359" s="288"/>
      <c r="G359" s="58" t="str">
        <f>$J$1</f>
        <v>June</v>
      </c>
      <c r="H359" s="289">
        <f>$K$1</f>
        <v>2019</v>
      </c>
      <c r="I359" s="289"/>
      <c r="J359" s="57"/>
      <c r="K359" s="59"/>
      <c r="L359" s="60"/>
      <c r="M359" s="59"/>
      <c r="N359" s="96"/>
      <c r="O359" s="97" t="s">
        <v>69</v>
      </c>
      <c r="P359" s="97" t="s">
        <v>7</v>
      </c>
      <c r="Q359" s="97" t="s">
        <v>6</v>
      </c>
      <c r="R359" s="97" t="s">
        <v>70</v>
      </c>
      <c r="S359" s="98"/>
      <c r="T359" s="97" t="s">
        <v>69</v>
      </c>
      <c r="U359" s="97" t="s">
        <v>71</v>
      </c>
      <c r="V359" s="97" t="s">
        <v>29</v>
      </c>
      <c r="W359" s="97" t="s">
        <v>28</v>
      </c>
      <c r="X359" s="97" t="s">
        <v>30</v>
      </c>
      <c r="Y359" s="97" t="s">
        <v>75</v>
      </c>
      <c r="Z359" s="92"/>
    </row>
    <row r="360" spans="1:26" s="55" customFormat="1" ht="21" customHeight="1" x14ac:dyDescent="0.25">
      <c r="A360" s="56"/>
      <c r="B360" s="57"/>
      <c r="C360" s="57"/>
      <c r="D360" s="62"/>
      <c r="E360" s="62"/>
      <c r="F360" s="62"/>
      <c r="G360" s="62"/>
      <c r="H360" s="62"/>
      <c r="I360" s="57"/>
      <c r="J360" s="63" t="s">
        <v>1</v>
      </c>
      <c r="K360" s="64"/>
      <c r="L360" s="65"/>
      <c r="M360" s="57"/>
      <c r="N360" s="100"/>
      <c r="O360" s="101" t="s">
        <v>61</v>
      </c>
      <c r="P360" s="101"/>
      <c r="Q360" s="101"/>
      <c r="R360" s="101"/>
      <c r="S360" s="102"/>
      <c r="T360" s="101" t="s">
        <v>61</v>
      </c>
      <c r="U360" s="103"/>
      <c r="V360" s="103"/>
      <c r="W360" s="103">
        <f>V360+U360</f>
        <v>0</v>
      </c>
      <c r="X360" s="103"/>
      <c r="Y360" s="103">
        <f>W360-X360</f>
        <v>0</v>
      </c>
      <c r="Z360" s="92"/>
    </row>
    <row r="361" spans="1:26" s="55" customFormat="1" ht="21" customHeight="1" x14ac:dyDescent="0.25">
      <c r="A361" s="56"/>
      <c r="B361" s="57" t="s">
        <v>0</v>
      </c>
      <c r="C361" s="112"/>
      <c r="D361" s="57"/>
      <c r="E361" s="57"/>
      <c r="F361" s="57"/>
      <c r="G361" s="57"/>
      <c r="H361" s="68"/>
      <c r="I361" s="62"/>
      <c r="J361" s="57"/>
      <c r="K361" s="57"/>
      <c r="L361" s="69"/>
      <c r="M361" s="143"/>
      <c r="N361" s="104"/>
      <c r="O361" s="101" t="s">
        <v>87</v>
      </c>
      <c r="P361" s="101"/>
      <c r="Q361" s="101"/>
      <c r="R361" s="101" t="str">
        <f>IF(Q361="","",R360-Q361)</f>
        <v/>
      </c>
      <c r="S361" s="105"/>
      <c r="T361" s="101" t="s">
        <v>87</v>
      </c>
      <c r="U361" s="177">
        <f>Y360</f>
        <v>0</v>
      </c>
      <c r="V361" s="103"/>
      <c r="W361" s="177">
        <f>IF(U361="","",U361+V361)</f>
        <v>0</v>
      </c>
      <c r="X361" s="103"/>
      <c r="Y361" s="177">
        <f>IF(W361="","",W361-X361)</f>
        <v>0</v>
      </c>
      <c r="Z361" s="92"/>
    </row>
    <row r="362" spans="1:26" s="55" customFormat="1" ht="21" customHeight="1" x14ac:dyDescent="0.25">
      <c r="A362" s="56"/>
      <c r="B362" s="71" t="s">
        <v>57</v>
      </c>
      <c r="C362" s="72"/>
      <c r="D362" s="57"/>
      <c r="E362" s="57"/>
      <c r="F362" s="290" t="s">
        <v>59</v>
      </c>
      <c r="G362" s="290"/>
      <c r="H362" s="57"/>
      <c r="I362" s="290" t="s">
        <v>60</v>
      </c>
      <c r="J362" s="290"/>
      <c r="K362" s="290"/>
      <c r="L362" s="73"/>
      <c r="M362" s="57"/>
      <c r="N362" s="100"/>
      <c r="O362" s="101" t="s">
        <v>62</v>
      </c>
      <c r="P362" s="101"/>
      <c r="Q362" s="101"/>
      <c r="R362" s="101" t="str">
        <f t="shared" ref="R362:R371" si="61">IF(Q362="","",R361-Q362)</f>
        <v/>
      </c>
      <c r="S362" s="105"/>
      <c r="T362" s="101" t="s">
        <v>62</v>
      </c>
      <c r="U362" s="177">
        <f>IF($J$1="April",Y361,Y361)</f>
        <v>0</v>
      </c>
      <c r="V362" s="103"/>
      <c r="W362" s="177">
        <f t="shared" ref="W362:W371" si="62">IF(U362="","",U362+V362)</f>
        <v>0</v>
      </c>
      <c r="X362" s="103"/>
      <c r="Y362" s="177">
        <f t="shared" ref="Y362:Y371" si="63">IF(W362="","",W362-X362)</f>
        <v>0</v>
      </c>
      <c r="Z362" s="92"/>
    </row>
    <row r="363" spans="1:26" s="55" customFormat="1" ht="21" customHeight="1" x14ac:dyDescent="0.25">
      <c r="A363" s="56"/>
      <c r="B363" s="57"/>
      <c r="C363" s="57"/>
      <c r="D363" s="57"/>
      <c r="E363" s="57"/>
      <c r="F363" s="57"/>
      <c r="G363" s="57"/>
      <c r="H363" s="74"/>
      <c r="L363" s="61"/>
      <c r="M363" s="57"/>
      <c r="N363" s="100"/>
      <c r="O363" s="101" t="s">
        <v>63</v>
      </c>
      <c r="P363" s="101"/>
      <c r="Q363" s="101"/>
      <c r="R363" s="101" t="str">
        <f t="shared" si="61"/>
        <v/>
      </c>
      <c r="S363" s="105"/>
      <c r="T363" s="101" t="s">
        <v>63</v>
      </c>
      <c r="U363" s="177">
        <f>IF($J$1="April",Y362,Y362)</f>
        <v>0</v>
      </c>
      <c r="V363" s="103"/>
      <c r="W363" s="177">
        <f t="shared" si="62"/>
        <v>0</v>
      </c>
      <c r="X363" s="103"/>
      <c r="Y363" s="177">
        <f t="shared" si="63"/>
        <v>0</v>
      </c>
      <c r="Z363" s="92"/>
    </row>
    <row r="364" spans="1:26" s="55" customFormat="1" ht="21" customHeight="1" x14ac:dyDescent="0.25">
      <c r="A364" s="56"/>
      <c r="B364" s="291" t="s">
        <v>58</v>
      </c>
      <c r="C364" s="292"/>
      <c r="D364" s="57"/>
      <c r="E364" s="57"/>
      <c r="F364" s="75" t="s">
        <v>80</v>
      </c>
      <c r="G364" s="70">
        <f>IF($J$1="January",U360,IF($J$1="February",U361,IF($J$1="March",U362,IF($J$1="April",U363,IF($J$1="May",U364,IF($J$1="June",U365,IF($J$1="July",U366,IF($J$1="August",U367,IF($J$1="August",U367,IF($J$1="September",U368,IF($J$1="October",U369,IF($J$1="November",U370,IF($J$1="December",U371)))))))))))))</f>
        <v>0</v>
      </c>
      <c r="H364" s="74"/>
      <c r="I364" s="76"/>
      <c r="J364" s="77" t="s">
        <v>77</v>
      </c>
      <c r="K364" s="78">
        <f>K360/$K$2*I364</f>
        <v>0</v>
      </c>
      <c r="L364" s="79"/>
      <c r="M364" s="57"/>
      <c r="N364" s="100"/>
      <c r="O364" s="101" t="s">
        <v>64</v>
      </c>
      <c r="P364" s="101"/>
      <c r="Q364" s="101"/>
      <c r="R364" s="101" t="str">
        <f t="shared" si="61"/>
        <v/>
      </c>
      <c r="S364" s="105"/>
      <c r="T364" s="101" t="s">
        <v>64</v>
      </c>
      <c r="U364" s="177">
        <f>IF($J$1="May",Y363,Y363)</f>
        <v>0</v>
      </c>
      <c r="V364" s="103"/>
      <c r="W364" s="177">
        <f t="shared" si="62"/>
        <v>0</v>
      </c>
      <c r="X364" s="103"/>
      <c r="Y364" s="177">
        <f t="shared" si="63"/>
        <v>0</v>
      </c>
      <c r="Z364" s="92"/>
    </row>
    <row r="365" spans="1:26" s="55" customFormat="1" ht="21" customHeight="1" x14ac:dyDescent="0.25">
      <c r="A365" s="56"/>
      <c r="B365" s="66"/>
      <c r="C365" s="66"/>
      <c r="D365" s="57"/>
      <c r="E365" s="57"/>
      <c r="F365" s="75" t="s">
        <v>29</v>
      </c>
      <c r="G365" s="70">
        <f>IF($J$1="January",V360,IF($J$1="February",V361,IF($J$1="March",V362,IF($J$1="April",V363,IF($J$1="May",V364,IF($J$1="June",V365,IF($J$1="July",V366,IF($J$1="August",V367,IF($J$1="August",V367,IF($J$1="September",V368,IF($J$1="October",V369,IF($J$1="November",V370,IF($J$1="December",V371)))))))))))))</f>
        <v>0</v>
      </c>
      <c r="H365" s="74"/>
      <c r="I365" s="120"/>
      <c r="J365" s="77" t="s">
        <v>78</v>
      </c>
      <c r="K365" s="80">
        <f>K360/$K$2/8*I365</f>
        <v>0</v>
      </c>
      <c r="L365" s="81"/>
      <c r="M365" s="57"/>
      <c r="N365" s="100"/>
      <c r="O365" s="101" t="s">
        <v>65</v>
      </c>
      <c r="P365" s="101"/>
      <c r="Q365" s="101"/>
      <c r="R365" s="101" t="str">
        <f t="shared" si="61"/>
        <v/>
      </c>
      <c r="S365" s="105"/>
      <c r="T365" s="101" t="s">
        <v>65</v>
      </c>
      <c r="U365" s="177">
        <f>IF($J$1="May",Y364,Y364)</f>
        <v>0</v>
      </c>
      <c r="V365" s="103"/>
      <c r="W365" s="177">
        <f t="shared" si="62"/>
        <v>0</v>
      </c>
      <c r="X365" s="103"/>
      <c r="Y365" s="177">
        <f t="shared" si="63"/>
        <v>0</v>
      </c>
      <c r="Z365" s="92"/>
    </row>
    <row r="366" spans="1:26" s="55" customFormat="1" ht="21" customHeight="1" x14ac:dyDescent="0.25">
      <c r="A366" s="56"/>
      <c r="B366" s="75" t="s">
        <v>7</v>
      </c>
      <c r="C366" s="66">
        <f>IF($J$1="January",P360,IF($J$1="February",P361,IF($J$1="March",P362,IF($J$1="April",P363,IF($J$1="May",P364,IF($J$1="June",P365,IF($J$1="July",P366,IF($J$1="August",P367,IF($J$1="August",P367,IF($J$1="September",P368,IF($J$1="October",P369,IF($J$1="November",P370,IF($J$1="December",P371)))))))))))))</f>
        <v>0</v>
      </c>
      <c r="D366" s="57"/>
      <c r="E366" s="57"/>
      <c r="F366" s="75" t="s">
        <v>81</v>
      </c>
      <c r="G366" s="70">
        <f>IF($J$1="January",W360,IF($J$1="February",W361,IF($J$1="March",W362,IF($J$1="April",W363,IF($J$1="May",W364,IF($J$1="June",W365,IF($J$1="July",W366,IF($J$1="August",W367,IF($J$1="August",W367,IF($J$1="September",W368,IF($J$1="October",W369,IF($J$1="November",W370,IF($J$1="December",W371)))))))))))))</f>
        <v>0</v>
      </c>
      <c r="H366" s="74"/>
      <c r="I366" s="293" t="s">
        <v>85</v>
      </c>
      <c r="J366" s="294"/>
      <c r="K366" s="80">
        <f>K364+K365</f>
        <v>0</v>
      </c>
      <c r="L366" s="81"/>
      <c r="M366" s="57"/>
      <c r="N366" s="100"/>
      <c r="O366" s="101" t="s">
        <v>66</v>
      </c>
      <c r="P366" s="101"/>
      <c r="Q366" s="101"/>
      <c r="R366" s="101" t="str">
        <f t="shared" si="61"/>
        <v/>
      </c>
      <c r="S366" s="105"/>
      <c r="T366" s="101" t="s">
        <v>66</v>
      </c>
      <c r="U366" s="177" t="str">
        <f>IF($J$1="July",Y365,"")</f>
        <v/>
      </c>
      <c r="V366" s="103"/>
      <c r="W366" s="177" t="str">
        <f t="shared" si="62"/>
        <v/>
      </c>
      <c r="X366" s="103"/>
      <c r="Y366" s="177" t="str">
        <f t="shared" si="63"/>
        <v/>
      </c>
      <c r="Z366" s="92"/>
    </row>
    <row r="367" spans="1:26" s="55" customFormat="1" ht="21" customHeight="1" x14ac:dyDescent="0.25">
      <c r="A367" s="56"/>
      <c r="B367" s="75" t="s">
        <v>6</v>
      </c>
      <c r="C367" s="66">
        <f>IF($J$1="January",Q360,IF($J$1="February",Q361,IF($J$1="March",Q362,IF($J$1="April",Q363,IF($J$1="May",Q364,IF($J$1="June",Q365,IF($J$1="July",Q366,IF($J$1="August",Q367,IF($J$1="August",Q367,IF($J$1="September",Q368,IF($J$1="October",Q369,IF($J$1="November",Q370,IF($J$1="December",Q371)))))))))))))</f>
        <v>0</v>
      </c>
      <c r="D367" s="57"/>
      <c r="E367" s="57"/>
      <c r="F367" s="75" t="s">
        <v>30</v>
      </c>
      <c r="G367" s="70">
        <f>IF($J$1="January",X360,IF($J$1="February",X361,IF($J$1="March",X362,IF($J$1="April",X363,IF($J$1="May",X364,IF($J$1="June",X365,IF($J$1="July",X366,IF($J$1="August",X367,IF($J$1="August",X367,IF($J$1="September",X368,IF($J$1="October",X369,IF($J$1="November",X370,IF($J$1="December",X371)))))))))))))</f>
        <v>0</v>
      </c>
      <c r="H367" s="74"/>
      <c r="I367" s="293" t="s">
        <v>86</v>
      </c>
      <c r="J367" s="294"/>
      <c r="K367" s="70">
        <f>G367</f>
        <v>0</v>
      </c>
      <c r="L367" s="82"/>
      <c r="M367" s="57"/>
      <c r="N367" s="100"/>
      <c r="O367" s="101" t="s">
        <v>67</v>
      </c>
      <c r="P367" s="101"/>
      <c r="Q367" s="101"/>
      <c r="R367" s="101" t="str">
        <f t="shared" si="61"/>
        <v/>
      </c>
      <c r="S367" s="105"/>
      <c r="T367" s="101" t="s">
        <v>67</v>
      </c>
      <c r="U367" s="177" t="str">
        <f>IF($J$1="August",Y366,"")</f>
        <v/>
      </c>
      <c r="V367" s="103"/>
      <c r="W367" s="177" t="str">
        <f t="shared" si="62"/>
        <v/>
      </c>
      <c r="X367" s="103"/>
      <c r="Y367" s="177" t="str">
        <f t="shared" si="63"/>
        <v/>
      </c>
      <c r="Z367" s="92"/>
    </row>
    <row r="368" spans="1:26" s="55" customFormat="1" ht="21" customHeight="1" x14ac:dyDescent="0.25">
      <c r="A368" s="56"/>
      <c r="B368" s="83" t="s">
        <v>84</v>
      </c>
      <c r="C368" s="66" t="str">
        <f>IF($J$1="January",R360,IF($J$1="February",R361,IF($J$1="March",R362,IF($J$1="April",R363,IF($J$1="May",R364,IF($J$1="June",R365,IF($J$1="July",R366,IF($J$1="August",R367,IF($J$1="August",R367,IF($J$1="September",R368,IF($J$1="October",R369,IF($J$1="November",R370,IF($J$1="December",R371)))))))))))))</f>
        <v/>
      </c>
      <c r="D368" s="57"/>
      <c r="E368" s="57"/>
      <c r="F368" s="75" t="s">
        <v>83</v>
      </c>
      <c r="G368" s="70">
        <f>IF($J$1="January",Y360,IF($J$1="February",Y361,IF($J$1="March",Y362,IF($J$1="April",Y363,IF($J$1="May",Y364,IF($J$1="June",Y365,IF($J$1="July",Y366,IF($J$1="August",Y367,IF($J$1="August",Y367,IF($J$1="September",Y368,IF($J$1="October",Y369,IF($J$1="November",Y370,IF($J$1="December",Y371)))))))))))))</f>
        <v>0</v>
      </c>
      <c r="H368" s="57"/>
      <c r="I368" s="295" t="s">
        <v>79</v>
      </c>
      <c r="J368" s="296"/>
      <c r="K368" s="84">
        <f>K366-K367</f>
        <v>0</v>
      </c>
      <c r="L368" s="85"/>
      <c r="M368" s="57"/>
      <c r="N368" s="100"/>
      <c r="O368" s="101" t="s">
        <v>72</v>
      </c>
      <c r="P368" s="101"/>
      <c r="Q368" s="101"/>
      <c r="R368" s="101" t="str">
        <f t="shared" si="61"/>
        <v/>
      </c>
      <c r="S368" s="105"/>
      <c r="T368" s="101" t="s">
        <v>72</v>
      </c>
      <c r="U368" s="177" t="str">
        <f>IF($J$1="Sept",Y367,"")</f>
        <v/>
      </c>
      <c r="V368" s="103"/>
      <c r="W368" s="177" t="str">
        <f t="shared" si="62"/>
        <v/>
      </c>
      <c r="X368" s="103"/>
      <c r="Y368" s="177" t="str">
        <f t="shared" si="63"/>
        <v/>
      </c>
      <c r="Z368" s="92"/>
    </row>
    <row r="369" spans="1:26" s="55" customFormat="1" ht="21" customHeight="1" x14ac:dyDescent="0.25">
      <c r="A369" s="56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73"/>
      <c r="M369" s="57"/>
      <c r="N369" s="100"/>
      <c r="O369" s="101" t="s">
        <v>68</v>
      </c>
      <c r="P369" s="101"/>
      <c r="Q369" s="101"/>
      <c r="R369" s="101" t="str">
        <f t="shared" si="61"/>
        <v/>
      </c>
      <c r="S369" s="105"/>
      <c r="T369" s="101" t="s">
        <v>68</v>
      </c>
      <c r="U369" s="177" t="str">
        <f>IF($J$1="October",Y368,"")</f>
        <v/>
      </c>
      <c r="V369" s="103"/>
      <c r="W369" s="177" t="str">
        <f t="shared" si="62"/>
        <v/>
      </c>
      <c r="X369" s="103"/>
      <c r="Y369" s="177" t="str">
        <f t="shared" si="63"/>
        <v/>
      </c>
      <c r="Z369" s="92"/>
    </row>
    <row r="370" spans="1:26" s="55" customFormat="1" ht="21" customHeight="1" x14ac:dyDescent="0.25">
      <c r="A370" s="56"/>
      <c r="B370" s="284" t="s">
        <v>116</v>
      </c>
      <c r="C370" s="284"/>
      <c r="D370" s="284"/>
      <c r="E370" s="284"/>
      <c r="F370" s="284"/>
      <c r="G370" s="284"/>
      <c r="H370" s="284"/>
      <c r="I370" s="284"/>
      <c r="J370" s="284"/>
      <c r="K370" s="284"/>
      <c r="L370" s="73"/>
      <c r="M370" s="57"/>
      <c r="N370" s="100"/>
      <c r="O370" s="101" t="s">
        <v>73</v>
      </c>
      <c r="P370" s="101"/>
      <c r="Q370" s="101"/>
      <c r="R370" s="101" t="str">
        <f t="shared" si="61"/>
        <v/>
      </c>
      <c r="S370" s="105"/>
      <c r="T370" s="101" t="s">
        <v>73</v>
      </c>
      <c r="U370" s="177" t="str">
        <f>IF($J$1="November",Y369,"")</f>
        <v/>
      </c>
      <c r="V370" s="103"/>
      <c r="W370" s="177" t="str">
        <f t="shared" si="62"/>
        <v/>
      </c>
      <c r="X370" s="103"/>
      <c r="Y370" s="177" t="str">
        <f t="shared" si="63"/>
        <v/>
      </c>
      <c r="Z370" s="92"/>
    </row>
    <row r="371" spans="1:26" s="55" customFormat="1" ht="21" customHeight="1" x14ac:dyDescent="0.25">
      <c r="A371" s="56"/>
      <c r="B371" s="284"/>
      <c r="C371" s="284"/>
      <c r="D371" s="284"/>
      <c r="E371" s="284"/>
      <c r="F371" s="284"/>
      <c r="G371" s="284"/>
      <c r="H371" s="284"/>
      <c r="I371" s="284"/>
      <c r="J371" s="284"/>
      <c r="K371" s="284"/>
      <c r="L371" s="73"/>
      <c r="M371" s="57"/>
      <c r="N371" s="100"/>
      <c r="O371" s="101" t="s">
        <v>74</v>
      </c>
      <c r="P371" s="101"/>
      <c r="Q371" s="101"/>
      <c r="R371" s="101" t="str">
        <f t="shared" si="61"/>
        <v/>
      </c>
      <c r="S371" s="105"/>
      <c r="T371" s="101" t="s">
        <v>74</v>
      </c>
      <c r="U371" s="177" t="str">
        <f>IF($J$1="Dec",Y370,"")</f>
        <v/>
      </c>
      <c r="V371" s="103"/>
      <c r="W371" s="177" t="str">
        <f t="shared" si="62"/>
        <v/>
      </c>
      <c r="X371" s="103"/>
      <c r="Y371" s="177" t="str">
        <f t="shared" si="63"/>
        <v/>
      </c>
      <c r="Z371" s="92"/>
    </row>
    <row r="372" spans="1:26" s="55" customFormat="1" ht="21" customHeight="1" thickBot="1" x14ac:dyDescent="0.3">
      <c r="A372" s="86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8"/>
      <c r="N372" s="107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92"/>
    </row>
    <row r="373" spans="1:26" s="57" customFormat="1" ht="21" customHeight="1" thickBot="1" x14ac:dyDescent="0.3"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  <c r="Z373" s="105"/>
    </row>
    <row r="374" spans="1:26" s="55" customFormat="1" ht="21" customHeight="1" x14ac:dyDescent="0.25">
      <c r="A374" s="297" t="s">
        <v>56</v>
      </c>
      <c r="B374" s="298"/>
      <c r="C374" s="298"/>
      <c r="D374" s="298"/>
      <c r="E374" s="298"/>
      <c r="F374" s="298"/>
      <c r="G374" s="298"/>
      <c r="H374" s="298"/>
      <c r="I374" s="298"/>
      <c r="J374" s="298"/>
      <c r="K374" s="298"/>
      <c r="L374" s="299"/>
      <c r="M374" s="143"/>
      <c r="N374" s="93"/>
      <c r="O374" s="285" t="s">
        <v>58</v>
      </c>
      <c r="P374" s="286"/>
      <c r="Q374" s="286"/>
      <c r="R374" s="287"/>
      <c r="S374" s="94"/>
      <c r="T374" s="285" t="s">
        <v>59</v>
      </c>
      <c r="U374" s="286"/>
      <c r="V374" s="286"/>
      <c r="W374" s="286"/>
      <c r="X374" s="286"/>
      <c r="Y374" s="287"/>
      <c r="Z374" s="92"/>
    </row>
    <row r="375" spans="1:26" s="55" customFormat="1" ht="21" customHeight="1" x14ac:dyDescent="0.25">
      <c r="A375" s="56"/>
      <c r="B375" s="57"/>
      <c r="C375" s="288" t="s">
        <v>114</v>
      </c>
      <c r="D375" s="288"/>
      <c r="E375" s="288"/>
      <c r="F375" s="288"/>
      <c r="G375" s="58" t="str">
        <f>$J$1</f>
        <v>June</v>
      </c>
      <c r="H375" s="289">
        <f>$K$1</f>
        <v>2019</v>
      </c>
      <c r="I375" s="289"/>
      <c r="J375" s="57"/>
      <c r="K375" s="59"/>
      <c r="L375" s="60"/>
      <c r="M375" s="59"/>
      <c r="N375" s="96"/>
      <c r="O375" s="97" t="s">
        <v>69</v>
      </c>
      <c r="P375" s="97" t="s">
        <v>7</v>
      </c>
      <c r="Q375" s="97" t="s">
        <v>6</v>
      </c>
      <c r="R375" s="97" t="s">
        <v>70</v>
      </c>
      <c r="S375" s="98"/>
      <c r="T375" s="97" t="s">
        <v>69</v>
      </c>
      <c r="U375" s="97" t="s">
        <v>71</v>
      </c>
      <c r="V375" s="97" t="s">
        <v>29</v>
      </c>
      <c r="W375" s="97" t="s">
        <v>28</v>
      </c>
      <c r="X375" s="97" t="s">
        <v>30</v>
      </c>
      <c r="Y375" s="97" t="s">
        <v>75</v>
      </c>
      <c r="Z375" s="92"/>
    </row>
    <row r="376" spans="1:26" s="55" customFormat="1" ht="21" customHeight="1" x14ac:dyDescent="0.25">
      <c r="A376" s="56"/>
      <c r="B376" s="57"/>
      <c r="C376" s="57"/>
      <c r="D376" s="62"/>
      <c r="E376" s="62"/>
      <c r="F376" s="62"/>
      <c r="G376" s="62"/>
      <c r="H376" s="62"/>
      <c r="I376" s="57"/>
      <c r="J376" s="63" t="s">
        <v>1</v>
      </c>
      <c r="K376" s="64">
        <v>16000</v>
      </c>
      <c r="L376" s="65"/>
      <c r="M376" s="57"/>
      <c r="N376" s="100"/>
      <c r="O376" s="101" t="s">
        <v>61</v>
      </c>
      <c r="P376" s="101">
        <v>28</v>
      </c>
      <c r="Q376" s="101">
        <v>3</v>
      </c>
      <c r="R376" s="101">
        <v>0</v>
      </c>
      <c r="S376" s="102"/>
      <c r="T376" s="101" t="s">
        <v>61</v>
      </c>
      <c r="U376" s="103"/>
      <c r="V376" s="103">
        <f>3000+2000+1000</f>
        <v>6000</v>
      </c>
      <c r="W376" s="103">
        <f>V376+U376</f>
        <v>6000</v>
      </c>
      <c r="X376" s="103">
        <v>6000</v>
      </c>
      <c r="Y376" s="103">
        <f>W376-X376</f>
        <v>0</v>
      </c>
      <c r="Z376" s="92"/>
    </row>
    <row r="377" spans="1:26" s="55" customFormat="1" ht="21" customHeight="1" x14ac:dyDescent="0.25">
      <c r="A377" s="56"/>
      <c r="B377" s="57" t="s">
        <v>0</v>
      </c>
      <c r="C377" s="112" t="s">
        <v>126</v>
      </c>
      <c r="D377" s="57"/>
      <c r="E377" s="57"/>
      <c r="F377" s="57"/>
      <c r="G377" s="57"/>
      <c r="H377" s="68"/>
      <c r="I377" s="62"/>
      <c r="J377" s="57"/>
      <c r="K377" s="57"/>
      <c r="L377" s="69"/>
      <c r="M377" s="143"/>
      <c r="N377" s="104"/>
      <c r="O377" s="101" t="s">
        <v>87</v>
      </c>
      <c r="P377" s="101">
        <v>26</v>
      </c>
      <c r="Q377" s="101">
        <v>2</v>
      </c>
      <c r="R377" s="101">
        <v>0</v>
      </c>
      <c r="S377" s="105"/>
      <c r="T377" s="101" t="s">
        <v>87</v>
      </c>
      <c r="U377" s="177">
        <f>Y376</f>
        <v>0</v>
      </c>
      <c r="V377" s="103">
        <f>5000+1000</f>
        <v>6000</v>
      </c>
      <c r="W377" s="103">
        <f>V377+U377</f>
        <v>6000</v>
      </c>
      <c r="X377" s="103">
        <v>6000</v>
      </c>
      <c r="Y377" s="177">
        <f>IF(W377="","",W377-X377)</f>
        <v>0</v>
      </c>
      <c r="Z377" s="92"/>
    </row>
    <row r="378" spans="1:26" s="55" customFormat="1" ht="21" customHeight="1" x14ac:dyDescent="0.25">
      <c r="A378" s="56"/>
      <c r="B378" s="71" t="s">
        <v>57</v>
      </c>
      <c r="C378" s="72"/>
      <c r="D378" s="57"/>
      <c r="E378" s="57"/>
      <c r="F378" s="290" t="s">
        <v>59</v>
      </c>
      <c r="G378" s="290"/>
      <c r="H378" s="57"/>
      <c r="I378" s="290" t="s">
        <v>60</v>
      </c>
      <c r="J378" s="290"/>
      <c r="K378" s="290"/>
      <c r="L378" s="73"/>
      <c r="M378" s="57"/>
      <c r="N378" s="100"/>
      <c r="O378" s="101" t="s">
        <v>62</v>
      </c>
      <c r="P378" s="101">
        <v>22</v>
      </c>
      <c r="Q378" s="101">
        <v>9</v>
      </c>
      <c r="R378" s="101">
        <v>0</v>
      </c>
      <c r="S378" s="105"/>
      <c r="T378" s="101" t="s">
        <v>62</v>
      </c>
      <c r="U378" s="177">
        <f>IF($J$1="April",Y377,Y377)</f>
        <v>0</v>
      </c>
      <c r="V378" s="103">
        <f>5000+1000</f>
        <v>6000</v>
      </c>
      <c r="W378" s="177">
        <f t="shared" ref="W378:W387" si="64">IF(U378="","",U378+V378)</f>
        <v>6000</v>
      </c>
      <c r="X378" s="103">
        <v>6000</v>
      </c>
      <c r="Y378" s="177">
        <f t="shared" ref="Y378:Y387" si="65">IF(W378="","",W378-X378)</f>
        <v>0</v>
      </c>
      <c r="Z378" s="92"/>
    </row>
    <row r="379" spans="1:26" s="55" customFormat="1" ht="21" customHeight="1" x14ac:dyDescent="0.25">
      <c r="A379" s="56"/>
      <c r="B379" s="57"/>
      <c r="C379" s="57"/>
      <c r="D379" s="57"/>
      <c r="E379" s="57"/>
      <c r="F379" s="57"/>
      <c r="G379" s="57"/>
      <c r="H379" s="74"/>
      <c r="L379" s="61"/>
      <c r="M379" s="57"/>
      <c r="N379" s="100"/>
      <c r="O379" s="101" t="s">
        <v>63</v>
      </c>
      <c r="P379" s="101">
        <v>28</v>
      </c>
      <c r="Q379" s="101">
        <v>2</v>
      </c>
      <c r="R379" s="101">
        <v>0</v>
      </c>
      <c r="S379" s="105"/>
      <c r="T379" s="101" t="s">
        <v>63</v>
      </c>
      <c r="U379" s="177">
        <f>IF($J$1="April",Y378,Y378)</f>
        <v>0</v>
      </c>
      <c r="V379" s="103">
        <f>1000+5000+2000</f>
        <v>8000</v>
      </c>
      <c r="W379" s="177">
        <f t="shared" si="64"/>
        <v>8000</v>
      </c>
      <c r="X379" s="103">
        <v>8000</v>
      </c>
      <c r="Y379" s="177">
        <f t="shared" si="65"/>
        <v>0</v>
      </c>
      <c r="Z379" s="92"/>
    </row>
    <row r="380" spans="1:26" s="55" customFormat="1" ht="21" customHeight="1" x14ac:dyDescent="0.25">
      <c r="A380" s="56"/>
      <c r="B380" s="291" t="s">
        <v>58</v>
      </c>
      <c r="C380" s="292"/>
      <c r="D380" s="57"/>
      <c r="E380" s="57"/>
      <c r="F380" s="75" t="s">
        <v>80</v>
      </c>
      <c r="G380" s="70">
        <f>IF($J$1="January",U376,IF($J$1="February",U377,IF($J$1="March",U378,IF($J$1="April",U379,IF($J$1="May",U380,IF($J$1="June",U381,IF($J$1="July",U382,IF($J$1="August",U383,IF($J$1="August",U383,IF($J$1="September",U384,IF($J$1="October",U385,IF($J$1="November",U386,IF($J$1="December",U387)))))))))))))</f>
        <v>0</v>
      </c>
      <c r="H380" s="74"/>
      <c r="I380" s="76">
        <f>IF(C384&gt;0,$K$2,C382)</f>
        <v>26</v>
      </c>
      <c r="J380" s="77" t="s">
        <v>77</v>
      </c>
      <c r="K380" s="78">
        <f>K376/$K$2*I380</f>
        <v>13866.666666666668</v>
      </c>
      <c r="L380" s="79"/>
      <c r="M380" s="57"/>
      <c r="N380" s="100"/>
      <c r="O380" s="101" t="s">
        <v>64</v>
      </c>
      <c r="P380" s="101">
        <v>27</v>
      </c>
      <c r="Q380" s="101">
        <v>4</v>
      </c>
      <c r="R380" s="101">
        <v>0</v>
      </c>
      <c r="S380" s="105"/>
      <c r="T380" s="101" t="s">
        <v>64</v>
      </c>
      <c r="U380" s="177"/>
      <c r="V380" s="103">
        <f>5000+5000</f>
        <v>10000</v>
      </c>
      <c r="W380" s="177">
        <f>V380+U380</f>
        <v>10000</v>
      </c>
      <c r="X380" s="103">
        <v>10000</v>
      </c>
      <c r="Y380" s="177">
        <f t="shared" si="65"/>
        <v>0</v>
      </c>
      <c r="Z380" s="92"/>
    </row>
    <row r="381" spans="1:26" s="55" customFormat="1" ht="21" customHeight="1" x14ac:dyDescent="0.25">
      <c r="A381" s="56"/>
      <c r="B381" s="66"/>
      <c r="C381" s="66"/>
      <c r="D381" s="57"/>
      <c r="E381" s="57"/>
      <c r="F381" s="75" t="s">
        <v>29</v>
      </c>
      <c r="G381" s="70">
        <f>IF($J$1="January",V376,IF($J$1="February",V377,IF($J$1="March",V378,IF($J$1="April",V379,IF($J$1="May",V380,IF($J$1="June",V381,IF($J$1="July",V382,IF($J$1="August",V383,IF($J$1="August",V383,IF($J$1="September",V384,IF($J$1="October",V385,IF($J$1="November",V386,IF($J$1="December",V387)))))))))))))</f>
        <v>10065</v>
      </c>
      <c r="H381" s="74"/>
      <c r="I381" s="120">
        <v>9</v>
      </c>
      <c r="J381" s="77" t="s">
        <v>78</v>
      </c>
      <c r="K381" s="80">
        <f>K376/$K$2/8*I381</f>
        <v>600</v>
      </c>
      <c r="L381" s="81"/>
      <c r="M381" s="57"/>
      <c r="N381" s="100"/>
      <c r="O381" s="101" t="s">
        <v>65</v>
      </c>
      <c r="P381" s="101">
        <v>26</v>
      </c>
      <c r="Q381" s="101">
        <v>4</v>
      </c>
      <c r="R381" s="101">
        <v>0</v>
      </c>
      <c r="S381" s="105"/>
      <c r="T381" s="101" t="s">
        <v>65</v>
      </c>
      <c r="U381" s="177">
        <f>Y380</f>
        <v>0</v>
      </c>
      <c r="V381" s="103">
        <f>65+2000+3000+5000</f>
        <v>10065</v>
      </c>
      <c r="W381" s="177">
        <f t="shared" si="64"/>
        <v>10065</v>
      </c>
      <c r="X381" s="103">
        <v>1865</v>
      </c>
      <c r="Y381" s="177">
        <f t="shared" si="65"/>
        <v>8200</v>
      </c>
      <c r="Z381" s="92"/>
    </row>
    <row r="382" spans="1:26" s="55" customFormat="1" ht="21" customHeight="1" x14ac:dyDescent="0.25">
      <c r="A382" s="56"/>
      <c r="B382" s="75" t="s">
        <v>7</v>
      </c>
      <c r="C382" s="66">
        <f>IF($J$1="January",P376,IF($J$1="February",P377,IF($J$1="March",P378,IF($J$1="April",P379,IF($J$1="May",P380,IF($J$1="June",P381,IF($J$1="July",P382,IF($J$1="August",P383,IF($J$1="August",P383,IF($J$1="September",P384,IF($J$1="October",P385,IF($J$1="November",P386,IF($J$1="December",P387)))))))))))))</f>
        <v>26</v>
      </c>
      <c r="D382" s="57"/>
      <c r="E382" s="57"/>
      <c r="F382" s="75" t="s">
        <v>81</v>
      </c>
      <c r="G382" s="70">
        <f>IF($J$1="January",W376,IF($J$1="February",W377,IF($J$1="March",W378,IF($J$1="April",W379,IF($J$1="May",W380,IF($J$1="June",W381,IF($J$1="July",W382,IF($J$1="August",W383,IF($J$1="August",W383,IF($J$1="September",W384,IF($J$1="October",W385,IF($J$1="November",W386,IF($J$1="December",W387)))))))))))))</f>
        <v>10065</v>
      </c>
      <c r="H382" s="74"/>
      <c r="I382" s="293" t="s">
        <v>85</v>
      </c>
      <c r="J382" s="294"/>
      <c r="K382" s="80">
        <f>K380+K381</f>
        <v>14466.666666666668</v>
      </c>
      <c r="L382" s="81"/>
      <c r="M382" s="57"/>
      <c r="N382" s="100"/>
      <c r="O382" s="101" t="s">
        <v>66</v>
      </c>
      <c r="P382" s="101"/>
      <c r="Q382" s="101"/>
      <c r="R382" s="101">
        <v>0</v>
      </c>
      <c r="S382" s="105"/>
      <c r="T382" s="101" t="s">
        <v>66</v>
      </c>
      <c r="U382" s="177"/>
      <c r="V382" s="103"/>
      <c r="W382" s="177" t="str">
        <f t="shared" si="64"/>
        <v/>
      </c>
      <c r="X382" s="103"/>
      <c r="Y382" s="177" t="str">
        <f t="shared" si="65"/>
        <v/>
      </c>
      <c r="Z382" s="92"/>
    </row>
    <row r="383" spans="1:26" s="55" customFormat="1" ht="21" customHeight="1" x14ac:dyDescent="0.25">
      <c r="A383" s="56"/>
      <c r="B383" s="75" t="s">
        <v>6</v>
      </c>
      <c r="C383" s="66">
        <f>IF($J$1="January",Q376,IF($J$1="February",Q377,IF($J$1="March",Q378,IF($J$1="April",Q379,IF($J$1="May",Q380,IF($J$1="June",Q381,IF($J$1="July",Q382,IF($J$1="August",Q383,IF($J$1="August",Q383,IF($J$1="September",Q384,IF($J$1="October",Q385,IF($J$1="November",Q386,IF($J$1="December",Q387)))))))))))))</f>
        <v>4</v>
      </c>
      <c r="D383" s="57"/>
      <c r="E383" s="57"/>
      <c r="F383" s="75" t="s">
        <v>30</v>
      </c>
      <c r="G383" s="70">
        <f>IF($J$1="January",X376,IF($J$1="February",X377,IF($J$1="March",X378,IF($J$1="April",X379,IF($J$1="May",X380,IF($J$1="June",X381,IF($J$1="July",X382,IF($J$1="August",X383,IF($J$1="August",X383,IF($J$1="September",X384,IF($J$1="October",X385,IF($J$1="November",X386,IF($J$1="December",X387)))))))))))))</f>
        <v>1865</v>
      </c>
      <c r="H383" s="74"/>
      <c r="I383" s="293" t="s">
        <v>86</v>
      </c>
      <c r="J383" s="294"/>
      <c r="K383" s="70">
        <f>G383</f>
        <v>1865</v>
      </c>
      <c r="L383" s="82"/>
      <c r="M383" s="57"/>
      <c r="N383" s="100"/>
      <c r="O383" s="101" t="s">
        <v>67</v>
      </c>
      <c r="P383" s="101"/>
      <c r="Q383" s="101"/>
      <c r="R383" s="101">
        <v>0</v>
      </c>
      <c r="S383" s="105"/>
      <c r="T383" s="101" t="s">
        <v>67</v>
      </c>
      <c r="U383" s="177" t="str">
        <f>IF($J$1="May",Y382,Y382)</f>
        <v/>
      </c>
      <c r="V383" s="103"/>
      <c r="W383" s="177" t="str">
        <f t="shared" si="64"/>
        <v/>
      </c>
      <c r="X383" s="103"/>
      <c r="Y383" s="177" t="str">
        <f t="shared" si="65"/>
        <v/>
      </c>
      <c r="Z383" s="92"/>
    </row>
    <row r="384" spans="1:26" s="55" customFormat="1" ht="21" customHeight="1" x14ac:dyDescent="0.25">
      <c r="A384" s="56"/>
      <c r="B384" s="83" t="s">
        <v>84</v>
      </c>
      <c r="C384" s="66">
        <f>IF($J$1="January",R376,IF($J$1="February",R377,IF($J$1="March",R378,IF($J$1="April",R379,IF($J$1="May",R380,IF($J$1="June",R381,IF($J$1="July",R382,IF($J$1="August",R383,IF($J$1="August",R383,IF($J$1="September",R384,IF($J$1="October",R385,IF($J$1="November",R386,IF($J$1="December",R387)))))))))))))</f>
        <v>0</v>
      </c>
      <c r="D384" s="57"/>
      <c r="E384" s="57"/>
      <c r="F384" s="75" t="s">
        <v>83</v>
      </c>
      <c r="G384" s="70">
        <f>IF($J$1="January",Y376,IF($J$1="February",Y377,IF($J$1="March",Y378,IF($J$1="April",Y379,IF($J$1="May",Y380,IF($J$1="June",Y381,IF($J$1="July",Y382,IF($J$1="August",Y383,IF($J$1="August",Y383,IF($J$1="September",Y384,IF($J$1="October",Y385,IF($J$1="November",Y386,IF($J$1="December",Y387)))))))))))))</f>
        <v>8200</v>
      </c>
      <c r="H384" s="57"/>
      <c r="I384" s="295" t="s">
        <v>79</v>
      </c>
      <c r="J384" s="296"/>
      <c r="K384" s="84">
        <f>K382-K383</f>
        <v>12601.666666666668</v>
      </c>
      <c r="L384" s="85"/>
      <c r="M384" s="57"/>
      <c r="N384" s="100"/>
      <c r="O384" s="101" t="s">
        <v>72</v>
      </c>
      <c r="P384" s="101"/>
      <c r="Q384" s="101"/>
      <c r="R384" s="101">
        <v>0</v>
      </c>
      <c r="S384" s="105"/>
      <c r="T384" s="101" t="s">
        <v>72</v>
      </c>
      <c r="U384" s="177" t="str">
        <f>IF($J$1="May",Y383,Y383)</f>
        <v/>
      </c>
      <c r="V384" s="103"/>
      <c r="W384" s="177" t="str">
        <f t="shared" si="64"/>
        <v/>
      </c>
      <c r="X384" s="103"/>
      <c r="Y384" s="177" t="str">
        <f t="shared" si="65"/>
        <v/>
      </c>
      <c r="Z384" s="92"/>
    </row>
    <row r="385" spans="1:26" s="55" customFormat="1" ht="21" customHeight="1" x14ac:dyDescent="0.25">
      <c r="A385" s="56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73"/>
      <c r="M385" s="57"/>
      <c r="N385" s="100"/>
      <c r="O385" s="101" t="s">
        <v>68</v>
      </c>
      <c r="P385" s="101"/>
      <c r="Q385" s="101"/>
      <c r="R385" s="101">
        <v>0</v>
      </c>
      <c r="S385" s="105"/>
      <c r="T385" s="101" t="s">
        <v>68</v>
      </c>
      <c r="U385" s="177" t="str">
        <f t="shared" ref="U385:U387" si="66">Y384</f>
        <v/>
      </c>
      <c r="V385" s="103"/>
      <c r="W385" s="177" t="str">
        <f t="shared" si="64"/>
        <v/>
      </c>
      <c r="X385" s="103"/>
      <c r="Y385" s="177" t="str">
        <f t="shared" si="65"/>
        <v/>
      </c>
      <c r="Z385" s="92"/>
    </row>
    <row r="386" spans="1:26" s="55" customFormat="1" ht="21" customHeight="1" x14ac:dyDescent="0.25">
      <c r="A386" s="56"/>
      <c r="B386" s="284" t="s">
        <v>116</v>
      </c>
      <c r="C386" s="284"/>
      <c r="D386" s="284"/>
      <c r="E386" s="284"/>
      <c r="F386" s="284"/>
      <c r="G386" s="284"/>
      <c r="H386" s="284"/>
      <c r="I386" s="284"/>
      <c r="J386" s="284"/>
      <c r="K386" s="284"/>
      <c r="L386" s="73"/>
      <c r="M386" s="57"/>
      <c r="N386" s="100"/>
      <c r="O386" s="101" t="s">
        <v>73</v>
      </c>
      <c r="P386" s="101"/>
      <c r="Q386" s="101"/>
      <c r="R386" s="101" t="str">
        <f>IF(Q386="","",R385-Q386)</f>
        <v/>
      </c>
      <c r="S386" s="105"/>
      <c r="T386" s="101" t="s">
        <v>73</v>
      </c>
      <c r="U386" s="177" t="str">
        <f t="shared" si="66"/>
        <v/>
      </c>
      <c r="V386" s="103"/>
      <c r="W386" s="177" t="str">
        <f t="shared" si="64"/>
        <v/>
      </c>
      <c r="X386" s="103"/>
      <c r="Y386" s="177" t="str">
        <f t="shared" si="65"/>
        <v/>
      </c>
      <c r="Z386" s="92"/>
    </row>
    <row r="387" spans="1:26" s="55" customFormat="1" ht="21" customHeight="1" x14ac:dyDescent="0.25">
      <c r="A387" s="56"/>
      <c r="B387" s="284"/>
      <c r="C387" s="284"/>
      <c r="D387" s="284"/>
      <c r="E387" s="284"/>
      <c r="F387" s="284"/>
      <c r="G387" s="284"/>
      <c r="H387" s="284"/>
      <c r="I387" s="284"/>
      <c r="J387" s="284"/>
      <c r="K387" s="284"/>
      <c r="L387" s="73"/>
      <c r="M387" s="57"/>
      <c r="N387" s="100"/>
      <c r="O387" s="101" t="s">
        <v>74</v>
      </c>
      <c r="P387" s="101"/>
      <c r="Q387" s="101"/>
      <c r="R387" s="101">
        <v>0</v>
      </c>
      <c r="S387" s="105"/>
      <c r="T387" s="101" t="s">
        <v>74</v>
      </c>
      <c r="U387" s="177" t="str">
        <f t="shared" si="66"/>
        <v/>
      </c>
      <c r="V387" s="103"/>
      <c r="W387" s="177" t="str">
        <f t="shared" si="64"/>
        <v/>
      </c>
      <c r="X387" s="103"/>
      <c r="Y387" s="177" t="str">
        <f t="shared" si="65"/>
        <v/>
      </c>
      <c r="Z387" s="92"/>
    </row>
    <row r="388" spans="1:26" s="55" customFormat="1" ht="21" customHeight="1" thickBot="1" x14ac:dyDescent="0.3">
      <c r="A388" s="86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8"/>
      <c r="N388" s="107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92"/>
    </row>
    <row r="389" spans="1:26" s="57" customFormat="1" ht="21" customHeight="1" thickBot="1" x14ac:dyDescent="0.3"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  <c r="Z389" s="105"/>
    </row>
    <row r="390" spans="1:26" s="55" customFormat="1" ht="21" customHeight="1" x14ac:dyDescent="0.25">
      <c r="A390" s="297" t="s">
        <v>56</v>
      </c>
      <c r="B390" s="298"/>
      <c r="C390" s="298"/>
      <c r="D390" s="298"/>
      <c r="E390" s="298"/>
      <c r="F390" s="298"/>
      <c r="G390" s="298"/>
      <c r="H390" s="298"/>
      <c r="I390" s="298"/>
      <c r="J390" s="298"/>
      <c r="K390" s="298"/>
      <c r="L390" s="299"/>
      <c r="M390" s="143"/>
      <c r="N390" s="93"/>
      <c r="O390" s="285" t="s">
        <v>58</v>
      </c>
      <c r="P390" s="286"/>
      <c r="Q390" s="286"/>
      <c r="R390" s="287"/>
      <c r="S390" s="94"/>
      <c r="T390" s="285" t="s">
        <v>59</v>
      </c>
      <c r="U390" s="286"/>
      <c r="V390" s="286"/>
      <c r="W390" s="286"/>
      <c r="X390" s="286"/>
      <c r="Y390" s="287"/>
      <c r="Z390" s="92"/>
    </row>
    <row r="391" spans="1:26" s="55" customFormat="1" ht="21" customHeight="1" x14ac:dyDescent="0.25">
      <c r="A391" s="56"/>
      <c r="B391" s="57"/>
      <c r="C391" s="288" t="s">
        <v>114</v>
      </c>
      <c r="D391" s="288"/>
      <c r="E391" s="288"/>
      <c r="F391" s="288"/>
      <c r="G391" s="58" t="str">
        <f>$J$1</f>
        <v>June</v>
      </c>
      <c r="H391" s="289">
        <f>$K$1</f>
        <v>2019</v>
      </c>
      <c r="I391" s="289"/>
      <c r="J391" s="57"/>
      <c r="K391" s="59"/>
      <c r="L391" s="60"/>
      <c r="M391" s="59"/>
      <c r="N391" s="96"/>
      <c r="O391" s="97" t="s">
        <v>69</v>
      </c>
      <c r="P391" s="97" t="s">
        <v>7</v>
      </c>
      <c r="Q391" s="97" t="s">
        <v>6</v>
      </c>
      <c r="R391" s="97" t="s">
        <v>70</v>
      </c>
      <c r="S391" s="98"/>
      <c r="T391" s="97" t="s">
        <v>69</v>
      </c>
      <c r="U391" s="97" t="s">
        <v>71</v>
      </c>
      <c r="V391" s="97" t="s">
        <v>29</v>
      </c>
      <c r="W391" s="97" t="s">
        <v>28</v>
      </c>
      <c r="X391" s="97" t="s">
        <v>30</v>
      </c>
      <c r="Y391" s="97" t="s">
        <v>75</v>
      </c>
      <c r="Z391" s="92"/>
    </row>
    <row r="392" spans="1:26" s="55" customFormat="1" ht="21" customHeight="1" x14ac:dyDescent="0.25">
      <c r="A392" s="56"/>
      <c r="B392" s="57"/>
      <c r="C392" s="57"/>
      <c r="D392" s="62"/>
      <c r="E392" s="62"/>
      <c r="F392" s="62"/>
      <c r="G392" s="62"/>
      <c r="H392" s="62"/>
      <c r="I392" s="57"/>
      <c r="J392" s="63" t="s">
        <v>1</v>
      </c>
      <c r="K392" s="64">
        <v>15500</v>
      </c>
      <c r="L392" s="65"/>
      <c r="M392" s="57"/>
      <c r="N392" s="100"/>
      <c r="O392" s="101" t="s">
        <v>61</v>
      </c>
      <c r="P392" s="101">
        <v>31</v>
      </c>
      <c r="Q392" s="101">
        <v>0</v>
      </c>
      <c r="R392" s="101">
        <v>15</v>
      </c>
      <c r="S392" s="102"/>
      <c r="T392" s="101" t="s">
        <v>61</v>
      </c>
      <c r="U392" s="103"/>
      <c r="V392" s="103">
        <v>2000</v>
      </c>
      <c r="W392" s="103">
        <f>V392+U392</f>
        <v>2000</v>
      </c>
      <c r="X392" s="103">
        <v>2000</v>
      </c>
      <c r="Y392" s="103">
        <f>W392-X392</f>
        <v>0</v>
      </c>
      <c r="Z392" s="92"/>
    </row>
    <row r="393" spans="1:26" s="55" customFormat="1" ht="21" customHeight="1" x14ac:dyDescent="0.25">
      <c r="A393" s="56"/>
      <c r="B393" s="57" t="s">
        <v>0</v>
      </c>
      <c r="C393" s="112" t="s">
        <v>136</v>
      </c>
      <c r="D393" s="57"/>
      <c r="E393" s="57"/>
      <c r="F393" s="57"/>
      <c r="G393" s="57"/>
      <c r="H393" s="68"/>
      <c r="I393" s="62"/>
      <c r="J393" s="57"/>
      <c r="K393" s="57"/>
      <c r="L393" s="69"/>
      <c r="M393" s="143"/>
      <c r="N393" s="104"/>
      <c r="O393" s="101" t="s">
        <v>87</v>
      </c>
      <c r="P393" s="101"/>
      <c r="Q393" s="101"/>
      <c r="R393" s="101">
        <f>R392-Q393</f>
        <v>15</v>
      </c>
      <c r="S393" s="105"/>
      <c r="T393" s="101" t="s">
        <v>87</v>
      </c>
      <c r="U393" s="177">
        <f>Y392</f>
        <v>0</v>
      </c>
      <c r="V393" s="103"/>
      <c r="W393" s="177">
        <f>IF(U393="","",U393+V393)</f>
        <v>0</v>
      </c>
      <c r="X393" s="103"/>
      <c r="Y393" s="177">
        <f>IF(W393="","",W393-X393)</f>
        <v>0</v>
      </c>
      <c r="Z393" s="92"/>
    </row>
    <row r="394" spans="1:26" s="55" customFormat="1" ht="21" customHeight="1" x14ac:dyDescent="0.25">
      <c r="A394" s="56"/>
      <c r="B394" s="71" t="s">
        <v>57</v>
      </c>
      <c r="C394" s="72"/>
      <c r="D394" s="57"/>
      <c r="E394" s="57"/>
      <c r="F394" s="290" t="s">
        <v>59</v>
      </c>
      <c r="G394" s="290"/>
      <c r="H394" s="57"/>
      <c r="I394" s="290" t="s">
        <v>60</v>
      </c>
      <c r="J394" s="290"/>
      <c r="K394" s="290"/>
      <c r="L394" s="73"/>
      <c r="M394" s="57"/>
      <c r="N394" s="100"/>
      <c r="O394" s="101" t="s">
        <v>62</v>
      </c>
      <c r="P394" s="101"/>
      <c r="Q394" s="101">
        <v>1</v>
      </c>
      <c r="R394" s="101">
        <f t="shared" ref="R394:R397" si="67">IF(Q394="","",R393-Q394)</f>
        <v>14</v>
      </c>
      <c r="S394" s="105"/>
      <c r="T394" s="101" t="s">
        <v>62</v>
      </c>
      <c r="U394" s="177">
        <f>IF($J$1="April",Y393,Y393)</f>
        <v>0</v>
      </c>
      <c r="V394" s="103"/>
      <c r="W394" s="177">
        <f t="shared" ref="W394:W403" si="68">IF(U394="","",U394+V394)</f>
        <v>0</v>
      </c>
      <c r="X394" s="103"/>
      <c r="Y394" s="177">
        <f t="shared" ref="Y394:Y403" si="69">IF(W394="","",W394-X394)</f>
        <v>0</v>
      </c>
      <c r="Z394" s="92"/>
    </row>
    <row r="395" spans="1:26" s="55" customFormat="1" ht="21" customHeight="1" x14ac:dyDescent="0.25">
      <c r="A395" s="56"/>
      <c r="B395" s="57"/>
      <c r="C395" s="57"/>
      <c r="D395" s="57"/>
      <c r="E395" s="57"/>
      <c r="F395" s="57"/>
      <c r="G395" s="57"/>
      <c r="H395" s="74"/>
      <c r="L395" s="61"/>
      <c r="M395" s="57"/>
      <c r="N395" s="100"/>
      <c r="O395" s="101" t="s">
        <v>63</v>
      </c>
      <c r="P395" s="101">
        <v>30</v>
      </c>
      <c r="Q395" s="101">
        <v>0</v>
      </c>
      <c r="R395" s="101">
        <f t="shared" si="67"/>
        <v>14</v>
      </c>
      <c r="S395" s="105"/>
      <c r="T395" s="101" t="s">
        <v>63</v>
      </c>
      <c r="U395" s="177">
        <f>IF($J$1="April",Y394,Y394)</f>
        <v>0</v>
      </c>
      <c r="V395" s="103"/>
      <c r="W395" s="177">
        <f t="shared" si="68"/>
        <v>0</v>
      </c>
      <c r="X395" s="103"/>
      <c r="Y395" s="177">
        <f t="shared" si="69"/>
        <v>0</v>
      </c>
      <c r="Z395" s="92"/>
    </row>
    <row r="396" spans="1:26" s="55" customFormat="1" ht="21" customHeight="1" x14ac:dyDescent="0.25">
      <c r="A396" s="56"/>
      <c r="B396" s="291" t="s">
        <v>58</v>
      </c>
      <c r="C396" s="292"/>
      <c r="D396" s="57"/>
      <c r="E396" s="57"/>
      <c r="F396" s="75" t="s">
        <v>80</v>
      </c>
      <c r="G396" s="70">
        <f>IF($J$1="January",U392,IF($J$1="February",U393,IF($J$1="March",U394,IF($J$1="April",U395,IF($J$1="May",U396,IF($J$1="June",U397,IF($J$1="July",U398,IF($J$1="August",U399,IF($J$1="August",U399,IF($J$1="September",U400,IF($J$1="October",U401,IF($J$1="November",U402,IF($J$1="December",U403)))))))))))))</f>
        <v>0</v>
      </c>
      <c r="H396" s="74"/>
      <c r="I396" s="76">
        <f>IF(C400&gt;0,$K$2,C398)</f>
        <v>30</v>
      </c>
      <c r="J396" s="77" t="s">
        <v>77</v>
      </c>
      <c r="K396" s="78">
        <f>K392/$K$2*I396</f>
        <v>15499.999999999998</v>
      </c>
      <c r="L396" s="79"/>
      <c r="M396" s="57"/>
      <c r="N396" s="100"/>
      <c r="O396" s="101" t="s">
        <v>64</v>
      </c>
      <c r="P396" s="101">
        <v>29</v>
      </c>
      <c r="Q396" s="101">
        <v>2</v>
      </c>
      <c r="R396" s="101">
        <f t="shared" si="67"/>
        <v>12</v>
      </c>
      <c r="S396" s="105"/>
      <c r="T396" s="101" t="s">
        <v>64</v>
      </c>
      <c r="U396" s="177">
        <f>IF($J$1="May",Y395,Y395)</f>
        <v>0</v>
      </c>
      <c r="V396" s="103">
        <v>3000</v>
      </c>
      <c r="W396" s="177">
        <f t="shared" si="68"/>
        <v>3000</v>
      </c>
      <c r="X396" s="103">
        <v>3000</v>
      </c>
      <c r="Y396" s="177">
        <f t="shared" si="69"/>
        <v>0</v>
      </c>
      <c r="Z396" s="92"/>
    </row>
    <row r="397" spans="1:26" s="55" customFormat="1" ht="21" customHeight="1" x14ac:dyDescent="0.25">
      <c r="A397" s="56"/>
      <c r="B397" s="66"/>
      <c r="C397" s="66"/>
      <c r="D397" s="57"/>
      <c r="E397" s="57"/>
      <c r="F397" s="75" t="s">
        <v>29</v>
      </c>
      <c r="G397" s="70">
        <f>IF($J$1="January",V392,IF($J$1="February",V393,IF($J$1="March",V394,IF($J$1="April",V395,IF($J$1="May",V396,IF($J$1="June",V397,IF($J$1="July",V398,IF($J$1="August",V399,IF($J$1="August",V399,IF($J$1="September",V400,IF($J$1="October",V401,IF($J$1="November",V402,IF($J$1="December",V403)))))))))))))</f>
        <v>2000</v>
      </c>
      <c r="H397" s="74"/>
      <c r="I397" s="120"/>
      <c r="J397" s="77" t="s">
        <v>78</v>
      </c>
      <c r="K397" s="80">
        <f>K392/$K$2/8*I397</f>
        <v>0</v>
      </c>
      <c r="L397" s="81"/>
      <c r="M397" s="57"/>
      <c r="N397" s="100"/>
      <c r="O397" s="101" t="s">
        <v>65</v>
      </c>
      <c r="P397" s="101">
        <v>29</v>
      </c>
      <c r="Q397" s="101">
        <v>1</v>
      </c>
      <c r="R397" s="101">
        <f t="shared" si="67"/>
        <v>11</v>
      </c>
      <c r="S397" s="105"/>
      <c r="T397" s="101" t="s">
        <v>65</v>
      </c>
      <c r="U397" s="177">
        <f>Y396</f>
        <v>0</v>
      </c>
      <c r="V397" s="103">
        <v>2000</v>
      </c>
      <c r="W397" s="177">
        <f t="shared" si="68"/>
        <v>2000</v>
      </c>
      <c r="X397" s="103">
        <v>2000</v>
      </c>
      <c r="Y397" s="177">
        <f t="shared" si="69"/>
        <v>0</v>
      </c>
      <c r="Z397" s="92"/>
    </row>
    <row r="398" spans="1:26" s="55" customFormat="1" ht="21" customHeight="1" x14ac:dyDescent="0.25">
      <c r="A398" s="56"/>
      <c r="B398" s="75" t="s">
        <v>7</v>
      </c>
      <c r="C398" s="66">
        <f>IF($J$1="January",P392,IF($J$1="February",P393,IF($J$1="March",P394,IF($J$1="April",P395,IF($J$1="May",P396,IF($J$1="June",P397,IF($J$1="July",P398,IF($J$1="August",P399,IF($J$1="August",P399,IF($J$1="September",P400,IF($J$1="October",P401,IF($J$1="November",P402,IF($J$1="December",P403)))))))))))))</f>
        <v>29</v>
      </c>
      <c r="D398" s="57"/>
      <c r="E398" s="57"/>
      <c r="F398" s="75" t="s">
        <v>81</v>
      </c>
      <c r="G398" s="70">
        <f>IF($J$1="January",W392,IF($J$1="February",W393,IF($J$1="March",W394,IF($J$1="April",W395,IF($J$1="May",W396,IF($J$1="June",W397,IF($J$1="July",W398,IF($J$1="August",W399,IF($J$1="August",W399,IF($J$1="September",W400,IF($J$1="October",W401,IF($J$1="November",W402,IF($J$1="December",W403)))))))))))))</f>
        <v>2000</v>
      </c>
      <c r="H398" s="74"/>
      <c r="I398" s="293" t="s">
        <v>85</v>
      </c>
      <c r="J398" s="294"/>
      <c r="K398" s="80">
        <f>K396+K397</f>
        <v>15499.999999999998</v>
      </c>
      <c r="L398" s="81"/>
      <c r="M398" s="57"/>
      <c r="N398" s="100"/>
      <c r="O398" s="101" t="s">
        <v>66</v>
      </c>
      <c r="P398" s="101"/>
      <c r="Q398" s="101"/>
      <c r="R398" s="101">
        <v>0</v>
      </c>
      <c r="S398" s="105"/>
      <c r="T398" s="101" t="s">
        <v>66</v>
      </c>
      <c r="U398" s="177"/>
      <c r="V398" s="103"/>
      <c r="W398" s="177" t="str">
        <f t="shared" si="68"/>
        <v/>
      </c>
      <c r="X398" s="103"/>
      <c r="Y398" s="177" t="str">
        <f t="shared" si="69"/>
        <v/>
      </c>
      <c r="Z398" s="92"/>
    </row>
    <row r="399" spans="1:26" s="55" customFormat="1" ht="21" customHeight="1" x14ac:dyDescent="0.25">
      <c r="A399" s="56"/>
      <c r="B399" s="75" t="s">
        <v>6</v>
      </c>
      <c r="C399" s="66">
        <f>IF($J$1="January",Q392,IF($J$1="February",Q393,IF($J$1="March",Q394,IF($J$1="April",Q395,IF($J$1="May",Q396,IF($J$1="June",Q397,IF($J$1="July",Q398,IF($J$1="August",Q399,IF($J$1="August",Q399,IF($J$1="September",Q400,IF($J$1="October",Q401,IF($J$1="November",Q402,IF($J$1="December",Q403)))))))))))))</f>
        <v>1</v>
      </c>
      <c r="D399" s="57"/>
      <c r="E399" s="57"/>
      <c r="F399" s="75" t="s">
        <v>30</v>
      </c>
      <c r="G399" s="70">
        <f>IF($J$1="January",X392,IF($J$1="February",X393,IF($J$1="March",X394,IF($J$1="April",X395,IF($J$1="May",X396,IF($J$1="June",X397,IF($J$1="July",X398,IF($J$1="August",X399,IF($J$1="August",X399,IF($J$1="September",X400,IF($J$1="October",X401,IF($J$1="November",X402,IF($J$1="December",X403)))))))))))))</f>
        <v>2000</v>
      </c>
      <c r="H399" s="74"/>
      <c r="I399" s="293" t="s">
        <v>86</v>
      </c>
      <c r="J399" s="294"/>
      <c r="K399" s="70">
        <f>G399</f>
        <v>2000</v>
      </c>
      <c r="L399" s="82"/>
      <c r="M399" s="57"/>
      <c r="N399" s="100"/>
      <c r="O399" s="101" t="s">
        <v>67</v>
      </c>
      <c r="P399" s="101"/>
      <c r="Q399" s="101"/>
      <c r="R399" s="101">
        <v>0</v>
      </c>
      <c r="S399" s="105"/>
      <c r="T399" s="101" t="s">
        <v>67</v>
      </c>
      <c r="U399" s="177"/>
      <c r="V399" s="103"/>
      <c r="W399" s="177" t="str">
        <f t="shared" si="68"/>
        <v/>
      </c>
      <c r="X399" s="103"/>
      <c r="Y399" s="177" t="str">
        <f t="shared" si="69"/>
        <v/>
      </c>
      <c r="Z399" s="92"/>
    </row>
    <row r="400" spans="1:26" s="55" customFormat="1" ht="21" customHeight="1" x14ac:dyDescent="0.25">
      <c r="A400" s="56"/>
      <c r="B400" s="83" t="s">
        <v>84</v>
      </c>
      <c r="C400" s="66">
        <f>IF($J$1="January",R392,IF($J$1="February",R393,IF($J$1="March",R394,IF($J$1="April",R395,IF($J$1="May",R396,IF($J$1="June",R397,IF($J$1="July",R398,IF($J$1="August",R399,IF($J$1="August",R399,IF($J$1="September",R400,IF($J$1="October",R401,IF($J$1="November",R402,IF($J$1="December",R403)))))))))))))</f>
        <v>11</v>
      </c>
      <c r="D400" s="57"/>
      <c r="E400" s="57"/>
      <c r="F400" s="75" t="s">
        <v>83</v>
      </c>
      <c r="G400" s="70">
        <f>IF($J$1="January",Y392,IF($J$1="February",Y393,IF($J$1="March",Y394,IF($J$1="April",Y395,IF($J$1="May",Y396,IF($J$1="June",Y397,IF($J$1="July",Y398,IF($J$1="August",Y399,IF($J$1="August",Y399,IF($J$1="September",Y400,IF($J$1="October",Y401,IF($J$1="November",Y402,IF($J$1="December",Y403)))))))))))))</f>
        <v>0</v>
      </c>
      <c r="H400" s="57"/>
      <c r="I400" s="295" t="s">
        <v>79</v>
      </c>
      <c r="J400" s="296"/>
      <c r="K400" s="84">
        <f>K398-K399</f>
        <v>13499.999999999998</v>
      </c>
      <c r="L400" s="85"/>
      <c r="M400" s="57"/>
      <c r="N400" s="100"/>
      <c r="O400" s="101" t="s">
        <v>72</v>
      </c>
      <c r="P400" s="101"/>
      <c r="Q400" s="101"/>
      <c r="R400" s="101">
        <v>0</v>
      </c>
      <c r="S400" s="105"/>
      <c r="T400" s="101" t="s">
        <v>72</v>
      </c>
      <c r="U400" s="177"/>
      <c r="V400" s="103"/>
      <c r="W400" s="177" t="str">
        <f t="shared" si="68"/>
        <v/>
      </c>
      <c r="X400" s="103"/>
      <c r="Y400" s="177" t="str">
        <f t="shared" si="69"/>
        <v/>
      </c>
      <c r="Z400" s="92"/>
    </row>
    <row r="401" spans="1:26" s="55" customFormat="1" ht="21" customHeight="1" x14ac:dyDescent="0.25">
      <c r="A401" s="56"/>
      <c r="B401" s="57"/>
      <c r="C401" s="57"/>
      <c r="D401" s="57"/>
      <c r="E401" s="57"/>
      <c r="F401" s="57"/>
      <c r="G401" s="57"/>
      <c r="H401" s="57"/>
      <c r="I401" s="57"/>
      <c r="J401" s="194"/>
      <c r="K401" s="194"/>
      <c r="L401" s="73"/>
      <c r="M401" s="57"/>
      <c r="N401" s="100"/>
      <c r="O401" s="101" t="s">
        <v>68</v>
      </c>
      <c r="P401" s="101"/>
      <c r="Q401" s="101"/>
      <c r="R401" s="101">
        <v>0</v>
      </c>
      <c r="S401" s="105"/>
      <c r="T401" s="101" t="s">
        <v>68</v>
      </c>
      <c r="U401" s="177"/>
      <c r="V401" s="103"/>
      <c r="W401" s="177" t="str">
        <f t="shared" si="68"/>
        <v/>
      </c>
      <c r="X401" s="103"/>
      <c r="Y401" s="177" t="str">
        <f t="shared" si="69"/>
        <v/>
      </c>
      <c r="Z401" s="92"/>
    </row>
    <row r="402" spans="1:26" s="55" customFormat="1" ht="21" customHeight="1" x14ac:dyDescent="0.25">
      <c r="A402" s="56"/>
      <c r="B402" s="284" t="s">
        <v>116</v>
      </c>
      <c r="C402" s="284"/>
      <c r="D402" s="284"/>
      <c r="E402" s="284"/>
      <c r="F402" s="284"/>
      <c r="G402" s="284"/>
      <c r="H402" s="284"/>
      <c r="I402" s="284"/>
      <c r="J402" s="284"/>
      <c r="K402" s="284"/>
      <c r="L402" s="73"/>
      <c r="M402" s="57"/>
      <c r="N402" s="100"/>
      <c r="O402" s="101" t="s">
        <v>73</v>
      </c>
      <c r="P402" s="101"/>
      <c r="Q402" s="101"/>
      <c r="R402" s="101">
        <v>0</v>
      </c>
      <c r="S402" s="105"/>
      <c r="T402" s="101" t="s">
        <v>73</v>
      </c>
      <c r="U402" s="177"/>
      <c r="V402" s="103"/>
      <c r="W402" s="177" t="str">
        <f t="shared" si="68"/>
        <v/>
      </c>
      <c r="X402" s="103"/>
      <c r="Y402" s="177" t="str">
        <f t="shared" si="69"/>
        <v/>
      </c>
      <c r="Z402" s="92"/>
    </row>
    <row r="403" spans="1:26" s="55" customFormat="1" ht="21" customHeight="1" x14ac:dyDescent="0.25">
      <c r="A403" s="56"/>
      <c r="B403" s="284"/>
      <c r="C403" s="284"/>
      <c r="D403" s="284"/>
      <c r="E403" s="284"/>
      <c r="F403" s="284"/>
      <c r="G403" s="284"/>
      <c r="H403" s="284"/>
      <c r="I403" s="284"/>
      <c r="J403" s="284"/>
      <c r="K403" s="284"/>
      <c r="L403" s="73"/>
      <c r="M403" s="57"/>
      <c r="N403" s="100"/>
      <c r="O403" s="101" t="s">
        <v>74</v>
      </c>
      <c r="P403" s="101"/>
      <c r="Q403" s="101"/>
      <c r="R403" s="101">
        <v>0</v>
      </c>
      <c r="S403" s="105"/>
      <c r="T403" s="101" t="s">
        <v>74</v>
      </c>
      <c r="U403" s="177" t="str">
        <f>IF($J$1="Dec",Y402,"")</f>
        <v/>
      </c>
      <c r="V403" s="103"/>
      <c r="W403" s="177" t="str">
        <f t="shared" si="68"/>
        <v/>
      </c>
      <c r="X403" s="103"/>
      <c r="Y403" s="177" t="str">
        <f t="shared" si="69"/>
        <v/>
      </c>
      <c r="Z403" s="92"/>
    </row>
    <row r="404" spans="1:26" s="55" customFormat="1" ht="21" customHeight="1" thickBot="1" x14ac:dyDescent="0.3">
      <c r="A404" s="86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8"/>
      <c r="N404" s="107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92"/>
    </row>
    <row r="405" spans="1:26" s="57" customFormat="1" ht="21" customHeight="1" thickBot="1" x14ac:dyDescent="0.3"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  <c r="Z405" s="105"/>
    </row>
    <row r="406" spans="1:26" s="55" customFormat="1" ht="21" customHeight="1" x14ac:dyDescent="0.25">
      <c r="A406" s="297" t="s">
        <v>56</v>
      </c>
      <c r="B406" s="298"/>
      <c r="C406" s="298"/>
      <c r="D406" s="298"/>
      <c r="E406" s="298"/>
      <c r="F406" s="298"/>
      <c r="G406" s="298"/>
      <c r="H406" s="298"/>
      <c r="I406" s="298"/>
      <c r="J406" s="298"/>
      <c r="K406" s="298"/>
      <c r="L406" s="299"/>
      <c r="M406" s="143"/>
      <c r="N406" s="93"/>
      <c r="O406" s="285" t="s">
        <v>58</v>
      </c>
      <c r="P406" s="286"/>
      <c r="Q406" s="286"/>
      <c r="R406" s="287"/>
      <c r="S406" s="94"/>
      <c r="T406" s="285" t="s">
        <v>59</v>
      </c>
      <c r="U406" s="286"/>
      <c r="V406" s="286"/>
      <c r="W406" s="286"/>
      <c r="X406" s="286"/>
      <c r="Y406" s="287"/>
      <c r="Z406" s="92"/>
    </row>
    <row r="407" spans="1:26" s="55" customFormat="1" ht="21" customHeight="1" x14ac:dyDescent="0.25">
      <c r="A407" s="56"/>
      <c r="B407" s="57"/>
      <c r="C407" s="288" t="s">
        <v>114</v>
      </c>
      <c r="D407" s="288"/>
      <c r="E407" s="288"/>
      <c r="F407" s="288"/>
      <c r="G407" s="58" t="str">
        <f>$J$1</f>
        <v>June</v>
      </c>
      <c r="H407" s="289">
        <f>$K$1</f>
        <v>2019</v>
      </c>
      <c r="I407" s="289"/>
      <c r="J407" s="57"/>
      <c r="K407" s="59"/>
      <c r="L407" s="60"/>
      <c r="M407" s="59"/>
      <c r="N407" s="96"/>
      <c r="O407" s="97" t="s">
        <v>69</v>
      </c>
      <c r="P407" s="97" t="s">
        <v>7</v>
      </c>
      <c r="Q407" s="97" t="s">
        <v>6</v>
      </c>
      <c r="R407" s="97" t="s">
        <v>70</v>
      </c>
      <c r="S407" s="98"/>
      <c r="T407" s="97" t="s">
        <v>69</v>
      </c>
      <c r="U407" s="97" t="s">
        <v>71</v>
      </c>
      <c r="V407" s="97" t="s">
        <v>29</v>
      </c>
      <c r="W407" s="97" t="s">
        <v>28</v>
      </c>
      <c r="X407" s="97" t="s">
        <v>30</v>
      </c>
      <c r="Y407" s="97" t="s">
        <v>75</v>
      </c>
      <c r="Z407" s="92"/>
    </row>
    <row r="408" spans="1:26" s="55" customFormat="1" ht="21" customHeight="1" x14ac:dyDescent="0.25">
      <c r="A408" s="56"/>
      <c r="B408" s="57"/>
      <c r="C408" s="57"/>
      <c r="D408" s="62"/>
      <c r="E408" s="62"/>
      <c r="F408" s="62"/>
      <c r="G408" s="62"/>
      <c r="H408" s="62"/>
      <c r="I408" s="57"/>
      <c r="J408" s="63" t="s">
        <v>1</v>
      </c>
      <c r="K408" s="64">
        <v>16000</v>
      </c>
      <c r="L408" s="65"/>
      <c r="M408" s="57"/>
      <c r="N408" s="100"/>
      <c r="O408" s="101" t="s">
        <v>61</v>
      </c>
      <c r="P408" s="101">
        <v>28</v>
      </c>
      <c r="Q408" s="101">
        <v>3</v>
      </c>
      <c r="R408" s="101">
        <v>0</v>
      </c>
      <c r="S408" s="102"/>
      <c r="T408" s="101" t="s">
        <v>61</v>
      </c>
      <c r="U408" s="103"/>
      <c r="V408" s="103"/>
      <c r="W408" s="103">
        <f>V408+U408</f>
        <v>0</v>
      </c>
      <c r="X408" s="103"/>
      <c r="Y408" s="103">
        <f>W408-X408</f>
        <v>0</v>
      </c>
      <c r="Z408" s="92"/>
    </row>
    <row r="409" spans="1:26" s="55" customFormat="1" ht="21" customHeight="1" x14ac:dyDescent="0.25">
      <c r="A409" s="56"/>
      <c r="B409" s="57" t="s">
        <v>0</v>
      </c>
      <c r="C409" s="112" t="s">
        <v>168</v>
      </c>
      <c r="D409" s="57"/>
      <c r="E409" s="57"/>
      <c r="F409" s="57"/>
      <c r="G409" s="57"/>
      <c r="H409" s="68"/>
      <c r="I409" s="62"/>
      <c r="J409" s="57"/>
      <c r="K409" s="57"/>
      <c r="L409" s="69"/>
      <c r="M409" s="143"/>
      <c r="N409" s="104"/>
      <c r="O409" s="101" t="s">
        <v>87</v>
      </c>
      <c r="P409" s="101">
        <v>26</v>
      </c>
      <c r="Q409" s="101">
        <v>2</v>
      </c>
      <c r="R409" s="101">
        <v>0</v>
      </c>
      <c r="S409" s="105"/>
      <c r="T409" s="101" t="s">
        <v>87</v>
      </c>
      <c r="U409" s="177">
        <f>Y408</f>
        <v>0</v>
      </c>
      <c r="V409" s="103">
        <v>2000</v>
      </c>
      <c r="W409" s="177">
        <f>IF(U409="","",U409+V409)</f>
        <v>2000</v>
      </c>
      <c r="X409" s="103">
        <v>2000</v>
      </c>
      <c r="Y409" s="177">
        <f>IF(W409="","",W409-X409)</f>
        <v>0</v>
      </c>
      <c r="Z409" s="92"/>
    </row>
    <row r="410" spans="1:26" s="55" customFormat="1" ht="21" customHeight="1" x14ac:dyDescent="0.25">
      <c r="A410" s="56"/>
      <c r="B410" s="71" t="s">
        <v>57</v>
      </c>
      <c r="C410" s="72"/>
      <c r="D410" s="57"/>
      <c r="E410" s="57"/>
      <c r="F410" s="290" t="s">
        <v>59</v>
      </c>
      <c r="G410" s="290"/>
      <c r="H410" s="57"/>
      <c r="I410" s="290" t="s">
        <v>60</v>
      </c>
      <c r="J410" s="290"/>
      <c r="K410" s="290"/>
      <c r="L410" s="73"/>
      <c r="M410" s="57"/>
      <c r="N410" s="100"/>
      <c r="O410" s="101" t="s">
        <v>62</v>
      </c>
      <c r="P410" s="101">
        <v>29</v>
      </c>
      <c r="Q410" s="101">
        <v>2</v>
      </c>
      <c r="R410" s="101">
        <v>0</v>
      </c>
      <c r="S410" s="105"/>
      <c r="T410" s="101" t="s">
        <v>62</v>
      </c>
      <c r="U410" s="177"/>
      <c r="V410" s="103"/>
      <c r="W410" s="177" t="str">
        <f t="shared" ref="W410:W419" si="70">IF(U410="","",U410+V410)</f>
        <v/>
      </c>
      <c r="X410" s="103"/>
      <c r="Y410" s="177" t="str">
        <f t="shared" ref="Y410:Y419" si="71">IF(W410="","",W410-X410)</f>
        <v/>
      </c>
      <c r="Z410" s="92"/>
    </row>
    <row r="411" spans="1:26" s="55" customFormat="1" ht="21" customHeight="1" x14ac:dyDescent="0.25">
      <c r="A411" s="56"/>
      <c r="B411" s="57"/>
      <c r="C411" s="57"/>
      <c r="D411" s="57"/>
      <c r="E411" s="57"/>
      <c r="F411" s="57"/>
      <c r="G411" s="57"/>
      <c r="H411" s="74"/>
      <c r="L411" s="61"/>
      <c r="M411" s="57"/>
      <c r="N411" s="100"/>
      <c r="O411" s="101" t="s">
        <v>63</v>
      </c>
      <c r="P411" s="101">
        <v>26</v>
      </c>
      <c r="Q411" s="101">
        <v>4</v>
      </c>
      <c r="R411" s="101">
        <v>0</v>
      </c>
      <c r="S411" s="105"/>
      <c r="T411" s="101" t="s">
        <v>63</v>
      </c>
      <c r="U411" s="177" t="str">
        <f>IF($J$1="April",Y410,Y410)</f>
        <v/>
      </c>
      <c r="V411" s="103"/>
      <c r="W411" s="177" t="str">
        <f t="shared" si="70"/>
        <v/>
      </c>
      <c r="X411" s="103"/>
      <c r="Y411" s="177" t="str">
        <f t="shared" si="71"/>
        <v/>
      </c>
      <c r="Z411" s="92"/>
    </row>
    <row r="412" spans="1:26" s="55" customFormat="1" ht="21" customHeight="1" x14ac:dyDescent="0.25">
      <c r="A412" s="56"/>
      <c r="B412" s="291" t="s">
        <v>58</v>
      </c>
      <c r="C412" s="292"/>
      <c r="D412" s="57"/>
      <c r="E412" s="57"/>
      <c r="F412" s="75" t="s">
        <v>80</v>
      </c>
      <c r="G412" s="70" t="str">
        <f>IF($J$1="January",U408,IF($J$1="February",U409,IF($J$1="March",U410,IF($J$1="April",U411,IF($J$1="May",U412,IF($J$1="June",U413,IF($J$1="July",U414,IF($J$1="August",U415,IF($J$1="August",U415,IF($J$1="September",U416,IF($J$1="October",U417,IF($J$1="November",U418,IF($J$1="December",U419)))))))))))))</f>
        <v/>
      </c>
      <c r="H412" s="74"/>
      <c r="I412" s="76">
        <f>IF(C416&gt;0,$K$2,C414)</f>
        <v>23</v>
      </c>
      <c r="J412" s="77" t="s">
        <v>77</v>
      </c>
      <c r="K412" s="78">
        <f>K408/$K$2*I412</f>
        <v>12266.666666666668</v>
      </c>
      <c r="L412" s="79"/>
      <c r="M412" s="57"/>
      <c r="N412" s="100"/>
      <c r="O412" s="101" t="s">
        <v>64</v>
      </c>
      <c r="P412" s="101">
        <v>28</v>
      </c>
      <c r="Q412" s="101">
        <v>3</v>
      </c>
      <c r="R412" s="101">
        <v>0</v>
      </c>
      <c r="S412" s="105"/>
      <c r="T412" s="101" t="s">
        <v>64</v>
      </c>
      <c r="U412" s="177"/>
      <c r="V412" s="103"/>
      <c r="W412" s="177" t="str">
        <f t="shared" si="70"/>
        <v/>
      </c>
      <c r="X412" s="103"/>
      <c r="Y412" s="177" t="str">
        <f t="shared" si="71"/>
        <v/>
      </c>
      <c r="Z412" s="92"/>
    </row>
    <row r="413" spans="1:26" s="55" customFormat="1" ht="21" customHeight="1" x14ac:dyDescent="0.25">
      <c r="A413" s="56"/>
      <c r="B413" s="66"/>
      <c r="C413" s="66"/>
      <c r="D413" s="57"/>
      <c r="E413" s="57"/>
      <c r="F413" s="75" t="s">
        <v>29</v>
      </c>
      <c r="G413" s="70">
        <f>IF($J$1="January",V408,IF($J$1="February",V409,IF($J$1="March",V410,IF($J$1="April",V411,IF($J$1="May",V412,IF($J$1="June",V413,IF($J$1="July",V414,IF($J$1="August",V415,IF($J$1="August",V415,IF($J$1="September",V416,IF($J$1="October",V417,IF($J$1="November",V418,IF($J$1="December",V419)))))))))))))</f>
        <v>50</v>
      </c>
      <c r="H413" s="74"/>
      <c r="I413" s="120">
        <v>3</v>
      </c>
      <c r="J413" s="77" t="s">
        <v>78</v>
      </c>
      <c r="K413" s="80">
        <f>K408/$K$2/8*I413</f>
        <v>200</v>
      </c>
      <c r="L413" s="81"/>
      <c r="M413" s="57"/>
      <c r="N413" s="100"/>
      <c r="O413" s="101" t="s">
        <v>65</v>
      </c>
      <c r="P413" s="101">
        <v>23</v>
      </c>
      <c r="Q413" s="101">
        <v>7</v>
      </c>
      <c r="R413" s="101">
        <v>0</v>
      </c>
      <c r="S413" s="105"/>
      <c r="T413" s="101" t="s">
        <v>65</v>
      </c>
      <c r="U413" s="177" t="str">
        <f>Y412</f>
        <v/>
      </c>
      <c r="V413" s="103">
        <v>50</v>
      </c>
      <c r="W413" s="177">
        <f>V413</f>
        <v>50</v>
      </c>
      <c r="X413" s="103">
        <v>50</v>
      </c>
      <c r="Y413" s="177">
        <f t="shared" si="71"/>
        <v>0</v>
      </c>
      <c r="Z413" s="92"/>
    </row>
    <row r="414" spans="1:26" s="55" customFormat="1" ht="21" customHeight="1" x14ac:dyDescent="0.25">
      <c r="A414" s="56"/>
      <c r="B414" s="75" t="s">
        <v>7</v>
      </c>
      <c r="C414" s="66">
        <f>IF($J$1="January",P408,IF($J$1="February",P409,IF($J$1="March",P410,IF($J$1="April",P411,IF($J$1="May",P412,IF($J$1="June",P413,IF($J$1="July",P414,IF($J$1="August",P415,IF($J$1="August",P415,IF($J$1="September",P416,IF($J$1="October",P417,IF($J$1="November",P418,IF($J$1="December",P419)))))))))))))</f>
        <v>23</v>
      </c>
      <c r="D414" s="57"/>
      <c r="E414" s="57"/>
      <c r="F414" s="75" t="s">
        <v>81</v>
      </c>
      <c r="G414" s="70">
        <f>IF($J$1="January",W408,IF($J$1="February",W409,IF($J$1="March",W410,IF($J$1="April",W411,IF($J$1="May",W412,IF($J$1="June",W413,IF($J$1="July",W414,IF($J$1="August",W415,IF($J$1="August",W415,IF($J$1="September",W416,IF($J$1="October",W417,IF($J$1="November",W418,IF($J$1="December",W419)))))))))))))</f>
        <v>50</v>
      </c>
      <c r="H414" s="74"/>
      <c r="I414" s="293" t="s">
        <v>85</v>
      </c>
      <c r="J414" s="294"/>
      <c r="K414" s="80">
        <f>K412+K413</f>
        <v>12466.666666666668</v>
      </c>
      <c r="L414" s="81"/>
      <c r="M414" s="57"/>
      <c r="N414" s="100"/>
      <c r="O414" s="101" t="s">
        <v>66</v>
      </c>
      <c r="P414" s="101"/>
      <c r="Q414" s="101"/>
      <c r="R414" s="101" t="str">
        <f t="shared" ref="R414:R419" si="72">IF(Q414="","",R413-Q414)</f>
        <v/>
      </c>
      <c r="S414" s="105"/>
      <c r="T414" s="101" t="s">
        <v>66</v>
      </c>
      <c r="U414" s="177"/>
      <c r="V414" s="103"/>
      <c r="W414" s="177" t="str">
        <f t="shared" si="70"/>
        <v/>
      </c>
      <c r="X414" s="103"/>
      <c r="Y414" s="177" t="str">
        <f t="shared" si="71"/>
        <v/>
      </c>
      <c r="Z414" s="92"/>
    </row>
    <row r="415" spans="1:26" s="55" customFormat="1" ht="21" customHeight="1" x14ac:dyDescent="0.25">
      <c r="A415" s="56"/>
      <c r="B415" s="75" t="s">
        <v>6</v>
      </c>
      <c r="C415" s="66">
        <f>IF($J$1="January",Q408,IF($J$1="February",Q409,IF($J$1="March",Q410,IF($J$1="April",Q411,IF($J$1="May",Q412,IF($J$1="June",Q413,IF($J$1="July",Q414,IF($J$1="August",Q415,IF($J$1="August",Q415,IF($J$1="September",Q416,IF($J$1="October",Q417,IF($J$1="November",Q418,IF($J$1="December",Q419)))))))))))))</f>
        <v>7</v>
      </c>
      <c r="D415" s="57"/>
      <c r="E415" s="57"/>
      <c r="F415" s="75" t="s">
        <v>30</v>
      </c>
      <c r="G415" s="70">
        <f>IF($J$1="January",X408,IF($J$1="February",X409,IF($J$1="March",X410,IF($J$1="April",X411,IF($J$1="May",X412,IF($J$1="June",X413,IF($J$1="July",X414,IF($J$1="August",X415,IF($J$1="August",X415,IF($J$1="September",X416,IF($J$1="October",X417,IF($J$1="November",X418,IF($J$1="December",X419)))))))))))))</f>
        <v>50</v>
      </c>
      <c r="H415" s="74"/>
      <c r="I415" s="293" t="s">
        <v>86</v>
      </c>
      <c r="J415" s="294"/>
      <c r="K415" s="70">
        <f>G415</f>
        <v>50</v>
      </c>
      <c r="L415" s="82"/>
      <c r="M415" s="57"/>
      <c r="N415" s="100"/>
      <c r="O415" s="101" t="s">
        <v>67</v>
      </c>
      <c r="P415" s="101"/>
      <c r="Q415" s="101"/>
      <c r="R415" s="101">
        <v>0</v>
      </c>
      <c r="S415" s="105"/>
      <c r="T415" s="101" t="s">
        <v>67</v>
      </c>
      <c r="U415" s="177"/>
      <c r="V415" s="103"/>
      <c r="W415" s="177" t="str">
        <f t="shared" si="70"/>
        <v/>
      </c>
      <c r="X415" s="103"/>
      <c r="Y415" s="177" t="str">
        <f t="shared" si="71"/>
        <v/>
      </c>
      <c r="Z415" s="92"/>
    </row>
    <row r="416" spans="1:26" s="55" customFormat="1" ht="21" customHeight="1" x14ac:dyDescent="0.25">
      <c r="A416" s="56"/>
      <c r="B416" s="83" t="s">
        <v>84</v>
      </c>
      <c r="C416" s="66">
        <f>IF($J$1="January",R408,IF($J$1="February",R409,IF($J$1="March",R410,IF($J$1="April",R411,IF($J$1="May",R412,IF($J$1="June",R413,IF($J$1="July",R414,IF($J$1="August",R415,IF($J$1="August",R415,IF($J$1="September",R416,IF($J$1="October",R417,IF($J$1="November",R418,IF($J$1="December",R419)))))))))))))</f>
        <v>0</v>
      </c>
      <c r="D416" s="57"/>
      <c r="E416" s="57"/>
      <c r="F416" s="75" t="s">
        <v>83</v>
      </c>
      <c r="G416" s="70">
        <f>IF($J$1="January",Y408,IF($J$1="February",Y409,IF($J$1="March",Y410,IF($J$1="April",Y411,IF($J$1="May",Y412,IF($J$1="June",Y413,IF($J$1="July",Y414,IF($J$1="August",Y415,IF($J$1="August",Y415,IF($J$1="September",Y416,IF($J$1="October",Y417,IF($J$1="November",Y418,IF($J$1="December",Y419)))))))))))))</f>
        <v>0</v>
      </c>
      <c r="H416" s="57"/>
      <c r="I416" s="295" t="s">
        <v>79</v>
      </c>
      <c r="J416" s="296"/>
      <c r="K416" s="84">
        <f>K414-K415</f>
        <v>12416.666666666668</v>
      </c>
      <c r="L416" s="85"/>
      <c r="M416" s="57"/>
      <c r="N416" s="100"/>
      <c r="O416" s="101" t="s">
        <v>72</v>
      </c>
      <c r="P416" s="101"/>
      <c r="Q416" s="101"/>
      <c r="R416" s="101">
        <v>0</v>
      </c>
      <c r="S416" s="105"/>
      <c r="T416" s="101" t="s">
        <v>72</v>
      </c>
      <c r="U416" s="177"/>
      <c r="V416" s="103"/>
      <c r="W416" s="177" t="str">
        <f t="shared" si="70"/>
        <v/>
      </c>
      <c r="X416" s="103"/>
      <c r="Y416" s="177" t="str">
        <f t="shared" si="71"/>
        <v/>
      </c>
      <c r="Z416" s="92"/>
    </row>
    <row r="417" spans="1:26" s="55" customFormat="1" ht="21" customHeight="1" x14ac:dyDescent="0.25">
      <c r="A417" s="56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73"/>
      <c r="M417" s="57"/>
      <c r="N417" s="100"/>
      <c r="O417" s="101" t="s">
        <v>68</v>
      </c>
      <c r="P417" s="101"/>
      <c r="Q417" s="101"/>
      <c r="R417" s="101">
        <v>0</v>
      </c>
      <c r="S417" s="105"/>
      <c r="T417" s="101" t="s">
        <v>68</v>
      </c>
      <c r="U417" s="177"/>
      <c r="V417" s="103"/>
      <c r="W417" s="177" t="str">
        <f t="shared" si="70"/>
        <v/>
      </c>
      <c r="X417" s="103"/>
      <c r="Y417" s="177" t="str">
        <f t="shared" si="71"/>
        <v/>
      </c>
      <c r="Z417" s="92"/>
    </row>
    <row r="418" spans="1:26" s="55" customFormat="1" ht="21" customHeight="1" x14ac:dyDescent="0.25">
      <c r="A418" s="56"/>
      <c r="B418" s="284" t="s">
        <v>116</v>
      </c>
      <c r="C418" s="284"/>
      <c r="D418" s="284"/>
      <c r="E418" s="284"/>
      <c r="F418" s="284"/>
      <c r="G418" s="284"/>
      <c r="H418" s="284"/>
      <c r="I418" s="284"/>
      <c r="J418" s="284"/>
      <c r="K418" s="284"/>
      <c r="L418" s="73"/>
      <c r="M418" s="57"/>
      <c r="N418" s="100"/>
      <c r="O418" s="101" t="s">
        <v>73</v>
      </c>
      <c r="P418" s="101"/>
      <c r="Q418" s="101"/>
      <c r="R418" s="101" t="str">
        <f t="shared" si="72"/>
        <v/>
      </c>
      <c r="S418" s="105"/>
      <c r="T418" s="101" t="s">
        <v>73</v>
      </c>
      <c r="U418" s="177" t="str">
        <f t="shared" ref="U418" si="73">Y417</f>
        <v/>
      </c>
      <c r="V418" s="103"/>
      <c r="W418" s="177" t="str">
        <f t="shared" si="70"/>
        <v/>
      </c>
      <c r="X418" s="103"/>
      <c r="Y418" s="177" t="str">
        <f t="shared" si="71"/>
        <v/>
      </c>
      <c r="Z418" s="92"/>
    </row>
    <row r="419" spans="1:26" s="55" customFormat="1" ht="21" customHeight="1" x14ac:dyDescent="0.25">
      <c r="A419" s="56"/>
      <c r="B419" s="284"/>
      <c r="C419" s="284"/>
      <c r="D419" s="284"/>
      <c r="E419" s="284"/>
      <c r="F419" s="284"/>
      <c r="G419" s="284"/>
      <c r="H419" s="284"/>
      <c r="I419" s="284"/>
      <c r="J419" s="284"/>
      <c r="K419" s="284"/>
      <c r="L419" s="73"/>
      <c r="M419" s="57"/>
      <c r="N419" s="100"/>
      <c r="O419" s="101" t="s">
        <v>74</v>
      </c>
      <c r="P419" s="101"/>
      <c r="Q419" s="101"/>
      <c r="R419" s="101" t="str">
        <f t="shared" si="72"/>
        <v/>
      </c>
      <c r="S419" s="105"/>
      <c r="T419" s="101" t="s">
        <v>74</v>
      </c>
      <c r="U419" s="177" t="str">
        <f>IF($J$1="Dec",Y418,"")</f>
        <v/>
      </c>
      <c r="V419" s="103"/>
      <c r="W419" s="177" t="str">
        <f t="shared" si="70"/>
        <v/>
      </c>
      <c r="X419" s="103"/>
      <c r="Y419" s="177" t="str">
        <f t="shared" si="71"/>
        <v/>
      </c>
      <c r="Z419" s="92"/>
    </row>
    <row r="420" spans="1:26" s="55" customFormat="1" ht="21" customHeight="1" thickBot="1" x14ac:dyDescent="0.3">
      <c r="A420" s="86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8"/>
      <c r="N420" s="107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92"/>
    </row>
    <row r="421" spans="1:26" s="57" customFormat="1" ht="21" customHeight="1" thickBot="1" x14ac:dyDescent="0.3"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  <c r="Z421" s="105"/>
    </row>
    <row r="422" spans="1:26" s="55" customFormat="1" ht="21" customHeight="1" x14ac:dyDescent="0.25">
      <c r="A422" s="297" t="s">
        <v>56</v>
      </c>
      <c r="B422" s="298"/>
      <c r="C422" s="298"/>
      <c r="D422" s="298"/>
      <c r="E422" s="298"/>
      <c r="F422" s="298"/>
      <c r="G422" s="298"/>
      <c r="H422" s="298"/>
      <c r="I422" s="298"/>
      <c r="J422" s="298"/>
      <c r="K422" s="298"/>
      <c r="L422" s="299"/>
      <c r="M422" s="115"/>
      <c r="N422" s="93"/>
      <c r="O422" s="285" t="s">
        <v>58</v>
      </c>
      <c r="P422" s="286"/>
      <c r="Q422" s="286"/>
      <c r="R422" s="287"/>
      <c r="S422" s="94"/>
      <c r="T422" s="285" t="s">
        <v>59</v>
      </c>
      <c r="U422" s="286"/>
      <c r="V422" s="286"/>
      <c r="W422" s="286"/>
      <c r="X422" s="286"/>
      <c r="Y422" s="287"/>
      <c r="Z422" s="95"/>
    </row>
    <row r="423" spans="1:26" s="55" customFormat="1" ht="21" customHeight="1" x14ac:dyDescent="0.25">
      <c r="A423" s="56"/>
      <c r="B423" s="57"/>
      <c r="C423" s="288" t="s">
        <v>114</v>
      </c>
      <c r="D423" s="288"/>
      <c r="E423" s="288"/>
      <c r="F423" s="288"/>
      <c r="G423" s="58" t="str">
        <f>$J$1</f>
        <v>June</v>
      </c>
      <c r="H423" s="289">
        <f>$K$1</f>
        <v>2019</v>
      </c>
      <c r="I423" s="289"/>
      <c r="J423" s="57"/>
      <c r="K423" s="59"/>
      <c r="L423" s="60"/>
      <c r="M423" s="59"/>
      <c r="N423" s="96"/>
      <c r="O423" s="97" t="s">
        <v>69</v>
      </c>
      <c r="P423" s="97" t="s">
        <v>7</v>
      </c>
      <c r="Q423" s="97" t="s">
        <v>6</v>
      </c>
      <c r="R423" s="97" t="s">
        <v>70</v>
      </c>
      <c r="S423" s="98"/>
      <c r="T423" s="97" t="s">
        <v>69</v>
      </c>
      <c r="U423" s="97" t="s">
        <v>71</v>
      </c>
      <c r="V423" s="97" t="s">
        <v>29</v>
      </c>
      <c r="W423" s="97" t="s">
        <v>28</v>
      </c>
      <c r="X423" s="97" t="s">
        <v>30</v>
      </c>
      <c r="Y423" s="97" t="s">
        <v>75</v>
      </c>
      <c r="Z423" s="99"/>
    </row>
    <row r="424" spans="1:26" s="55" customFormat="1" ht="21" customHeight="1" x14ac:dyDescent="0.25">
      <c r="A424" s="56"/>
      <c r="B424" s="57"/>
      <c r="C424" s="57"/>
      <c r="D424" s="62"/>
      <c r="E424" s="62"/>
      <c r="F424" s="62"/>
      <c r="G424" s="62"/>
      <c r="H424" s="62"/>
      <c r="I424" s="57"/>
      <c r="J424" s="63" t="s">
        <v>1</v>
      </c>
      <c r="K424" s="64">
        <v>17000</v>
      </c>
      <c r="L424" s="65"/>
      <c r="M424" s="57"/>
      <c r="N424" s="100"/>
      <c r="O424" s="101" t="s">
        <v>61</v>
      </c>
      <c r="P424" s="101">
        <v>26</v>
      </c>
      <c r="Q424" s="101">
        <v>5</v>
      </c>
      <c r="R424" s="101">
        <v>0</v>
      </c>
      <c r="S424" s="102"/>
      <c r="T424" s="101" t="s">
        <v>61</v>
      </c>
      <c r="U424" s="103">
        <v>9250</v>
      </c>
      <c r="V424" s="103">
        <f>2500+2500+1000+1000+1000</f>
        <v>8000</v>
      </c>
      <c r="W424" s="103">
        <f>V424+U424</f>
        <v>17250</v>
      </c>
      <c r="X424" s="103">
        <v>6250</v>
      </c>
      <c r="Y424" s="103">
        <f>W424-X424</f>
        <v>11000</v>
      </c>
      <c r="Z424" s="99"/>
    </row>
    <row r="425" spans="1:26" s="55" customFormat="1" ht="21" customHeight="1" x14ac:dyDescent="0.25">
      <c r="A425" s="56"/>
      <c r="B425" s="57" t="s">
        <v>0</v>
      </c>
      <c r="C425" s="112" t="s">
        <v>115</v>
      </c>
      <c r="D425" s="57"/>
      <c r="E425" s="57"/>
      <c r="F425" s="57"/>
      <c r="G425" s="57"/>
      <c r="H425" s="68"/>
      <c r="I425" s="62"/>
      <c r="J425" s="57"/>
      <c r="K425" s="57"/>
      <c r="L425" s="69"/>
      <c r="M425" s="115"/>
      <c r="N425" s="104"/>
      <c r="O425" s="101" t="s">
        <v>87</v>
      </c>
      <c r="P425" s="101">
        <v>28</v>
      </c>
      <c r="Q425" s="101">
        <v>0</v>
      </c>
      <c r="R425" s="101">
        <v>0</v>
      </c>
      <c r="S425" s="105"/>
      <c r="T425" s="101" t="s">
        <v>87</v>
      </c>
      <c r="U425" s="177">
        <f>Y424</f>
        <v>11000</v>
      </c>
      <c r="V425" s="103">
        <v>1000</v>
      </c>
      <c r="W425" s="177">
        <f>IF(U425="","",U425+V425)</f>
        <v>12000</v>
      </c>
      <c r="X425" s="103">
        <v>5000</v>
      </c>
      <c r="Y425" s="177">
        <f>IF(W425="","",W425-X425)</f>
        <v>7000</v>
      </c>
      <c r="Z425" s="106"/>
    </row>
    <row r="426" spans="1:26" s="55" customFormat="1" ht="21" customHeight="1" x14ac:dyDescent="0.25">
      <c r="A426" s="56"/>
      <c r="B426" s="71" t="s">
        <v>57</v>
      </c>
      <c r="C426" s="112"/>
      <c r="D426" s="57"/>
      <c r="E426" s="57"/>
      <c r="F426" s="290" t="s">
        <v>59</v>
      </c>
      <c r="G426" s="290"/>
      <c r="H426" s="57"/>
      <c r="I426" s="290" t="s">
        <v>60</v>
      </c>
      <c r="J426" s="290"/>
      <c r="K426" s="290"/>
      <c r="L426" s="73"/>
      <c r="M426" s="57"/>
      <c r="N426" s="100"/>
      <c r="O426" s="101" t="s">
        <v>62</v>
      </c>
      <c r="P426" s="101">
        <v>26</v>
      </c>
      <c r="Q426" s="101">
        <v>5</v>
      </c>
      <c r="R426" s="101">
        <v>0</v>
      </c>
      <c r="S426" s="105"/>
      <c r="T426" s="101" t="s">
        <v>62</v>
      </c>
      <c r="U426" s="177">
        <f>Y425</f>
        <v>7000</v>
      </c>
      <c r="V426" s="103">
        <f>4800+2000+2000+1000</f>
        <v>9800</v>
      </c>
      <c r="W426" s="177">
        <f t="shared" ref="W426:W435" si="74">IF(U426="","",U426+V426)</f>
        <v>16800</v>
      </c>
      <c r="X426" s="103">
        <v>8000</v>
      </c>
      <c r="Y426" s="177">
        <f t="shared" ref="Y426:Y435" si="75">IF(W426="","",W426-X426)</f>
        <v>8800</v>
      </c>
      <c r="Z426" s="106"/>
    </row>
    <row r="427" spans="1:26" s="55" customFormat="1" ht="21" customHeight="1" x14ac:dyDescent="0.25">
      <c r="A427" s="56"/>
      <c r="B427" s="57"/>
      <c r="C427" s="57"/>
      <c r="D427" s="57"/>
      <c r="E427" s="57"/>
      <c r="F427" s="57"/>
      <c r="G427" s="57"/>
      <c r="H427" s="74"/>
      <c r="L427" s="61"/>
      <c r="M427" s="57"/>
      <c r="N427" s="100"/>
      <c r="O427" s="101" t="s">
        <v>63</v>
      </c>
      <c r="P427" s="101">
        <v>26</v>
      </c>
      <c r="Q427" s="101">
        <v>4</v>
      </c>
      <c r="R427" s="101">
        <v>0</v>
      </c>
      <c r="S427" s="105"/>
      <c r="T427" s="101" t="s">
        <v>63</v>
      </c>
      <c r="U427" s="177">
        <f>Y426-4800</f>
        <v>4000</v>
      </c>
      <c r="V427" s="103">
        <f>3000+2500+2500</f>
        <v>8000</v>
      </c>
      <c r="W427" s="177">
        <f t="shared" si="74"/>
        <v>12000</v>
      </c>
      <c r="X427" s="103">
        <v>5500</v>
      </c>
      <c r="Y427" s="177">
        <f t="shared" si="75"/>
        <v>6500</v>
      </c>
      <c r="Z427" s="106"/>
    </row>
    <row r="428" spans="1:26" s="55" customFormat="1" ht="21" customHeight="1" x14ac:dyDescent="0.25">
      <c r="A428" s="56"/>
      <c r="B428" s="291" t="s">
        <v>58</v>
      </c>
      <c r="C428" s="292"/>
      <c r="D428" s="57"/>
      <c r="E428" s="57"/>
      <c r="F428" s="75" t="s">
        <v>80</v>
      </c>
      <c r="G428" s="70">
        <f>IF($J$1="January",U424,IF($J$1="February",U425,IF($J$1="March",U426,IF($J$1="April",U427,IF($J$1="May",U428,IF($J$1="June",U429,IF($J$1="July",U430,IF($J$1="August",U431,IF($J$1="August",U431,IF($J$1="September",U432,IF($J$1="October",U433,IF($J$1="November",U434,IF($J$1="December",U435)))))))))))))</f>
        <v>5500</v>
      </c>
      <c r="H428" s="74"/>
      <c r="I428" s="76">
        <f>IF(C432&gt;0,$K$2,C430)</f>
        <v>27</v>
      </c>
      <c r="J428" s="77" t="s">
        <v>77</v>
      </c>
      <c r="K428" s="78">
        <f>K424/$K$2*I428</f>
        <v>15299.999999999998</v>
      </c>
      <c r="L428" s="79"/>
      <c r="M428" s="57"/>
      <c r="N428" s="100"/>
      <c r="O428" s="101" t="s">
        <v>64</v>
      </c>
      <c r="P428" s="101">
        <v>28</v>
      </c>
      <c r="Q428" s="101">
        <v>3</v>
      </c>
      <c r="R428" s="101">
        <v>0</v>
      </c>
      <c r="S428" s="105"/>
      <c r="T428" s="101" t="s">
        <v>64</v>
      </c>
      <c r="U428" s="177">
        <f>Y427</f>
        <v>6500</v>
      </c>
      <c r="V428" s="103">
        <v>4500</v>
      </c>
      <c r="W428" s="177">
        <f t="shared" si="74"/>
        <v>11000</v>
      </c>
      <c r="X428" s="103">
        <v>5500</v>
      </c>
      <c r="Y428" s="177">
        <f t="shared" si="75"/>
        <v>5500</v>
      </c>
      <c r="Z428" s="106"/>
    </row>
    <row r="429" spans="1:26" s="55" customFormat="1" ht="21" customHeight="1" x14ac:dyDescent="0.25">
      <c r="A429" s="56"/>
      <c r="B429" s="66"/>
      <c r="C429" s="66"/>
      <c r="D429" s="57"/>
      <c r="E429" s="57"/>
      <c r="F429" s="75" t="s">
        <v>29</v>
      </c>
      <c r="G429" s="70">
        <f>IF($J$1="January",V424,IF($J$1="February",V425,IF($J$1="March",V426,IF($J$1="April",V427,IF($J$1="May",V428,IF($J$1="June",V429,IF($J$1="July",V430,IF($J$1="August",V431,IF($J$1="August",V431,IF($J$1="September",V432,IF($J$1="October",V433,IF($J$1="November",V434,IF($J$1="December",V435)))))))))))))</f>
        <v>6000</v>
      </c>
      <c r="H429" s="74"/>
      <c r="I429" s="120">
        <v>39</v>
      </c>
      <c r="J429" s="77" t="s">
        <v>78</v>
      </c>
      <c r="K429" s="80">
        <f>K424/$K$2/8*I429</f>
        <v>2762.5</v>
      </c>
      <c r="L429" s="81"/>
      <c r="M429" s="57"/>
      <c r="N429" s="100"/>
      <c r="O429" s="101" t="s">
        <v>65</v>
      </c>
      <c r="P429" s="101">
        <v>27</v>
      </c>
      <c r="Q429" s="101">
        <v>3</v>
      </c>
      <c r="R429" s="101">
        <v>0</v>
      </c>
      <c r="S429" s="105"/>
      <c r="T429" s="101" t="s">
        <v>65</v>
      </c>
      <c r="U429" s="177">
        <f>Y428</f>
        <v>5500</v>
      </c>
      <c r="V429" s="103">
        <f>2000+4000</f>
        <v>6000</v>
      </c>
      <c r="W429" s="177">
        <f t="shared" si="74"/>
        <v>11500</v>
      </c>
      <c r="X429" s="103">
        <v>5500</v>
      </c>
      <c r="Y429" s="177">
        <f t="shared" si="75"/>
        <v>6000</v>
      </c>
      <c r="Z429" s="106"/>
    </row>
    <row r="430" spans="1:26" s="55" customFormat="1" ht="21" customHeight="1" x14ac:dyDescent="0.25">
      <c r="A430" s="56"/>
      <c r="B430" s="75" t="s">
        <v>7</v>
      </c>
      <c r="C430" s="66">
        <f>IF($J$1="January",P424,IF($J$1="February",P425,IF($J$1="March",P426,IF($J$1="April",P427,IF($J$1="May",P428,IF($J$1="June",P429,IF($J$1="July",P430,IF($J$1="August",P431,IF($J$1="August",P431,IF($J$1="September",P432,IF($J$1="October",P433,IF($J$1="November",P434,IF($J$1="December",P435)))))))))))))</f>
        <v>27</v>
      </c>
      <c r="D430" s="57"/>
      <c r="E430" s="57"/>
      <c r="F430" s="75" t="s">
        <v>81</v>
      </c>
      <c r="G430" s="70">
        <f>IF($J$1="January",W424,IF($J$1="February",W425,IF($J$1="March",W426,IF($J$1="April",W427,IF($J$1="May",W428,IF($J$1="June",W429,IF($J$1="July",W430,IF($J$1="August",W431,IF($J$1="August",W431,IF($J$1="September",W432,IF($J$1="October",W433,IF($J$1="November",W434,IF($J$1="December",W435)))))))))))))</f>
        <v>11500</v>
      </c>
      <c r="H430" s="74"/>
      <c r="I430" s="293" t="s">
        <v>85</v>
      </c>
      <c r="J430" s="294"/>
      <c r="K430" s="80">
        <f>K428+K429</f>
        <v>18062.5</v>
      </c>
      <c r="L430" s="81"/>
      <c r="M430" s="57"/>
      <c r="N430" s="100"/>
      <c r="O430" s="101" t="s">
        <v>66</v>
      </c>
      <c r="P430" s="101"/>
      <c r="Q430" s="101"/>
      <c r="R430" s="101" t="str">
        <f>IF(Q430="","",R429-Q430)</f>
        <v/>
      </c>
      <c r="S430" s="105"/>
      <c r="T430" s="101" t="s">
        <v>66</v>
      </c>
      <c r="U430" s="177"/>
      <c r="V430" s="103"/>
      <c r="W430" s="177" t="str">
        <f t="shared" si="74"/>
        <v/>
      </c>
      <c r="X430" s="103"/>
      <c r="Y430" s="177" t="str">
        <f t="shared" si="75"/>
        <v/>
      </c>
      <c r="Z430" s="106"/>
    </row>
    <row r="431" spans="1:26" s="55" customFormat="1" ht="21" customHeight="1" x14ac:dyDescent="0.25">
      <c r="A431" s="56"/>
      <c r="B431" s="75" t="s">
        <v>6</v>
      </c>
      <c r="C431" s="66">
        <f>IF($J$1="January",Q424,IF($J$1="February",Q425,IF($J$1="March",Q426,IF($J$1="April",Q427,IF($J$1="May",Q428,IF($J$1="June",Q429,IF($J$1="July",Q430,IF($J$1="August",Q431,IF($J$1="August",Q431,IF($J$1="September",Q432,IF($J$1="October",Q433,IF($J$1="November",Q434,IF($J$1="December",Q435)))))))))))))</f>
        <v>3</v>
      </c>
      <c r="D431" s="57"/>
      <c r="E431" s="57"/>
      <c r="F431" s="75" t="s">
        <v>30</v>
      </c>
      <c r="G431" s="70">
        <f>IF($J$1="January",X424,IF($J$1="February",X425,IF($J$1="March",X426,IF($J$1="April",X427,IF($J$1="May",X428,IF($J$1="June",X429,IF($J$1="July",X430,IF($J$1="August",X431,IF($J$1="August",X431,IF($J$1="September",X432,IF($J$1="October",X433,IF($J$1="November",X434,IF($J$1="December",X435)))))))))))))</f>
        <v>5500</v>
      </c>
      <c r="H431" s="74"/>
      <c r="I431" s="293" t="s">
        <v>86</v>
      </c>
      <c r="J431" s="294"/>
      <c r="K431" s="70">
        <f>G431</f>
        <v>5500</v>
      </c>
      <c r="L431" s="82"/>
      <c r="M431" s="57"/>
      <c r="N431" s="100"/>
      <c r="O431" s="101" t="s">
        <v>67</v>
      </c>
      <c r="P431" s="101"/>
      <c r="Q431" s="101"/>
      <c r="R431" s="101">
        <v>0</v>
      </c>
      <c r="S431" s="105"/>
      <c r="T431" s="101" t="s">
        <v>67</v>
      </c>
      <c r="U431" s="177"/>
      <c r="V431" s="103"/>
      <c r="W431" s="177" t="str">
        <f t="shared" si="74"/>
        <v/>
      </c>
      <c r="X431" s="103"/>
      <c r="Y431" s="177" t="str">
        <f t="shared" si="75"/>
        <v/>
      </c>
      <c r="Z431" s="106"/>
    </row>
    <row r="432" spans="1:26" s="55" customFormat="1" ht="21" customHeight="1" x14ac:dyDescent="0.25">
      <c r="A432" s="56"/>
      <c r="B432" s="83" t="s">
        <v>84</v>
      </c>
      <c r="C432" s="66">
        <f>IF($J$1="January",R424,IF($J$1="February",R425,IF($J$1="March",R426,IF($J$1="April",R427,IF($J$1="May",R428,IF($J$1="June",R429,IF($J$1="July",R430,IF($J$1="August",R431,IF($J$1="August",R431,IF($J$1="September",R432,IF($J$1="October",R433,IF($J$1="November",R434,IF($J$1="December",R435)))))))))))))</f>
        <v>0</v>
      </c>
      <c r="D432" s="57"/>
      <c r="E432" s="57"/>
      <c r="F432" s="75" t="s">
        <v>83</v>
      </c>
      <c r="G432" s="70">
        <f>IF($J$1="January",Y424,IF($J$1="February",Y425,IF($J$1="March",Y426,IF($J$1="April",Y427,IF($J$1="May",Y428,IF($J$1="June",Y429,IF($J$1="July",Y430,IF($J$1="August",Y431,IF($J$1="August",Y431,IF($J$1="September",Y432,IF($J$1="October",Y433,IF($J$1="November",Y434,IF($J$1="December",Y435)))))))))))))</f>
        <v>6000</v>
      </c>
      <c r="H432" s="57"/>
      <c r="I432" s="295" t="s">
        <v>79</v>
      </c>
      <c r="J432" s="296"/>
      <c r="K432" s="84">
        <f>K430-K431</f>
        <v>12562.5</v>
      </c>
      <c r="L432" s="85"/>
      <c r="M432" s="57"/>
      <c r="N432" s="100"/>
      <c r="O432" s="101" t="s">
        <v>72</v>
      </c>
      <c r="P432" s="101"/>
      <c r="Q432" s="101"/>
      <c r="R432" s="101">
        <v>0</v>
      </c>
      <c r="S432" s="105"/>
      <c r="T432" s="101" t="s">
        <v>72</v>
      </c>
      <c r="U432" s="177"/>
      <c r="V432" s="103"/>
      <c r="W432" s="177" t="str">
        <f t="shared" si="74"/>
        <v/>
      </c>
      <c r="X432" s="103"/>
      <c r="Y432" s="177" t="str">
        <f t="shared" si="75"/>
        <v/>
      </c>
      <c r="Z432" s="106"/>
    </row>
    <row r="433" spans="1:27" s="55" customFormat="1" ht="21" customHeight="1" x14ac:dyDescent="0.25">
      <c r="A433" s="56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73"/>
      <c r="M433" s="57"/>
      <c r="N433" s="100"/>
      <c r="O433" s="101" t="s">
        <v>68</v>
      </c>
      <c r="P433" s="101"/>
      <c r="Q433" s="101"/>
      <c r="R433" s="101">
        <v>0</v>
      </c>
      <c r="S433" s="105"/>
      <c r="T433" s="101" t="s">
        <v>68</v>
      </c>
      <c r="U433" s="177"/>
      <c r="V433" s="103"/>
      <c r="W433" s="177" t="str">
        <f t="shared" si="74"/>
        <v/>
      </c>
      <c r="X433" s="103"/>
      <c r="Y433" s="177" t="str">
        <f t="shared" si="75"/>
        <v/>
      </c>
      <c r="Z433" s="106"/>
    </row>
    <row r="434" spans="1:27" s="55" customFormat="1" ht="21" customHeight="1" x14ac:dyDescent="0.25">
      <c r="A434" s="56"/>
      <c r="B434" s="284" t="s">
        <v>116</v>
      </c>
      <c r="C434" s="284"/>
      <c r="D434" s="284"/>
      <c r="E434" s="284"/>
      <c r="F434" s="284"/>
      <c r="G434" s="284"/>
      <c r="H434" s="284"/>
      <c r="I434" s="284"/>
      <c r="J434" s="284"/>
      <c r="K434" s="284"/>
      <c r="L434" s="73"/>
      <c r="M434" s="57"/>
      <c r="N434" s="100"/>
      <c r="O434" s="101" t="s">
        <v>73</v>
      </c>
      <c r="P434" s="101"/>
      <c r="Q434" s="101"/>
      <c r="R434" s="101">
        <v>0</v>
      </c>
      <c r="S434" s="105"/>
      <c r="T434" s="101" t="s">
        <v>73</v>
      </c>
      <c r="U434" s="177"/>
      <c r="V434" s="103"/>
      <c r="W434" s="177" t="str">
        <f t="shared" si="74"/>
        <v/>
      </c>
      <c r="X434" s="103"/>
      <c r="Y434" s="177" t="str">
        <f t="shared" si="75"/>
        <v/>
      </c>
      <c r="Z434" s="106"/>
    </row>
    <row r="435" spans="1:27" s="55" customFormat="1" ht="21" customHeight="1" x14ac:dyDescent="0.25">
      <c r="A435" s="56"/>
      <c r="B435" s="284"/>
      <c r="C435" s="284"/>
      <c r="D435" s="284"/>
      <c r="E435" s="284"/>
      <c r="F435" s="284"/>
      <c r="G435" s="284"/>
      <c r="H435" s="284"/>
      <c r="I435" s="284"/>
      <c r="J435" s="284"/>
      <c r="K435" s="284"/>
      <c r="L435" s="73"/>
      <c r="M435" s="57"/>
      <c r="N435" s="100"/>
      <c r="O435" s="101" t="s">
        <v>74</v>
      </c>
      <c r="P435" s="101"/>
      <c r="Q435" s="101"/>
      <c r="R435" s="101">
        <v>0</v>
      </c>
      <c r="S435" s="105"/>
      <c r="T435" s="101" t="s">
        <v>74</v>
      </c>
      <c r="U435" s="177"/>
      <c r="V435" s="103"/>
      <c r="W435" s="177" t="str">
        <f t="shared" si="74"/>
        <v/>
      </c>
      <c r="X435" s="103"/>
      <c r="Y435" s="177" t="str">
        <f t="shared" si="75"/>
        <v/>
      </c>
      <c r="Z435" s="106"/>
    </row>
    <row r="436" spans="1:27" s="55" customFormat="1" ht="21" customHeight="1" thickBot="1" x14ac:dyDescent="0.3">
      <c r="A436" s="86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8"/>
      <c r="N436" s="107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9"/>
    </row>
    <row r="437" spans="1:27" s="57" customFormat="1" ht="21" customHeight="1" thickBot="1" x14ac:dyDescent="0.3"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  <c r="Z437" s="105"/>
    </row>
    <row r="438" spans="1:27" s="55" customFormat="1" ht="21" customHeight="1" x14ac:dyDescent="0.25">
      <c r="A438" s="297" t="s">
        <v>56</v>
      </c>
      <c r="B438" s="298"/>
      <c r="C438" s="298"/>
      <c r="D438" s="298"/>
      <c r="E438" s="298"/>
      <c r="F438" s="298"/>
      <c r="G438" s="298"/>
      <c r="H438" s="298"/>
      <c r="I438" s="298"/>
      <c r="J438" s="298"/>
      <c r="K438" s="298"/>
      <c r="L438" s="299"/>
      <c r="M438" s="54"/>
      <c r="N438" s="93"/>
      <c r="O438" s="285" t="s">
        <v>58</v>
      </c>
      <c r="P438" s="286"/>
      <c r="Q438" s="286"/>
      <c r="R438" s="287"/>
      <c r="S438" s="94"/>
      <c r="T438" s="285" t="s">
        <v>59</v>
      </c>
      <c r="U438" s="286"/>
      <c r="V438" s="286"/>
      <c r="W438" s="286"/>
      <c r="X438" s="286"/>
      <c r="Y438" s="287"/>
      <c r="Z438" s="95"/>
      <c r="AA438" s="54"/>
    </row>
    <row r="439" spans="1:27" s="55" customFormat="1" ht="21" customHeight="1" x14ac:dyDescent="0.25">
      <c r="A439" s="56"/>
      <c r="B439" s="57"/>
      <c r="C439" s="288" t="s">
        <v>114</v>
      </c>
      <c r="D439" s="288"/>
      <c r="E439" s="288"/>
      <c r="F439" s="288"/>
      <c r="G439" s="58" t="str">
        <f>$J$1</f>
        <v>June</v>
      </c>
      <c r="H439" s="289">
        <f>$K$1</f>
        <v>2019</v>
      </c>
      <c r="I439" s="289"/>
      <c r="J439" s="57"/>
      <c r="K439" s="59"/>
      <c r="L439" s="60"/>
      <c r="M439" s="59"/>
      <c r="N439" s="96"/>
      <c r="O439" s="97" t="s">
        <v>69</v>
      </c>
      <c r="P439" s="97" t="s">
        <v>7</v>
      </c>
      <c r="Q439" s="97" t="s">
        <v>6</v>
      </c>
      <c r="R439" s="97" t="s">
        <v>70</v>
      </c>
      <c r="S439" s="98"/>
      <c r="T439" s="97" t="s">
        <v>69</v>
      </c>
      <c r="U439" s="97" t="s">
        <v>71</v>
      </c>
      <c r="V439" s="97" t="s">
        <v>29</v>
      </c>
      <c r="W439" s="97" t="s">
        <v>28</v>
      </c>
      <c r="X439" s="97" t="s">
        <v>30</v>
      </c>
      <c r="Y439" s="97" t="s">
        <v>75</v>
      </c>
      <c r="Z439" s="99"/>
      <c r="AA439" s="59"/>
    </row>
    <row r="440" spans="1:27" s="55" customFormat="1" ht="21" customHeight="1" x14ac:dyDescent="0.25">
      <c r="A440" s="56"/>
      <c r="B440" s="57"/>
      <c r="C440" s="57"/>
      <c r="D440" s="62"/>
      <c r="E440" s="62"/>
      <c r="F440" s="62"/>
      <c r="G440" s="62"/>
      <c r="H440" s="62"/>
      <c r="I440" s="57"/>
      <c r="J440" s="63" t="s">
        <v>1</v>
      </c>
      <c r="K440" s="64">
        <v>12000</v>
      </c>
      <c r="L440" s="65"/>
      <c r="M440" s="57"/>
      <c r="N440" s="100"/>
      <c r="O440" s="101" t="s">
        <v>61</v>
      </c>
      <c r="P440" s="101">
        <v>31</v>
      </c>
      <c r="Q440" s="101">
        <v>0</v>
      </c>
      <c r="R440" s="101"/>
      <c r="S440" s="102"/>
      <c r="T440" s="101" t="s">
        <v>61</v>
      </c>
      <c r="U440" s="103"/>
      <c r="V440" s="103"/>
      <c r="W440" s="103">
        <f>V440+U440</f>
        <v>0</v>
      </c>
      <c r="X440" s="103"/>
      <c r="Y440" s="103">
        <f>W440-X440</f>
        <v>0</v>
      </c>
      <c r="Z440" s="99"/>
      <c r="AA440" s="57"/>
    </row>
    <row r="441" spans="1:27" s="55" customFormat="1" ht="21" customHeight="1" x14ac:dyDescent="0.25">
      <c r="A441" s="56"/>
      <c r="B441" s="57" t="s">
        <v>0</v>
      </c>
      <c r="C441" s="67" t="s">
        <v>171</v>
      </c>
      <c r="D441" s="57"/>
      <c r="E441" s="57"/>
      <c r="F441" s="57"/>
      <c r="G441" s="57"/>
      <c r="H441" s="68"/>
      <c r="I441" s="62"/>
      <c r="J441" s="57"/>
      <c r="K441" s="57"/>
      <c r="L441" s="69"/>
      <c r="M441" s="54"/>
      <c r="N441" s="104"/>
      <c r="O441" s="101" t="s">
        <v>87</v>
      </c>
      <c r="P441" s="101">
        <v>22</v>
      </c>
      <c r="Q441" s="101"/>
      <c r="R441" s="101">
        <v>0</v>
      </c>
      <c r="S441" s="105"/>
      <c r="T441" s="101" t="s">
        <v>87</v>
      </c>
      <c r="U441" s="177">
        <f>Y440</f>
        <v>0</v>
      </c>
      <c r="V441" s="103"/>
      <c r="W441" s="177">
        <f>IF(U441="","",U441+V441)</f>
        <v>0</v>
      </c>
      <c r="X441" s="103"/>
      <c r="Y441" s="177">
        <f>IF(W441="","",W441-X441)</f>
        <v>0</v>
      </c>
      <c r="Z441" s="106"/>
      <c r="AA441" s="54"/>
    </row>
    <row r="442" spans="1:27" s="55" customFormat="1" ht="21" customHeight="1" x14ac:dyDescent="0.25">
      <c r="A442" s="56"/>
      <c r="B442" s="71" t="s">
        <v>57</v>
      </c>
      <c r="C442" s="72"/>
      <c r="D442" s="57"/>
      <c r="E442" s="57"/>
      <c r="F442" s="290" t="s">
        <v>59</v>
      </c>
      <c r="G442" s="290"/>
      <c r="H442" s="57"/>
      <c r="I442" s="290" t="s">
        <v>60</v>
      </c>
      <c r="J442" s="290"/>
      <c r="K442" s="290"/>
      <c r="L442" s="73"/>
      <c r="M442" s="57"/>
      <c r="N442" s="100"/>
      <c r="O442" s="101" t="s">
        <v>62</v>
      </c>
      <c r="P442" s="101">
        <v>30</v>
      </c>
      <c r="Q442" s="101">
        <v>1</v>
      </c>
      <c r="R442" s="101">
        <v>0</v>
      </c>
      <c r="S442" s="105"/>
      <c r="T442" s="101" t="s">
        <v>62</v>
      </c>
      <c r="U442" s="177">
        <f>IF($J$1="April",Y441,Y441)</f>
        <v>0</v>
      </c>
      <c r="V442" s="103"/>
      <c r="W442" s="177">
        <f t="shared" ref="W442:W451" si="76">IF(U442="","",U442+V442)</f>
        <v>0</v>
      </c>
      <c r="X442" s="103"/>
      <c r="Y442" s="177">
        <f t="shared" ref="Y442:Y451" si="77">IF(W442="","",W442-X442)</f>
        <v>0</v>
      </c>
      <c r="Z442" s="106"/>
      <c r="AA442" s="57"/>
    </row>
    <row r="443" spans="1:27" s="55" customFormat="1" ht="21" customHeight="1" x14ac:dyDescent="0.25">
      <c r="A443" s="56"/>
      <c r="B443" s="57"/>
      <c r="C443" s="57"/>
      <c r="D443" s="57"/>
      <c r="E443" s="57"/>
      <c r="F443" s="57"/>
      <c r="G443" s="57"/>
      <c r="H443" s="74"/>
      <c r="L443" s="61"/>
      <c r="M443" s="57"/>
      <c r="N443" s="100"/>
      <c r="O443" s="101" t="s">
        <v>63</v>
      </c>
      <c r="P443" s="101">
        <v>27</v>
      </c>
      <c r="Q443" s="101">
        <v>3</v>
      </c>
      <c r="R443" s="101">
        <v>0</v>
      </c>
      <c r="S443" s="105"/>
      <c r="T443" s="101" t="s">
        <v>63</v>
      </c>
      <c r="U443" s="177">
        <f>IF($J$1="April",Y442,Y442)</f>
        <v>0</v>
      </c>
      <c r="V443" s="103"/>
      <c r="W443" s="177">
        <f t="shared" si="76"/>
        <v>0</v>
      </c>
      <c r="X443" s="103"/>
      <c r="Y443" s="177">
        <f t="shared" si="77"/>
        <v>0</v>
      </c>
      <c r="Z443" s="106"/>
      <c r="AA443" s="57"/>
    </row>
    <row r="444" spans="1:27" s="55" customFormat="1" ht="21" customHeight="1" x14ac:dyDescent="0.25">
      <c r="A444" s="56"/>
      <c r="B444" s="291" t="s">
        <v>58</v>
      </c>
      <c r="C444" s="292"/>
      <c r="D444" s="57"/>
      <c r="E444" s="57"/>
      <c r="F444" s="75" t="s">
        <v>80</v>
      </c>
      <c r="G444" s="70">
        <f>IF($J$1="January",U440,IF($J$1="February",U441,IF($J$1="March",U442,IF($J$1="April",U443,IF($J$1="May",U444,IF($J$1="June",U445,IF($J$1="July",U446,IF($J$1="August",U447,IF($J$1="August",U447,IF($J$1="September",U448,IF($J$1="October",U449,IF($J$1="November",U450,IF($J$1="December",U451)))))))))))))</f>
        <v>0</v>
      </c>
      <c r="H444" s="74"/>
      <c r="I444" s="76">
        <f>IF(C448&gt;0,$K$2,C446)</f>
        <v>29</v>
      </c>
      <c r="J444" s="77" t="s">
        <v>77</v>
      </c>
      <c r="K444" s="78">
        <f>K440/$K$2*I444</f>
        <v>11600</v>
      </c>
      <c r="L444" s="79"/>
      <c r="M444" s="57"/>
      <c r="N444" s="100"/>
      <c r="O444" s="101" t="s">
        <v>64</v>
      </c>
      <c r="P444" s="101">
        <v>29</v>
      </c>
      <c r="Q444" s="101">
        <v>2</v>
      </c>
      <c r="R444" s="101">
        <v>0</v>
      </c>
      <c r="S444" s="105"/>
      <c r="T444" s="101" t="s">
        <v>64</v>
      </c>
      <c r="U444" s="177">
        <f>IF($J$1="May",Y443,Y443)</f>
        <v>0</v>
      </c>
      <c r="V444" s="103"/>
      <c r="W444" s="177">
        <f t="shared" si="76"/>
        <v>0</v>
      </c>
      <c r="X444" s="103"/>
      <c r="Y444" s="177">
        <f t="shared" si="77"/>
        <v>0</v>
      </c>
      <c r="Z444" s="106"/>
      <c r="AA444" s="57"/>
    </row>
    <row r="445" spans="1:27" s="55" customFormat="1" ht="21" customHeight="1" x14ac:dyDescent="0.25">
      <c r="A445" s="56"/>
      <c r="B445" s="66"/>
      <c r="C445" s="66"/>
      <c r="D445" s="57"/>
      <c r="E445" s="57"/>
      <c r="F445" s="75" t="s">
        <v>29</v>
      </c>
      <c r="G445" s="70">
        <f>IF($J$1="January",V440,IF($J$1="February",V441,IF($J$1="March",V442,IF($J$1="April",V443,IF($J$1="May",V444,IF($J$1="June",V445,IF($J$1="July",V446,IF($J$1="August",V447,IF($J$1="August",V447,IF($J$1="September",V448,IF($J$1="October",V449,IF($J$1="November",V450,IF($J$1="December",V451)))))))))))))</f>
        <v>274</v>
      </c>
      <c r="H445" s="74"/>
      <c r="I445" s="120">
        <v>6.5</v>
      </c>
      <c r="J445" s="77" t="s">
        <v>78</v>
      </c>
      <c r="K445" s="80">
        <f>K440/$K$2/8*I445</f>
        <v>325</v>
      </c>
      <c r="L445" s="81"/>
      <c r="M445" s="57"/>
      <c r="N445" s="100"/>
      <c r="O445" s="101" t="s">
        <v>65</v>
      </c>
      <c r="P445" s="101">
        <v>29</v>
      </c>
      <c r="Q445" s="101">
        <v>1</v>
      </c>
      <c r="R445" s="101">
        <f t="shared" ref="R445:R451" si="78">IF(Q445="","",R444-Q445)</f>
        <v>-1</v>
      </c>
      <c r="S445" s="105"/>
      <c r="T445" s="101" t="s">
        <v>65</v>
      </c>
      <c r="U445" s="177">
        <f>IF($J$1="May",Y444,Y444)</f>
        <v>0</v>
      </c>
      <c r="V445" s="103">
        <f>11500-11226</f>
        <v>274</v>
      </c>
      <c r="W445" s="177">
        <f t="shared" si="76"/>
        <v>274</v>
      </c>
      <c r="X445" s="103"/>
      <c r="Y445" s="177">
        <f t="shared" si="77"/>
        <v>274</v>
      </c>
      <c r="Z445" s="106"/>
      <c r="AA445" s="57"/>
    </row>
    <row r="446" spans="1:27" s="55" customFormat="1" ht="21" customHeight="1" x14ac:dyDescent="0.25">
      <c r="A446" s="56"/>
      <c r="B446" s="75" t="s">
        <v>7</v>
      </c>
      <c r="C446" s="66">
        <f>IF($J$1="January",P440,IF($J$1="February",P441,IF($J$1="March",P442,IF($J$1="April",P443,IF($J$1="May",P444,IF($J$1="June",P445,IF($J$1="July",P446,IF($J$1="August",P447,IF($J$1="August",P447,IF($J$1="September",P448,IF($J$1="October",P449,IF($J$1="November",P450,IF($J$1="December",P451)))))))))))))</f>
        <v>29</v>
      </c>
      <c r="D446" s="57"/>
      <c r="E446" s="57"/>
      <c r="F446" s="75" t="s">
        <v>81</v>
      </c>
      <c r="G446" s="70">
        <f>IF($J$1="January",W440,IF($J$1="February",W441,IF($J$1="March",W442,IF($J$1="April",W443,IF($J$1="May",W444,IF($J$1="June",W445,IF($J$1="July",W446,IF($J$1="August",W447,IF($J$1="August",W447,IF($J$1="September",W448,IF($J$1="October",W449,IF($J$1="November",W450,IF($J$1="December",W451)))))))))))))</f>
        <v>274</v>
      </c>
      <c r="H446" s="74"/>
      <c r="I446" s="293" t="s">
        <v>85</v>
      </c>
      <c r="J446" s="294"/>
      <c r="K446" s="80">
        <f>K444+K445</f>
        <v>11925</v>
      </c>
      <c r="L446" s="81"/>
      <c r="M446" s="57"/>
      <c r="N446" s="100"/>
      <c r="O446" s="101" t="s">
        <v>66</v>
      </c>
      <c r="P446" s="101"/>
      <c r="Q446" s="101"/>
      <c r="R446" s="101">
        <v>0</v>
      </c>
      <c r="S446" s="105"/>
      <c r="T446" s="101" t="s">
        <v>66</v>
      </c>
      <c r="U446" s="177"/>
      <c r="V446" s="103"/>
      <c r="W446" s="177" t="str">
        <f t="shared" si="76"/>
        <v/>
      </c>
      <c r="X446" s="103"/>
      <c r="Y446" s="177" t="str">
        <f t="shared" si="77"/>
        <v/>
      </c>
      <c r="Z446" s="106"/>
      <c r="AA446" s="57"/>
    </row>
    <row r="447" spans="1:27" s="55" customFormat="1" ht="21" customHeight="1" x14ac:dyDescent="0.25">
      <c r="A447" s="56"/>
      <c r="B447" s="75" t="s">
        <v>6</v>
      </c>
      <c r="C447" s="66">
        <f>IF($J$1="January",Q440,IF($J$1="February",Q441,IF($J$1="March",Q442,IF($J$1="April",Q443,IF($J$1="May",Q444,IF($J$1="June",Q445,IF($J$1="July",Q446,IF($J$1="August",Q447,IF($J$1="August",Q447,IF($J$1="September",Q448,IF($J$1="October",Q449,IF($J$1="November",Q450,IF($J$1="December",Q451)))))))))))))</f>
        <v>1</v>
      </c>
      <c r="D447" s="57"/>
      <c r="E447" s="57"/>
      <c r="F447" s="75" t="s">
        <v>30</v>
      </c>
      <c r="G447" s="70">
        <f>IF($J$1="January",X440,IF($J$1="February",X441,IF($J$1="March",X442,IF($J$1="April",X443,IF($J$1="May",X444,IF($J$1="June",X445,IF($J$1="July",X446,IF($J$1="August",X447,IF($J$1="August",X447,IF($J$1="September",X448,IF($J$1="October",X449,IF($J$1="November",X450,IF($J$1="December",X451)))))))))))))</f>
        <v>0</v>
      </c>
      <c r="H447" s="74"/>
      <c r="I447" s="293" t="s">
        <v>86</v>
      </c>
      <c r="J447" s="294"/>
      <c r="K447" s="70">
        <f>G447</f>
        <v>0</v>
      </c>
      <c r="L447" s="82"/>
      <c r="M447" s="57"/>
      <c r="N447" s="100"/>
      <c r="O447" s="101" t="s">
        <v>67</v>
      </c>
      <c r="P447" s="101"/>
      <c r="Q447" s="101"/>
      <c r="R447" s="101" t="str">
        <f t="shared" si="78"/>
        <v/>
      </c>
      <c r="S447" s="105"/>
      <c r="T447" s="101" t="s">
        <v>67</v>
      </c>
      <c r="U447" s="177"/>
      <c r="V447" s="103"/>
      <c r="W447" s="177" t="str">
        <f t="shared" si="76"/>
        <v/>
      </c>
      <c r="X447" s="103"/>
      <c r="Y447" s="177" t="str">
        <f t="shared" si="77"/>
        <v/>
      </c>
      <c r="Z447" s="106"/>
      <c r="AA447" s="57"/>
    </row>
    <row r="448" spans="1:27" s="55" customFormat="1" ht="21" customHeight="1" x14ac:dyDescent="0.25">
      <c r="A448" s="56"/>
      <c r="B448" s="83" t="s">
        <v>84</v>
      </c>
      <c r="C448" s="66">
        <f>IF($J$1="January",R440,IF($J$1="February",R441,IF($J$1="March",R442,IF($J$1="April",R443,IF($J$1="May",R444,IF($J$1="June",R445,IF($J$1="July",R446,IF($J$1="August",R447,IF($J$1="August",R447,IF($J$1="September",R448,IF($J$1="October",R449,IF($J$1="November",R450,IF($J$1="December",R451)))))))))))))</f>
        <v>-1</v>
      </c>
      <c r="D448" s="57"/>
      <c r="E448" s="57"/>
      <c r="F448" s="75" t="s">
        <v>83</v>
      </c>
      <c r="G448" s="70">
        <f>IF($J$1="January",Y440,IF($J$1="February",Y441,IF($J$1="March",Y442,IF($J$1="April",Y443,IF($J$1="May",Y444,IF($J$1="June",Y445,IF($J$1="July",Y446,IF($J$1="August",Y447,IF($J$1="August",Y447,IF($J$1="September",Y448,IF($J$1="October",Y449,IF($J$1="November",Y450,IF($J$1="December",Y451)))))))))))))</f>
        <v>274</v>
      </c>
      <c r="H448" s="57"/>
      <c r="I448" s="295" t="s">
        <v>79</v>
      </c>
      <c r="J448" s="296"/>
      <c r="K448" s="84">
        <f>K446-K447</f>
        <v>11925</v>
      </c>
      <c r="L448" s="85"/>
      <c r="M448" s="57"/>
      <c r="N448" s="100"/>
      <c r="O448" s="101" t="s">
        <v>72</v>
      </c>
      <c r="P448" s="101"/>
      <c r="Q448" s="101"/>
      <c r="R448" s="101" t="str">
        <f t="shared" si="78"/>
        <v/>
      </c>
      <c r="S448" s="105"/>
      <c r="T448" s="101" t="s">
        <v>72</v>
      </c>
      <c r="U448" s="177"/>
      <c r="V448" s="103"/>
      <c r="W448" s="177" t="str">
        <f t="shared" si="76"/>
        <v/>
      </c>
      <c r="X448" s="103"/>
      <c r="Y448" s="177" t="str">
        <f t="shared" si="77"/>
        <v/>
      </c>
      <c r="Z448" s="106"/>
      <c r="AA448" s="57"/>
    </row>
    <row r="449" spans="1:27" s="55" customFormat="1" ht="21" customHeight="1" x14ac:dyDescent="0.25">
      <c r="A449" s="56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73"/>
      <c r="M449" s="57"/>
      <c r="N449" s="100"/>
      <c r="O449" s="101" t="s">
        <v>68</v>
      </c>
      <c r="P449" s="101"/>
      <c r="Q449" s="101"/>
      <c r="R449" s="101" t="str">
        <f t="shared" si="78"/>
        <v/>
      </c>
      <c r="S449" s="105"/>
      <c r="T449" s="101" t="s">
        <v>68</v>
      </c>
      <c r="U449" s="177" t="str">
        <f>IF($J$1="October",Y448,"")</f>
        <v/>
      </c>
      <c r="V449" s="103"/>
      <c r="W449" s="177" t="str">
        <f t="shared" si="76"/>
        <v/>
      </c>
      <c r="X449" s="103"/>
      <c r="Y449" s="177" t="str">
        <f t="shared" si="77"/>
        <v/>
      </c>
      <c r="Z449" s="106"/>
      <c r="AA449" s="57"/>
    </row>
    <row r="450" spans="1:27" s="55" customFormat="1" ht="21" customHeight="1" x14ac:dyDescent="0.25">
      <c r="A450" s="56"/>
      <c r="B450" s="284" t="s">
        <v>116</v>
      </c>
      <c r="C450" s="284"/>
      <c r="D450" s="284"/>
      <c r="E450" s="284"/>
      <c r="F450" s="284"/>
      <c r="G450" s="284"/>
      <c r="H450" s="284"/>
      <c r="I450" s="284"/>
      <c r="J450" s="284"/>
      <c r="K450" s="284"/>
      <c r="L450" s="73"/>
      <c r="M450" s="57"/>
      <c r="N450" s="100"/>
      <c r="O450" s="101" t="s">
        <v>73</v>
      </c>
      <c r="P450" s="101"/>
      <c r="Q450" s="101"/>
      <c r="R450" s="101" t="str">
        <f t="shared" si="78"/>
        <v/>
      </c>
      <c r="S450" s="105"/>
      <c r="T450" s="101" t="s">
        <v>73</v>
      </c>
      <c r="U450" s="177" t="str">
        <f>IF($J$1="November",Y449,"")</f>
        <v/>
      </c>
      <c r="V450" s="103"/>
      <c r="W450" s="177" t="str">
        <f t="shared" si="76"/>
        <v/>
      </c>
      <c r="X450" s="103"/>
      <c r="Y450" s="177" t="str">
        <f t="shared" si="77"/>
        <v/>
      </c>
      <c r="Z450" s="106"/>
      <c r="AA450" s="57"/>
    </row>
    <row r="451" spans="1:27" s="55" customFormat="1" ht="21" customHeight="1" x14ac:dyDescent="0.25">
      <c r="A451" s="56"/>
      <c r="B451" s="284"/>
      <c r="C451" s="284"/>
      <c r="D451" s="284"/>
      <c r="E451" s="284"/>
      <c r="F451" s="284"/>
      <c r="G451" s="284"/>
      <c r="H451" s="284"/>
      <c r="I451" s="284"/>
      <c r="J451" s="284"/>
      <c r="K451" s="284"/>
      <c r="L451" s="73"/>
      <c r="M451" s="57"/>
      <c r="N451" s="100"/>
      <c r="O451" s="101" t="s">
        <v>74</v>
      </c>
      <c r="P451" s="101"/>
      <c r="Q451" s="101"/>
      <c r="R451" s="101" t="str">
        <f t="shared" si="78"/>
        <v/>
      </c>
      <c r="S451" s="105"/>
      <c r="T451" s="101" t="s">
        <v>74</v>
      </c>
      <c r="U451" s="177" t="str">
        <f>IF($J$1="Dec",Y450,"")</f>
        <v/>
      </c>
      <c r="V451" s="103"/>
      <c r="W451" s="177" t="str">
        <f t="shared" si="76"/>
        <v/>
      </c>
      <c r="X451" s="103"/>
      <c r="Y451" s="177" t="str">
        <f t="shared" si="77"/>
        <v/>
      </c>
      <c r="Z451" s="106"/>
      <c r="AA451" s="57"/>
    </row>
    <row r="452" spans="1:27" s="55" customFormat="1" ht="21" customHeight="1" thickBot="1" x14ac:dyDescent="0.3">
      <c r="A452" s="86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8"/>
      <c r="N452" s="107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9"/>
    </row>
    <row r="453" spans="1:27" s="57" customFormat="1" ht="21" customHeight="1" thickBot="1" x14ac:dyDescent="0.3"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  <c r="Z453" s="105"/>
    </row>
    <row r="454" spans="1:27" s="55" customFormat="1" ht="21" customHeight="1" x14ac:dyDescent="0.25">
      <c r="A454" s="297" t="s">
        <v>56</v>
      </c>
      <c r="B454" s="298"/>
      <c r="C454" s="298"/>
      <c r="D454" s="298"/>
      <c r="E454" s="298"/>
      <c r="F454" s="298"/>
      <c r="G454" s="298"/>
      <c r="H454" s="298"/>
      <c r="I454" s="298"/>
      <c r="J454" s="298"/>
      <c r="K454" s="298"/>
      <c r="L454" s="299"/>
      <c r="M454" s="54"/>
      <c r="N454" s="93"/>
      <c r="O454" s="285" t="s">
        <v>58</v>
      </c>
      <c r="P454" s="286"/>
      <c r="Q454" s="286"/>
      <c r="R454" s="287"/>
      <c r="S454" s="94"/>
      <c r="T454" s="285" t="s">
        <v>59</v>
      </c>
      <c r="U454" s="286"/>
      <c r="V454" s="286"/>
      <c r="W454" s="286"/>
      <c r="X454" s="286"/>
      <c r="Y454" s="287"/>
      <c r="Z454" s="95"/>
      <c r="AA454" s="54"/>
    </row>
    <row r="455" spans="1:27" s="55" customFormat="1" ht="21" customHeight="1" x14ac:dyDescent="0.25">
      <c r="A455" s="56"/>
      <c r="B455" s="57"/>
      <c r="C455" s="288" t="s">
        <v>114</v>
      </c>
      <c r="D455" s="288"/>
      <c r="E455" s="288"/>
      <c r="F455" s="288"/>
      <c r="G455" s="58" t="str">
        <f>$J$1</f>
        <v>June</v>
      </c>
      <c r="H455" s="289">
        <f>$K$1</f>
        <v>2019</v>
      </c>
      <c r="I455" s="289"/>
      <c r="J455" s="57"/>
      <c r="K455" s="59"/>
      <c r="L455" s="60"/>
      <c r="M455" s="59"/>
      <c r="N455" s="96"/>
      <c r="O455" s="97" t="s">
        <v>69</v>
      </c>
      <c r="P455" s="97" t="s">
        <v>7</v>
      </c>
      <c r="Q455" s="97" t="s">
        <v>6</v>
      </c>
      <c r="R455" s="97" t="s">
        <v>70</v>
      </c>
      <c r="S455" s="98"/>
      <c r="T455" s="97" t="s">
        <v>69</v>
      </c>
      <c r="U455" s="97" t="s">
        <v>71</v>
      </c>
      <c r="V455" s="97" t="s">
        <v>29</v>
      </c>
      <c r="W455" s="97" t="s">
        <v>28</v>
      </c>
      <c r="X455" s="97" t="s">
        <v>30</v>
      </c>
      <c r="Y455" s="97" t="s">
        <v>75</v>
      </c>
      <c r="Z455" s="99"/>
      <c r="AA455" s="59"/>
    </row>
    <row r="456" spans="1:27" s="55" customFormat="1" ht="21" customHeight="1" x14ac:dyDescent="0.25">
      <c r="A456" s="56"/>
      <c r="B456" s="57"/>
      <c r="C456" s="57"/>
      <c r="D456" s="62"/>
      <c r="E456" s="62"/>
      <c r="F456" s="62"/>
      <c r="G456" s="62"/>
      <c r="H456" s="62"/>
      <c r="I456" s="57"/>
      <c r="J456" s="63" t="s">
        <v>1</v>
      </c>
      <c r="K456" s="64">
        <v>26000</v>
      </c>
      <c r="L456" s="65"/>
      <c r="M456" s="57"/>
      <c r="N456" s="100"/>
      <c r="O456" s="101" t="s">
        <v>61</v>
      </c>
      <c r="P456" s="101">
        <v>30</v>
      </c>
      <c r="Q456" s="101">
        <v>1</v>
      </c>
      <c r="R456" s="101">
        <f>15-Q456</f>
        <v>14</v>
      </c>
      <c r="S456" s="102"/>
      <c r="T456" s="101" t="s">
        <v>61</v>
      </c>
      <c r="U456" s="103">
        <v>50000</v>
      </c>
      <c r="V456" s="103"/>
      <c r="W456" s="103">
        <f>V456+U456</f>
        <v>50000</v>
      </c>
      <c r="X456" s="103">
        <v>5000</v>
      </c>
      <c r="Y456" s="103">
        <f>W456-X456</f>
        <v>45000</v>
      </c>
      <c r="Z456" s="99"/>
      <c r="AA456" s="57"/>
    </row>
    <row r="457" spans="1:27" s="55" customFormat="1" ht="21" customHeight="1" x14ac:dyDescent="0.25">
      <c r="A457" s="56"/>
      <c r="B457" s="57" t="s">
        <v>0</v>
      </c>
      <c r="C457" s="67" t="s">
        <v>93</v>
      </c>
      <c r="D457" s="57"/>
      <c r="E457" s="57"/>
      <c r="F457" s="57"/>
      <c r="G457" s="57"/>
      <c r="H457" s="68"/>
      <c r="I457" s="62"/>
      <c r="J457" s="57"/>
      <c r="K457" s="57"/>
      <c r="L457" s="69"/>
      <c r="M457" s="54"/>
      <c r="N457" s="104"/>
      <c r="O457" s="101" t="s">
        <v>87</v>
      </c>
      <c r="P457" s="101">
        <v>27</v>
      </c>
      <c r="Q457" s="101">
        <v>1</v>
      </c>
      <c r="R457" s="101">
        <f>IF(Q457="","",R456-Q457)</f>
        <v>13</v>
      </c>
      <c r="S457" s="105"/>
      <c r="T457" s="101" t="s">
        <v>87</v>
      </c>
      <c r="U457" s="177">
        <f>Y456</f>
        <v>45000</v>
      </c>
      <c r="V457" s="103"/>
      <c r="W457" s="177">
        <f>IF(U457="","",U457+V457)</f>
        <v>45000</v>
      </c>
      <c r="X457" s="103">
        <v>5000</v>
      </c>
      <c r="Y457" s="177">
        <f>IF(W457="","",W457-X457)</f>
        <v>40000</v>
      </c>
      <c r="Z457" s="106"/>
      <c r="AA457" s="54"/>
    </row>
    <row r="458" spans="1:27" s="55" customFormat="1" ht="21" customHeight="1" x14ac:dyDescent="0.25">
      <c r="A458" s="56"/>
      <c r="B458" s="71" t="s">
        <v>57</v>
      </c>
      <c r="C458" s="72"/>
      <c r="D458" s="57"/>
      <c r="E458" s="57"/>
      <c r="F458" s="290" t="s">
        <v>59</v>
      </c>
      <c r="G458" s="290"/>
      <c r="H458" s="57"/>
      <c r="I458" s="290" t="s">
        <v>60</v>
      </c>
      <c r="J458" s="290"/>
      <c r="K458" s="290"/>
      <c r="L458" s="73"/>
      <c r="M458" s="57"/>
      <c r="N458" s="100"/>
      <c r="O458" s="101" t="s">
        <v>62</v>
      </c>
      <c r="P458" s="101">
        <v>31</v>
      </c>
      <c r="Q458" s="101">
        <v>0</v>
      </c>
      <c r="R458" s="101">
        <f t="shared" ref="R458:R467" si="79">IF(Q458="","",R457-Q458)</f>
        <v>13</v>
      </c>
      <c r="S458" s="105"/>
      <c r="T458" s="101" t="s">
        <v>62</v>
      </c>
      <c r="U458" s="177">
        <f>Y457</f>
        <v>40000</v>
      </c>
      <c r="V458" s="103"/>
      <c r="W458" s="177">
        <f t="shared" ref="W458:W467" si="80">IF(U458="","",U458+V458)</f>
        <v>40000</v>
      </c>
      <c r="X458" s="103">
        <v>5000</v>
      </c>
      <c r="Y458" s="177">
        <f t="shared" ref="Y458:Y467" si="81">IF(W458="","",W458-X458)</f>
        <v>35000</v>
      </c>
      <c r="Z458" s="106"/>
      <c r="AA458" s="57"/>
    </row>
    <row r="459" spans="1:27" s="55" customFormat="1" ht="21" customHeight="1" x14ac:dyDescent="0.25">
      <c r="A459" s="56"/>
      <c r="B459" s="57"/>
      <c r="C459" s="57"/>
      <c r="D459" s="57"/>
      <c r="E459" s="57"/>
      <c r="F459" s="57"/>
      <c r="G459" s="57"/>
      <c r="H459" s="74"/>
      <c r="L459" s="61"/>
      <c r="M459" s="57"/>
      <c r="N459" s="100"/>
      <c r="O459" s="101" t="s">
        <v>63</v>
      </c>
      <c r="P459" s="101">
        <v>29</v>
      </c>
      <c r="Q459" s="101">
        <v>1</v>
      </c>
      <c r="R459" s="101">
        <f t="shared" si="79"/>
        <v>12</v>
      </c>
      <c r="S459" s="105"/>
      <c r="T459" s="101" t="s">
        <v>63</v>
      </c>
      <c r="U459" s="177">
        <f>Y458</f>
        <v>35000</v>
      </c>
      <c r="V459" s="103"/>
      <c r="W459" s="177">
        <f t="shared" si="80"/>
        <v>35000</v>
      </c>
      <c r="X459" s="103">
        <v>5000</v>
      </c>
      <c r="Y459" s="177">
        <f t="shared" si="81"/>
        <v>30000</v>
      </c>
      <c r="Z459" s="106"/>
      <c r="AA459" s="57"/>
    </row>
    <row r="460" spans="1:27" s="55" customFormat="1" ht="21" customHeight="1" x14ac:dyDescent="0.25">
      <c r="A460" s="56"/>
      <c r="B460" s="291" t="s">
        <v>58</v>
      </c>
      <c r="C460" s="292"/>
      <c r="D460" s="57"/>
      <c r="E460" s="57"/>
      <c r="F460" s="75" t="s">
        <v>80</v>
      </c>
      <c r="G460" s="196">
        <f>IF($J$1="January",U456,IF($J$1="February",U457,IF($J$1="March",U458,IF($J$1="April",U459,IF($J$1="May",U460,IF($J$1="June",U461,IF($J$1="July",U462,IF($J$1="August",U463,IF($J$1="August",U463,IF($J$1="September",U464,IF($J$1="October",U465,IF($J$1="November",U466,IF($J$1="December",U467)))))))))))))</f>
        <v>25000</v>
      </c>
      <c r="H460" s="74"/>
      <c r="I460" s="76">
        <f>IF(C464&gt;0,$K$2,C462)</f>
        <v>30</v>
      </c>
      <c r="J460" s="77" t="s">
        <v>77</v>
      </c>
      <c r="K460" s="78">
        <f>K456/$K$2*I460</f>
        <v>26000</v>
      </c>
      <c r="L460" s="79"/>
      <c r="M460" s="57"/>
      <c r="N460" s="100"/>
      <c r="O460" s="101" t="s">
        <v>64</v>
      </c>
      <c r="P460" s="101">
        <v>30</v>
      </c>
      <c r="Q460" s="101">
        <v>1</v>
      </c>
      <c r="R460" s="101">
        <f t="shared" si="79"/>
        <v>11</v>
      </c>
      <c r="S460" s="105"/>
      <c r="T460" s="101" t="s">
        <v>64</v>
      </c>
      <c r="U460" s="177">
        <f>Y459</f>
        <v>30000</v>
      </c>
      <c r="V460" s="103"/>
      <c r="W460" s="177">
        <f t="shared" si="80"/>
        <v>30000</v>
      </c>
      <c r="X460" s="103">
        <v>5000</v>
      </c>
      <c r="Y460" s="177">
        <f t="shared" si="81"/>
        <v>25000</v>
      </c>
      <c r="Z460" s="106"/>
      <c r="AA460" s="57"/>
    </row>
    <row r="461" spans="1:27" s="55" customFormat="1" ht="21" customHeight="1" x14ac:dyDescent="0.25">
      <c r="A461" s="56"/>
      <c r="B461" s="66"/>
      <c r="C461" s="66"/>
      <c r="D461" s="57"/>
      <c r="E461" s="57"/>
      <c r="F461" s="75" t="s">
        <v>29</v>
      </c>
      <c r="G461" s="196">
        <f>IF($J$1="January",V456,IF($J$1="February",V457,IF($J$1="March",V458,IF($J$1="April",V459,IF($J$1="May",V460,IF($J$1="June",V461,IF($J$1="July",V462,IF($J$1="August",V463,IF($J$1="August",V463,IF($J$1="September",V464,IF($J$1="October",V465,IF($J$1="November",V466,IF($J$1="December",V467)))))))))))))</f>
        <v>0</v>
      </c>
      <c r="H461" s="74"/>
      <c r="I461" s="120">
        <v>2</v>
      </c>
      <c r="J461" s="77" t="s">
        <v>78</v>
      </c>
      <c r="K461" s="80">
        <f>K456/$K$2/8*I461</f>
        <v>216.66666666666666</v>
      </c>
      <c r="L461" s="81"/>
      <c r="M461" s="57"/>
      <c r="N461" s="100"/>
      <c r="O461" s="101" t="s">
        <v>65</v>
      </c>
      <c r="P461" s="101">
        <v>29</v>
      </c>
      <c r="Q461" s="101">
        <v>1</v>
      </c>
      <c r="R461" s="101">
        <f t="shared" si="79"/>
        <v>10</v>
      </c>
      <c r="S461" s="105"/>
      <c r="T461" s="101" t="s">
        <v>65</v>
      </c>
      <c r="U461" s="177">
        <f>Y460</f>
        <v>25000</v>
      </c>
      <c r="V461" s="103"/>
      <c r="W461" s="177">
        <f t="shared" si="80"/>
        <v>25000</v>
      </c>
      <c r="X461" s="103">
        <v>5000</v>
      </c>
      <c r="Y461" s="177">
        <f t="shared" si="81"/>
        <v>20000</v>
      </c>
      <c r="Z461" s="106"/>
      <c r="AA461" s="57"/>
    </row>
    <row r="462" spans="1:27" s="55" customFormat="1" ht="21" customHeight="1" x14ac:dyDescent="0.25">
      <c r="A462" s="56"/>
      <c r="B462" s="75" t="s">
        <v>7</v>
      </c>
      <c r="C462" s="66">
        <f>IF($J$1="January",P456,IF($J$1="February",P457,IF($J$1="March",P458,IF($J$1="April",P459,IF($J$1="May",P460,IF($J$1="June",P461,IF($J$1="July",P462,IF($J$1="August",P463,IF($J$1="August",P463,IF($J$1="September",P464,IF($J$1="October",P465,IF($J$1="November",P466,IF($J$1="December",P467)))))))))))))</f>
        <v>29</v>
      </c>
      <c r="D462" s="57"/>
      <c r="E462" s="57"/>
      <c r="F462" s="75" t="s">
        <v>81</v>
      </c>
      <c r="G462" s="196">
        <f>IF($J$1="January",W456,IF($J$1="February",W457,IF($J$1="March",W458,IF($J$1="April",W459,IF($J$1="May",W460,IF($J$1="June",W461,IF($J$1="July",W462,IF($J$1="August",W463,IF($J$1="August",W463,IF($J$1="September",W464,IF($J$1="October",W465,IF($J$1="November",W466,IF($J$1="December",W467)))))))))))))</f>
        <v>25000</v>
      </c>
      <c r="H462" s="74"/>
      <c r="I462" s="293" t="s">
        <v>85</v>
      </c>
      <c r="J462" s="294"/>
      <c r="K462" s="80">
        <f>K460+K461</f>
        <v>26216.666666666668</v>
      </c>
      <c r="L462" s="81"/>
      <c r="M462" s="57"/>
      <c r="N462" s="100"/>
      <c r="O462" s="101" t="s">
        <v>66</v>
      </c>
      <c r="P462" s="101"/>
      <c r="Q462" s="101"/>
      <c r="R462" s="101" t="str">
        <f t="shared" si="79"/>
        <v/>
      </c>
      <c r="S462" s="105"/>
      <c r="T462" s="101" t="s">
        <v>66</v>
      </c>
      <c r="U462" s="177"/>
      <c r="V462" s="103"/>
      <c r="W462" s="177" t="str">
        <f t="shared" si="80"/>
        <v/>
      </c>
      <c r="X462" s="103"/>
      <c r="Y462" s="177" t="str">
        <f t="shared" si="81"/>
        <v/>
      </c>
      <c r="Z462" s="106"/>
      <c r="AA462" s="57"/>
    </row>
    <row r="463" spans="1:27" s="55" customFormat="1" ht="21" customHeight="1" x14ac:dyDescent="0.25">
      <c r="A463" s="56"/>
      <c r="B463" s="75" t="s">
        <v>6</v>
      </c>
      <c r="C463" s="66">
        <f>IF($J$1="January",Q456,IF($J$1="February",Q457,IF($J$1="March",Q458,IF($J$1="April",Q459,IF($J$1="May",Q460,IF($J$1="June",Q461,IF($J$1="July",Q462,IF($J$1="August",Q463,IF($J$1="August",Q463,IF($J$1="September",Q464,IF($J$1="October",Q465,IF($J$1="November",Q466,IF($J$1="December",Q467)))))))))))))</f>
        <v>1</v>
      </c>
      <c r="D463" s="57"/>
      <c r="E463" s="57"/>
      <c r="F463" s="75" t="s">
        <v>30</v>
      </c>
      <c r="G463" s="196">
        <f>IF($J$1="January",X456,IF($J$1="February",X457,IF($J$1="March",X458,IF($J$1="April",X459,IF($J$1="May",X460,IF($J$1="June",X461,IF($J$1="July",X462,IF($J$1="August",X463,IF($J$1="August",X463,IF($J$1="September",X464,IF($J$1="October",X465,IF($J$1="November",X466,IF($J$1="December",X467)))))))))))))</f>
        <v>5000</v>
      </c>
      <c r="H463" s="74"/>
      <c r="I463" s="293" t="s">
        <v>86</v>
      </c>
      <c r="J463" s="294"/>
      <c r="K463" s="70">
        <f>G463</f>
        <v>5000</v>
      </c>
      <c r="L463" s="82"/>
      <c r="M463" s="57"/>
      <c r="N463" s="100"/>
      <c r="O463" s="101" t="s">
        <v>67</v>
      </c>
      <c r="P463" s="101"/>
      <c r="Q463" s="101"/>
      <c r="R463" s="101" t="str">
        <f t="shared" si="79"/>
        <v/>
      </c>
      <c r="S463" s="105"/>
      <c r="T463" s="101" t="s">
        <v>67</v>
      </c>
      <c r="U463" s="177"/>
      <c r="V463" s="103"/>
      <c r="W463" s="177" t="str">
        <f t="shared" si="80"/>
        <v/>
      </c>
      <c r="X463" s="103"/>
      <c r="Y463" s="177" t="str">
        <f t="shared" si="81"/>
        <v/>
      </c>
      <c r="Z463" s="106"/>
      <c r="AA463" s="57"/>
    </row>
    <row r="464" spans="1:27" s="55" customFormat="1" ht="21" customHeight="1" x14ac:dyDescent="0.25">
      <c r="A464" s="56"/>
      <c r="B464" s="83" t="s">
        <v>84</v>
      </c>
      <c r="C464" s="66">
        <f>IF($J$1="January",R456,IF($J$1="February",R457,IF($J$1="March",R458,IF($J$1="April",R459,IF($J$1="May",R460,IF($J$1="June",R461,IF($J$1="July",R462,IF($J$1="August",R463,IF($J$1="August",R463,IF($J$1="September",R464,IF($J$1="October",R465,IF($J$1="November",R466,IF($J$1="December",R467)))))))))))))</f>
        <v>10</v>
      </c>
      <c r="D464" s="57"/>
      <c r="E464" s="57"/>
      <c r="F464" s="75" t="s">
        <v>83</v>
      </c>
      <c r="G464" s="196">
        <f>IF($J$1="January",Y456,IF($J$1="February",Y457,IF($J$1="March",Y458,IF($J$1="April",Y459,IF($J$1="May",Y460,IF($J$1="June",Y461,IF($J$1="July",Y462,IF($J$1="August",Y463,IF($J$1="August",Y463,IF($J$1="September",Y464,IF($J$1="October",Y465,IF($J$1="November",Y466,IF($J$1="December",Y467)))))))))))))</f>
        <v>20000</v>
      </c>
      <c r="H464" s="57"/>
      <c r="I464" s="295" t="s">
        <v>79</v>
      </c>
      <c r="J464" s="296"/>
      <c r="K464" s="84">
        <f>K462-K463</f>
        <v>21216.666666666668</v>
      </c>
      <c r="L464" s="85"/>
      <c r="M464" s="57"/>
      <c r="N464" s="100"/>
      <c r="O464" s="101" t="s">
        <v>72</v>
      </c>
      <c r="P464" s="101"/>
      <c r="Q464" s="101"/>
      <c r="R464" s="101" t="str">
        <f t="shared" si="79"/>
        <v/>
      </c>
      <c r="S464" s="105"/>
      <c r="T464" s="101" t="s">
        <v>72</v>
      </c>
      <c r="U464" s="177"/>
      <c r="V464" s="103"/>
      <c r="W464" s="177" t="str">
        <f t="shared" si="80"/>
        <v/>
      </c>
      <c r="X464" s="103"/>
      <c r="Y464" s="177" t="str">
        <f t="shared" si="81"/>
        <v/>
      </c>
      <c r="Z464" s="106"/>
      <c r="AA464" s="57"/>
    </row>
    <row r="465" spans="1:27" s="55" customFormat="1" ht="21" customHeight="1" x14ac:dyDescent="0.25">
      <c r="A465" s="56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73"/>
      <c r="M465" s="57"/>
      <c r="N465" s="100"/>
      <c r="O465" s="101" t="s">
        <v>68</v>
      </c>
      <c r="P465" s="101"/>
      <c r="Q465" s="101"/>
      <c r="R465" s="101">
        <v>0</v>
      </c>
      <c r="S465" s="105"/>
      <c r="T465" s="101" t="s">
        <v>68</v>
      </c>
      <c r="U465" s="177"/>
      <c r="V465" s="103"/>
      <c r="W465" s="177" t="str">
        <f t="shared" si="80"/>
        <v/>
      </c>
      <c r="X465" s="103"/>
      <c r="Y465" s="177" t="str">
        <f t="shared" si="81"/>
        <v/>
      </c>
      <c r="Z465" s="106"/>
      <c r="AA465" s="57"/>
    </row>
    <row r="466" spans="1:27" s="55" customFormat="1" ht="21" customHeight="1" x14ac:dyDescent="0.25">
      <c r="A466" s="56"/>
      <c r="B466" s="284" t="s">
        <v>116</v>
      </c>
      <c r="C466" s="284"/>
      <c r="D466" s="284"/>
      <c r="E466" s="284"/>
      <c r="F466" s="284"/>
      <c r="G466" s="284"/>
      <c r="H466" s="284"/>
      <c r="I466" s="284"/>
      <c r="J466" s="284"/>
      <c r="K466" s="284"/>
      <c r="L466" s="73"/>
      <c r="M466" s="57"/>
      <c r="N466" s="100"/>
      <c r="O466" s="101" t="s">
        <v>73</v>
      </c>
      <c r="P466" s="101"/>
      <c r="Q466" s="101"/>
      <c r="R466" s="101">
        <v>0</v>
      </c>
      <c r="S466" s="105"/>
      <c r="T466" s="101" t="s">
        <v>73</v>
      </c>
      <c r="U466" s="177"/>
      <c r="V466" s="103"/>
      <c r="W466" s="177" t="str">
        <f t="shared" si="80"/>
        <v/>
      </c>
      <c r="X466" s="103"/>
      <c r="Y466" s="177" t="str">
        <f t="shared" si="81"/>
        <v/>
      </c>
      <c r="Z466" s="106"/>
      <c r="AA466" s="57"/>
    </row>
    <row r="467" spans="1:27" s="55" customFormat="1" ht="21" customHeight="1" x14ac:dyDescent="0.25">
      <c r="A467" s="56"/>
      <c r="B467" s="284"/>
      <c r="C467" s="284"/>
      <c r="D467" s="284"/>
      <c r="E467" s="284"/>
      <c r="F467" s="284"/>
      <c r="G467" s="284"/>
      <c r="H467" s="284"/>
      <c r="I467" s="284"/>
      <c r="J467" s="284"/>
      <c r="K467" s="284"/>
      <c r="L467" s="73"/>
      <c r="M467" s="57"/>
      <c r="N467" s="100"/>
      <c r="O467" s="101" t="s">
        <v>74</v>
      </c>
      <c r="P467" s="101"/>
      <c r="Q467" s="101"/>
      <c r="R467" s="101" t="str">
        <f t="shared" si="79"/>
        <v/>
      </c>
      <c r="S467" s="105"/>
      <c r="T467" s="101" t="s">
        <v>74</v>
      </c>
      <c r="U467" s="177"/>
      <c r="V467" s="103"/>
      <c r="W467" s="177" t="str">
        <f t="shared" si="80"/>
        <v/>
      </c>
      <c r="X467" s="103"/>
      <c r="Y467" s="177" t="str">
        <f t="shared" si="81"/>
        <v/>
      </c>
      <c r="Z467" s="106"/>
      <c r="AA467" s="57"/>
    </row>
    <row r="468" spans="1:27" s="55" customFormat="1" ht="21" customHeight="1" thickBot="1" x14ac:dyDescent="0.3">
      <c r="A468" s="86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8"/>
      <c r="N468" s="107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9"/>
    </row>
    <row r="469" spans="1:27" s="57" customFormat="1" ht="21" customHeight="1" thickBot="1" x14ac:dyDescent="0.3"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  <c r="Z469" s="105"/>
    </row>
    <row r="470" spans="1:27" s="55" customFormat="1" ht="21" customHeight="1" x14ac:dyDescent="0.25">
      <c r="A470" s="297" t="s">
        <v>56</v>
      </c>
      <c r="B470" s="298"/>
      <c r="C470" s="298"/>
      <c r="D470" s="298"/>
      <c r="E470" s="298"/>
      <c r="F470" s="298"/>
      <c r="G470" s="298"/>
      <c r="H470" s="298"/>
      <c r="I470" s="298"/>
      <c r="J470" s="298"/>
      <c r="K470" s="298"/>
      <c r="L470" s="299"/>
      <c r="M470" s="54"/>
      <c r="N470" s="93"/>
      <c r="O470" s="285" t="s">
        <v>58</v>
      </c>
      <c r="P470" s="286"/>
      <c r="Q470" s="286"/>
      <c r="R470" s="287"/>
      <c r="S470" s="94"/>
      <c r="T470" s="285" t="s">
        <v>59</v>
      </c>
      <c r="U470" s="286"/>
      <c r="V470" s="286"/>
      <c r="W470" s="286"/>
      <c r="X470" s="286"/>
      <c r="Y470" s="287"/>
      <c r="Z470" s="95"/>
      <c r="AA470" s="54"/>
    </row>
    <row r="471" spans="1:27" s="55" customFormat="1" ht="21" customHeight="1" x14ac:dyDescent="0.25">
      <c r="A471" s="56"/>
      <c r="B471" s="57"/>
      <c r="C471" s="288" t="s">
        <v>114</v>
      </c>
      <c r="D471" s="288"/>
      <c r="E471" s="288"/>
      <c r="F471" s="288"/>
      <c r="G471" s="58" t="str">
        <f>$J$1</f>
        <v>June</v>
      </c>
      <c r="H471" s="289">
        <f>$K$1</f>
        <v>2019</v>
      </c>
      <c r="I471" s="289"/>
      <c r="J471" s="57"/>
      <c r="K471" s="59"/>
      <c r="L471" s="60"/>
      <c r="M471" s="59"/>
      <c r="N471" s="96"/>
      <c r="O471" s="97" t="s">
        <v>69</v>
      </c>
      <c r="P471" s="97" t="s">
        <v>7</v>
      </c>
      <c r="Q471" s="97" t="s">
        <v>6</v>
      </c>
      <c r="R471" s="97" t="s">
        <v>70</v>
      </c>
      <c r="S471" s="98"/>
      <c r="T471" s="97" t="s">
        <v>69</v>
      </c>
      <c r="U471" s="97" t="s">
        <v>71</v>
      </c>
      <c r="V471" s="97" t="s">
        <v>29</v>
      </c>
      <c r="W471" s="97" t="s">
        <v>28</v>
      </c>
      <c r="X471" s="97" t="s">
        <v>30</v>
      </c>
      <c r="Y471" s="97" t="s">
        <v>75</v>
      </c>
      <c r="Z471" s="99"/>
      <c r="AA471" s="59"/>
    </row>
    <row r="472" spans="1:27" s="55" customFormat="1" ht="21" customHeight="1" x14ac:dyDescent="0.25">
      <c r="A472" s="56"/>
      <c r="B472" s="57"/>
      <c r="C472" s="57"/>
      <c r="D472" s="62"/>
      <c r="E472" s="62"/>
      <c r="F472" s="62"/>
      <c r="G472" s="62"/>
      <c r="H472" s="62"/>
      <c r="I472" s="57"/>
      <c r="J472" s="63" t="s">
        <v>1</v>
      </c>
      <c r="K472" s="64">
        <v>16000</v>
      </c>
      <c r="L472" s="65"/>
      <c r="M472" s="57"/>
      <c r="N472" s="100"/>
      <c r="O472" s="101" t="s">
        <v>61</v>
      </c>
      <c r="P472" s="101">
        <v>9</v>
      </c>
      <c r="Q472" s="101"/>
      <c r="R472" s="101">
        <f>15-Q472</f>
        <v>15</v>
      </c>
      <c r="S472" s="102"/>
      <c r="T472" s="101" t="s">
        <v>61</v>
      </c>
      <c r="U472" s="103"/>
      <c r="V472" s="103"/>
      <c r="W472" s="103">
        <f>V472+U472</f>
        <v>0</v>
      </c>
      <c r="X472" s="103"/>
      <c r="Y472" s="103">
        <f>W472-X472</f>
        <v>0</v>
      </c>
      <c r="Z472" s="99"/>
      <c r="AA472" s="57"/>
    </row>
    <row r="473" spans="1:27" s="55" customFormat="1" ht="21" customHeight="1" x14ac:dyDescent="0.25">
      <c r="A473" s="56"/>
      <c r="B473" s="57" t="s">
        <v>0</v>
      </c>
      <c r="C473" s="67" t="s">
        <v>94</v>
      </c>
      <c r="D473" s="57"/>
      <c r="E473" s="57"/>
      <c r="F473" s="57"/>
      <c r="G473" s="57"/>
      <c r="H473" s="68"/>
      <c r="I473" s="62"/>
      <c r="J473" s="57"/>
      <c r="K473" s="57"/>
      <c r="L473" s="69"/>
      <c r="M473" s="54"/>
      <c r="N473" s="104"/>
      <c r="O473" s="101" t="s">
        <v>87</v>
      </c>
      <c r="P473" s="101">
        <f>28-12</f>
        <v>16</v>
      </c>
      <c r="Q473" s="101">
        <v>12</v>
      </c>
      <c r="R473" s="101">
        <f>R472-Q473</f>
        <v>3</v>
      </c>
      <c r="S473" s="105"/>
      <c r="T473" s="101" t="s">
        <v>87</v>
      </c>
      <c r="U473" s="177"/>
      <c r="V473" s="103">
        <v>5000</v>
      </c>
      <c r="W473" s="103">
        <f>V473+U473</f>
        <v>5000</v>
      </c>
      <c r="X473" s="103">
        <v>5000</v>
      </c>
      <c r="Y473" s="177">
        <f>IF(W473="","",W473-X473)</f>
        <v>0</v>
      </c>
      <c r="Z473" s="106"/>
      <c r="AA473" s="54"/>
    </row>
    <row r="474" spans="1:27" s="55" customFormat="1" ht="21" customHeight="1" x14ac:dyDescent="0.25">
      <c r="A474" s="56"/>
      <c r="B474" s="71" t="s">
        <v>57</v>
      </c>
      <c r="C474" s="72"/>
      <c r="D474" s="57"/>
      <c r="E474" s="57"/>
      <c r="F474" s="290" t="s">
        <v>59</v>
      </c>
      <c r="G474" s="290"/>
      <c r="H474" s="57"/>
      <c r="I474" s="290" t="s">
        <v>60</v>
      </c>
      <c r="J474" s="290"/>
      <c r="K474" s="290"/>
      <c r="L474" s="73"/>
      <c r="M474" s="57"/>
      <c r="N474" s="100"/>
      <c r="O474" s="101" t="s">
        <v>62</v>
      </c>
      <c r="P474" s="101">
        <v>21</v>
      </c>
      <c r="Q474" s="101">
        <v>10</v>
      </c>
      <c r="R474" s="101">
        <v>0</v>
      </c>
      <c r="S474" s="105"/>
      <c r="T474" s="101" t="s">
        <v>62</v>
      </c>
      <c r="U474" s="177"/>
      <c r="V474" s="103">
        <v>5000</v>
      </c>
      <c r="W474" s="103">
        <f>V474+U474</f>
        <v>5000</v>
      </c>
      <c r="X474" s="103">
        <v>5000</v>
      </c>
      <c r="Y474" s="177">
        <f t="shared" ref="Y474:Y483" si="82">IF(W474="","",W474-X474)</f>
        <v>0</v>
      </c>
      <c r="Z474" s="106"/>
      <c r="AA474" s="57"/>
    </row>
    <row r="475" spans="1:27" s="55" customFormat="1" ht="21" customHeight="1" x14ac:dyDescent="0.25">
      <c r="A475" s="56"/>
      <c r="B475" s="57"/>
      <c r="C475" s="57"/>
      <c r="D475" s="57"/>
      <c r="E475" s="57"/>
      <c r="F475" s="57"/>
      <c r="G475" s="57"/>
      <c r="H475" s="74"/>
      <c r="L475" s="61"/>
      <c r="M475" s="57"/>
      <c r="N475" s="100"/>
      <c r="O475" s="101" t="s">
        <v>63</v>
      </c>
      <c r="P475" s="101">
        <v>13</v>
      </c>
      <c r="Q475" s="101">
        <v>17</v>
      </c>
      <c r="R475" s="101">
        <v>0</v>
      </c>
      <c r="S475" s="105"/>
      <c r="T475" s="101" t="s">
        <v>63</v>
      </c>
      <c r="U475" s="177"/>
      <c r="V475" s="103"/>
      <c r="W475" s="177" t="str">
        <f t="shared" ref="W475:W483" si="83">IF(U475="","",U475+V475)</f>
        <v/>
      </c>
      <c r="X475" s="103"/>
      <c r="Y475" s="177" t="str">
        <f t="shared" si="82"/>
        <v/>
      </c>
      <c r="Z475" s="106"/>
      <c r="AA475" s="57"/>
    </row>
    <row r="476" spans="1:27" s="55" customFormat="1" ht="21" customHeight="1" x14ac:dyDescent="0.25">
      <c r="A476" s="56"/>
      <c r="B476" s="291" t="s">
        <v>58</v>
      </c>
      <c r="C476" s="292"/>
      <c r="D476" s="57"/>
      <c r="E476" s="57"/>
      <c r="F476" s="75" t="s">
        <v>80</v>
      </c>
      <c r="G476" s="70" t="str">
        <f>IF($J$1="January",U472,IF($J$1="February",U473,IF($J$1="March",U474,IF($J$1="April",U475,IF($J$1="May",U476,IF($J$1="June",U477,IF($J$1="July",U478,IF($J$1="August",U479,IF($J$1="August",U479,IF($J$1="September",U480,IF($J$1="October",U481,IF($J$1="November",U482,IF($J$1="December",U483)))))))))))))</f>
        <v/>
      </c>
      <c r="H476" s="74"/>
      <c r="I476" s="76">
        <v>3</v>
      </c>
      <c r="J476" s="77" t="s">
        <v>77</v>
      </c>
      <c r="K476" s="78">
        <f>K472/$K$2*I476</f>
        <v>1600</v>
      </c>
      <c r="L476" s="79"/>
      <c r="M476" s="57"/>
      <c r="N476" s="100"/>
      <c r="O476" s="101" t="s">
        <v>64</v>
      </c>
      <c r="P476" s="101">
        <v>18</v>
      </c>
      <c r="Q476" s="101">
        <v>13</v>
      </c>
      <c r="R476" s="101">
        <v>0</v>
      </c>
      <c r="S476" s="105"/>
      <c r="T476" s="101" t="s">
        <v>64</v>
      </c>
      <c r="U476" s="177"/>
      <c r="V476" s="103"/>
      <c r="W476" s="177" t="str">
        <f>IF(U476="","",U476+V476)</f>
        <v/>
      </c>
      <c r="X476" s="103"/>
      <c r="Y476" s="177" t="str">
        <f t="shared" si="82"/>
        <v/>
      </c>
      <c r="Z476" s="106"/>
      <c r="AA476" s="57"/>
    </row>
    <row r="477" spans="1:27" s="55" customFormat="1" ht="21" customHeight="1" x14ac:dyDescent="0.25">
      <c r="A477" s="56"/>
      <c r="B477" s="66"/>
      <c r="C477" s="66"/>
      <c r="D477" s="57"/>
      <c r="E477" s="57"/>
      <c r="F477" s="75" t="s">
        <v>29</v>
      </c>
      <c r="G477" s="70">
        <f>IF($J$1="January",V472,IF($J$1="February",V473,IF($J$1="March",V474,IF($J$1="April",V475,IF($J$1="May",V476,IF($J$1="June",V477,IF($J$1="July",V478,IF($J$1="August",V479,IF($J$1="August",V479,IF($J$1="September",V480,IF($J$1="October",V481,IF($J$1="November",V482,IF($J$1="December",V483)))))))))))))</f>
        <v>210</v>
      </c>
      <c r="H477" s="74"/>
      <c r="I477" s="120"/>
      <c r="J477" s="77" t="s">
        <v>78</v>
      </c>
      <c r="K477" s="80">
        <f>K472/$K$2/8*I477</f>
        <v>0</v>
      </c>
      <c r="L477" s="81"/>
      <c r="M477" s="57"/>
      <c r="N477" s="100"/>
      <c r="O477" s="101" t="s">
        <v>65</v>
      </c>
      <c r="P477" s="101"/>
      <c r="Q477" s="101"/>
      <c r="R477" s="101">
        <v>0</v>
      </c>
      <c r="S477" s="105"/>
      <c r="T477" s="101" t="s">
        <v>65</v>
      </c>
      <c r="U477" s="177" t="str">
        <f>Y476</f>
        <v/>
      </c>
      <c r="V477" s="103">
        <f>9500-9290</f>
        <v>210</v>
      </c>
      <c r="W477" s="103">
        <f>V477</f>
        <v>210</v>
      </c>
      <c r="X477" s="103">
        <v>210</v>
      </c>
      <c r="Y477" s="177">
        <f t="shared" si="82"/>
        <v>0</v>
      </c>
      <c r="Z477" s="106"/>
      <c r="AA477" s="57"/>
    </row>
    <row r="478" spans="1:27" s="55" customFormat="1" ht="21" customHeight="1" x14ac:dyDescent="0.25">
      <c r="A478" s="56"/>
      <c r="B478" s="75" t="s">
        <v>7</v>
      </c>
      <c r="C478" s="66">
        <f>IF($J$1="January",P472,IF($J$1="February",P473,IF($J$1="March",P474,IF($J$1="April",P475,IF($J$1="May",P476,IF($J$1="June",P477,IF($J$1="July",P478,IF($J$1="August",P479,IF($J$1="August",P479,IF($J$1="September",P480,IF($J$1="October",P481,IF($J$1="November",P482,IF($J$1="December",P483)))))))))))))</f>
        <v>0</v>
      </c>
      <c r="D478" s="57"/>
      <c r="E478" s="57"/>
      <c r="F478" s="75" t="s">
        <v>81</v>
      </c>
      <c r="G478" s="196">
        <f>IF($J$1="January",W472,IF($J$1="February",W473,IF($J$1="March",W474,IF($J$1="April",W475,IF($J$1="May",W476,IF($J$1="June",W477,IF($J$1="July",W478,IF($J$1="August",W479,IF($J$1="August",W479,IF($J$1="September",W480,IF($J$1="October",W481,IF($J$1="November",W482,IF($J$1="December",W483)))))))))))))</f>
        <v>210</v>
      </c>
      <c r="H478" s="74"/>
      <c r="I478" s="293" t="s">
        <v>85</v>
      </c>
      <c r="J478" s="294"/>
      <c r="K478" s="80">
        <f>K476+K477</f>
        <v>1600</v>
      </c>
      <c r="L478" s="81"/>
      <c r="M478" s="57"/>
      <c r="N478" s="100"/>
      <c r="O478" s="101" t="s">
        <v>66</v>
      </c>
      <c r="P478" s="101"/>
      <c r="Q478" s="101"/>
      <c r="R478" s="101">
        <v>0</v>
      </c>
      <c r="S478" s="105"/>
      <c r="T478" s="101" t="s">
        <v>66</v>
      </c>
      <c r="U478" s="177"/>
      <c r="V478" s="103"/>
      <c r="W478" s="177" t="str">
        <f t="shared" si="83"/>
        <v/>
      </c>
      <c r="X478" s="103"/>
      <c r="Y478" s="177" t="str">
        <f t="shared" si="82"/>
        <v/>
      </c>
      <c r="Z478" s="106"/>
      <c r="AA478" s="57"/>
    </row>
    <row r="479" spans="1:27" s="55" customFormat="1" ht="21" customHeight="1" x14ac:dyDescent="0.25">
      <c r="A479" s="56"/>
      <c r="B479" s="75" t="s">
        <v>6</v>
      </c>
      <c r="C479" s="66">
        <f>IF($J$1="January",Q472,IF($J$1="February",Q473,IF($J$1="March",Q474,IF($J$1="April",Q475,IF($J$1="May",Q476,IF($J$1="June",Q477,IF($J$1="July",Q478,IF($J$1="August",Q479,IF($J$1="August",Q479,IF($J$1="September",Q480,IF($J$1="October",Q481,IF($J$1="November",Q482,IF($J$1="December",Q483)))))))))))))</f>
        <v>0</v>
      </c>
      <c r="D479" s="57"/>
      <c r="E479" s="57"/>
      <c r="F479" s="75" t="s">
        <v>30</v>
      </c>
      <c r="G479" s="70">
        <f>IF($J$1="January",X472,IF($J$1="February",X473,IF($J$1="March",X474,IF($J$1="April",X475,IF($J$1="May",X476,IF($J$1="June",X477,IF($J$1="July",X478,IF($J$1="August",X479,IF($J$1="August",X479,IF($J$1="September",X480,IF($J$1="October",X481,IF($J$1="November",X482,IF($J$1="December",X483)))))))))))))</f>
        <v>210</v>
      </c>
      <c r="H479" s="74"/>
      <c r="I479" s="293" t="s">
        <v>86</v>
      </c>
      <c r="J479" s="294"/>
      <c r="K479" s="70">
        <f>G479</f>
        <v>210</v>
      </c>
      <c r="L479" s="82"/>
      <c r="M479" s="57"/>
      <c r="N479" s="100"/>
      <c r="O479" s="101" t="s">
        <v>67</v>
      </c>
      <c r="P479" s="101"/>
      <c r="Q479" s="101"/>
      <c r="R479" s="101">
        <v>0</v>
      </c>
      <c r="S479" s="105"/>
      <c r="T479" s="101" t="s">
        <v>67</v>
      </c>
      <c r="U479" s="177"/>
      <c r="V479" s="103"/>
      <c r="W479" s="177" t="str">
        <f t="shared" si="83"/>
        <v/>
      </c>
      <c r="X479" s="103"/>
      <c r="Y479" s="177" t="str">
        <f t="shared" si="82"/>
        <v/>
      </c>
      <c r="Z479" s="106"/>
      <c r="AA479" s="57"/>
    </row>
    <row r="480" spans="1:27" s="55" customFormat="1" ht="21" customHeight="1" x14ac:dyDescent="0.25">
      <c r="A480" s="56"/>
      <c r="B480" s="83" t="s">
        <v>84</v>
      </c>
      <c r="C480" s="66">
        <f>IF($J$1="January",R472,IF($J$1="February",R473,IF($J$1="March",R474,IF($J$1="April",R475,IF($J$1="May",R476,IF($J$1="June",R477,IF($J$1="July",R478,IF($J$1="August",R479,IF($J$1="August",R479,IF($J$1="September",R480,IF($J$1="October",R481,IF($J$1="November",R482,IF($J$1="December",R483)))))))))))))</f>
        <v>0</v>
      </c>
      <c r="D480" s="57"/>
      <c r="E480" s="57"/>
      <c r="F480" s="75" t="s">
        <v>83</v>
      </c>
      <c r="G480" s="70">
        <f>IF($J$1="January",Y472,IF($J$1="February",Y473,IF($J$1="March",Y474,IF($J$1="April",Y475,IF($J$1="May",Y476,IF($J$1="June",Y477,IF($J$1="July",Y478,IF($J$1="August",Y479,IF($J$1="August",Y479,IF($J$1="September",Y480,IF($J$1="October",Y481,IF($J$1="November",Y482,IF($J$1="December",Y483)))))))))))))</f>
        <v>0</v>
      </c>
      <c r="H480" s="57"/>
      <c r="I480" s="295" t="s">
        <v>79</v>
      </c>
      <c r="J480" s="296"/>
      <c r="K480" s="84">
        <f>K478-K479</f>
        <v>1390</v>
      </c>
      <c r="L480" s="85"/>
      <c r="M480" s="57"/>
      <c r="N480" s="100"/>
      <c r="O480" s="101" t="s">
        <v>72</v>
      </c>
      <c r="P480" s="101"/>
      <c r="Q480" s="101"/>
      <c r="R480" s="101">
        <v>0</v>
      </c>
      <c r="S480" s="105"/>
      <c r="T480" s="101" t="s">
        <v>72</v>
      </c>
      <c r="U480" s="177"/>
      <c r="V480" s="103"/>
      <c r="W480" s="177" t="str">
        <f t="shared" si="83"/>
        <v/>
      </c>
      <c r="X480" s="103"/>
      <c r="Y480" s="177" t="str">
        <f t="shared" si="82"/>
        <v/>
      </c>
      <c r="Z480" s="106"/>
      <c r="AA480" s="57"/>
    </row>
    <row r="481" spans="1:27" s="55" customFormat="1" ht="21" customHeight="1" x14ac:dyDescent="0.25">
      <c r="A481" s="56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73"/>
      <c r="M481" s="57"/>
      <c r="N481" s="100"/>
      <c r="O481" s="101" t="s">
        <v>68</v>
      </c>
      <c r="P481" s="101"/>
      <c r="Q481" s="101"/>
      <c r="R481" s="101">
        <v>0</v>
      </c>
      <c r="S481" s="105"/>
      <c r="T481" s="101" t="s">
        <v>68</v>
      </c>
      <c r="U481" s="177"/>
      <c r="V481" s="103"/>
      <c r="W481" s="177" t="str">
        <f t="shared" si="83"/>
        <v/>
      </c>
      <c r="X481" s="103"/>
      <c r="Y481" s="177" t="str">
        <f t="shared" si="82"/>
        <v/>
      </c>
      <c r="Z481" s="106"/>
      <c r="AA481" s="57"/>
    </row>
    <row r="482" spans="1:27" s="55" customFormat="1" ht="21" customHeight="1" x14ac:dyDescent="0.25">
      <c r="A482" s="56"/>
      <c r="B482" s="284" t="s">
        <v>116</v>
      </c>
      <c r="C482" s="284"/>
      <c r="D482" s="284"/>
      <c r="E482" s="284"/>
      <c r="F482" s="284"/>
      <c r="G482" s="284"/>
      <c r="H482" s="284"/>
      <c r="I482" s="284"/>
      <c r="J482" s="284"/>
      <c r="K482" s="284"/>
      <c r="L482" s="73"/>
      <c r="M482" s="57"/>
      <c r="N482" s="100"/>
      <c r="O482" s="101" t="s">
        <v>73</v>
      </c>
      <c r="P482" s="101"/>
      <c r="Q482" s="101"/>
      <c r="R482" s="101">
        <v>0</v>
      </c>
      <c r="S482" s="105"/>
      <c r="T482" s="101" t="s">
        <v>73</v>
      </c>
      <c r="U482" s="177" t="str">
        <f t="shared" ref="U482:U483" si="84">Y481</f>
        <v/>
      </c>
      <c r="V482" s="103"/>
      <c r="W482" s="177" t="str">
        <f t="shared" si="83"/>
        <v/>
      </c>
      <c r="X482" s="103"/>
      <c r="Y482" s="177" t="str">
        <f t="shared" si="82"/>
        <v/>
      </c>
      <c r="Z482" s="106"/>
      <c r="AA482" s="57"/>
    </row>
    <row r="483" spans="1:27" s="55" customFormat="1" ht="21" customHeight="1" x14ac:dyDescent="0.25">
      <c r="A483" s="56"/>
      <c r="B483" s="284"/>
      <c r="C483" s="284"/>
      <c r="D483" s="284"/>
      <c r="E483" s="284"/>
      <c r="F483" s="284"/>
      <c r="G483" s="284"/>
      <c r="H483" s="284"/>
      <c r="I483" s="284"/>
      <c r="J483" s="284"/>
      <c r="K483" s="284"/>
      <c r="L483" s="73"/>
      <c r="M483" s="57"/>
      <c r="N483" s="100"/>
      <c r="O483" s="101" t="s">
        <v>74</v>
      </c>
      <c r="P483" s="101"/>
      <c r="Q483" s="101"/>
      <c r="R483" s="101">
        <v>0</v>
      </c>
      <c r="S483" s="105"/>
      <c r="T483" s="101" t="s">
        <v>74</v>
      </c>
      <c r="U483" s="177" t="str">
        <f t="shared" si="84"/>
        <v/>
      </c>
      <c r="V483" s="103"/>
      <c r="W483" s="177" t="str">
        <f t="shared" si="83"/>
        <v/>
      </c>
      <c r="X483" s="103"/>
      <c r="Y483" s="177" t="str">
        <f t="shared" si="82"/>
        <v/>
      </c>
      <c r="Z483" s="106"/>
      <c r="AA483" s="57"/>
    </row>
    <row r="484" spans="1:27" s="55" customFormat="1" ht="21" customHeight="1" thickBot="1" x14ac:dyDescent="0.3">
      <c r="A484" s="86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8"/>
      <c r="N484" s="107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9"/>
    </row>
    <row r="485" spans="1:27" s="57" customFormat="1" ht="21" customHeight="1" thickBot="1" x14ac:dyDescent="0.3"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  <c r="Z485" s="105"/>
    </row>
    <row r="486" spans="1:27" s="55" customFormat="1" ht="21" customHeight="1" x14ac:dyDescent="0.25">
      <c r="A486" s="297" t="s">
        <v>56</v>
      </c>
      <c r="B486" s="298"/>
      <c r="C486" s="298"/>
      <c r="D486" s="298"/>
      <c r="E486" s="298"/>
      <c r="F486" s="298"/>
      <c r="G486" s="298"/>
      <c r="H486" s="298"/>
      <c r="I486" s="298"/>
      <c r="J486" s="298"/>
      <c r="K486" s="298"/>
      <c r="L486" s="299"/>
      <c r="M486" s="54"/>
      <c r="N486" s="93"/>
      <c r="O486" s="285" t="s">
        <v>58</v>
      </c>
      <c r="P486" s="286"/>
      <c r="Q486" s="286"/>
      <c r="R486" s="287"/>
      <c r="S486" s="94"/>
      <c r="T486" s="285" t="s">
        <v>59</v>
      </c>
      <c r="U486" s="286"/>
      <c r="V486" s="286"/>
      <c r="W486" s="286"/>
      <c r="X486" s="286"/>
      <c r="Y486" s="287"/>
      <c r="Z486" s="95"/>
      <c r="AA486" s="54"/>
    </row>
    <row r="487" spans="1:27" s="55" customFormat="1" ht="21" customHeight="1" x14ac:dyDescent="0.25">
      <c r="A487" s="56"/>
      <c r="B487" s="57"/>
      <c r="C487" s="288" t="s">
        <v>114</v>
      </c>
      <c r="D487" s="288"/>
      <c r="E487" s="288"/>
      <c r="F487" s="288"/>
      <c r="G487" s="58" t="str">
        <f>$J$1</f>
        <v>June</v>
      </c>
      <c r="H487" s="289">
        <f>$K$1</f>
        <v>2019</v>
      </c>
      <c r="I487" s="289"/>
      <c r="J487" s="57"/>
      <c r="K487" s="59"/>
      <c r="L487" s="60"/>
      <c r="M487" s="59"/>
      <c r="N487" s="96"/>
      <c r="O487" s="97" t="s">
        <v>69</v>
      </c>
      <c r="P487" s="97" t="s">
        <v>7</v>
      </c>
      <c r="Q487" s="97" t="s">
        <v>6</v>
      </c>
      <c r="R487" s="97" t="s">
        <v>70</v>
      </c>
      <c r="S487" s="98"/>
      <c r="T487" s="97" t="s">
        <v>69</v>
      </c>
      <c r="U487" s="97" t="s">
        <v>71</v>
      </c>
      <c r="V487" s="97" t="s">
        <v>29</v>
      </c>
      <c r="W487" s="97" t="s">
        <v>28</v>
      </c>
      <c r="X487" s="97" t="s">
        <v>30</v>
      </c>
      <c r="Y487" s="97" t="s">
        <v>75</v>
      </c>
      <c r="Z487" s="99"/>
      <c r="AA487" s="59"/>
    </row>
    <row r="488" spans="1:27" s="55" customFormat="1" ht="21" customHeight="1" x14ac:dyDescent="0.25">
      <c r="A488" s="56"/>
      <c r="B488" s="57"/>
      <c r="C488" s="57"/>
      <c r="D488" s="62"/>
      <c r="E488" s="62"/>
      <c r="F488" s="62"/>
      <c r="G488" s="62"/>
      <c r="H488" s="62"/>
      <c r="I488" s="57"/>
      <c r="J488" s="63" t="s">
        <v>1</v>
      </c>
      <c r="K488" s="260">
        <v>18000</v>
      </c>
      <c r="L488" s="65"/>
      <c r="M488" s="57"/>
      <c r="N488" s="100"/>
      <c r="O488" s="101" t="s">
        <v>61</v>
      </c>
      <c r="P488" s="101"/>
      <c r="Q488" s="101"/>
      <c r="R488" s="101">
        <v>0</v>
      </c>
      <c r="S488" s="102"/>
      <c r="T488" s="101" t="s">
        <v>61</v>
      </c>
      <c r="U488" s="103"/>
      <c r="V488" s="103"/>
      <c r="W488" s="103">
        <f>V488+U488</f>
        <v>0</v>
      </c>
      <c r="X488" s="103"/>
      <c r="Y488" s="103">
        <f>W488-X488</f>
        <v>0</v>
      </c>
      <c r="Z488" s="99"/>
      <c r="AA488" s="57"/>
    </row>
    <row r="489" spans="1:27" s="55" customFormat="1" ht="21" customHeight="1" x14ac:dyDescent="0.25">
      <c r="A489" s="56"/>
      <c r="B489" s="57" t="s">
        <v>0</v>
      </c>
      <c r="C489" s="67" t="s">
        <v>192</v>
      </c>
      <c r="D489" s="57"/>
      <c r="E489" s="57"/>
      <c r="F489" s="57"/>
      <c r="G489" s="57"/>
      <c r="H489" s="68"/>
      <c r="I489" s="62"/>
      <c r="J489" s="57"/>
      <c r="K489" s="57"/>
      <c r="L489" s="69"/>
      <c r="M489" s="54"/>
      <c r="N489" s="104"/>
      <c r="O489" s="101" t="s">
        <v>87</v>
      </c>
      <c r="P489" s="101"/>
      <c r="Q489" s="101"/>
      <c r="R489" s="101" t="str">
        <f>IF(Q489="","",R488-Q489)</f>
        <v/>
      </c>
      <c r="S489" s="105"/>
      <c r="T489" s="101" t="s">
        <v>87</v>
      </c>
      <c r="U489" s="177"/>
      <c r="V489" s="103"/>
      <c r="W489" s="177" t="str">
        <f>IF(U489="","",U489+V489)</f>
        <v/>
      </c>
      <c r="X489" s="103"/>
      <c r="Y489" s="177" t="str">
        <f>IF(W489="","",W489-X489)</f>
        <v/>
      </c>
      <c r="Z489" s="106"/>
      <c r="AA489" s="54"/>
    </row>
    <row r="490" spans="1:27" s="55" customFormat="1" ht="21" customHeight="1" x14ac:dyDescent="0.25">
      <c r="A490" s="56"/>
      <c r="B490" s="71" t="s">
        <v>57</v>
      </c>
      <c r="C490" s="72"/>
      <c r="D490" s="57"/>
      <c r="E490" s="57"/>
      <c r="F490" s="290" t="s">
        <v>59</v>
      </c>
      <c r="G490" s="290"/>
      <c r="H490" s="57"/>
      <c r="I490" s="290" t="s">
        <v>60</v>
      </c>
      <c r="J490" s="290"/>
      <c r="K490" s="290"/>
      <c r="L490" s="73"/>
      <c r="M490" s="57"/>
      <c r="N490" s="100"/>
      <c r="O490" s="101" t="s">
        <v>62</v>
      </c>
      <c r="P490" s="101"/>
      <c r="Q490" s="101"/>
      <c r="R490" s="101">
        <v>0</v>
      </c>
      <c r="S490" s="105"/>
      <c r="T490" s="101" t="s">
        <v>62</v>
      </c>
      <c r="U490" s="177" t="str">
        <f>IF($J$1="April",Y489,Y489)</f>
        <v/>
      </c>
      <c r="V490" s="103"/>
      <c r="W490" s="177" t="str">
        <f t="shared" ref="W490:W499" si="85">IF(U490="","",U490+V490)</f>
        <v/>
      </c>
      <c r="X490" s="103"/>
      <c r="Y490" s="177" t="str">
        <f t="shared" ref="Y490:Y499" si="86">IF(W490="","",W490-X490)</f>
        <v/>
      </c>
      <c r="Z490" s="106"/>
      <c r="AA490" s="57"/>
    </row>
    <row r="491" spans="1:27" s="55" customFormat="1" ht="21" customHeight="1" x14ac:dyDescent="0.25">
      <c r="A491" s="56"/>
      <c r="B491" s="57"/>
      <c r="C491" s="57"/>
      <c r="D491" s="57"/>
      <c r="E491" s="57"/>
      <c r="F491" s="57"/>
      <c r="G491" s="57"/>
      <c r="H491" s="74"/>
      <c r="L491" s="61"/>
      <c r="M491" s="57"/>
      <c r="N491" s="100"/>
      <c r="O491" s="101" t="s">
        <v>63</v>
      </c>
      <c r="P491" s="101"/>
      <c r="Q491" s="101"/>
      <c r="R491" s="101">
        <v>0</v>
      </c>
      <c r="S491" s="105"/>
      <c r="T491" s="101" t="s">
        <v>63</v>
      </c>
      <c r="U491" s="177" t="str">
        <f>IF($J$1="April",Y490,Y490)</f>
        <v/>
      </c>
      <c r="V491" s="103"/>
      <c r="W491" s="177" t="str">
        <f t="shared" si="85"/>
        <v/>
      </c>
      <c r="X491" s="103"/>
      <c r="Y491" s="177" t="str">
        <f t="shared" si="86"/>
        <v/>
      </c>
      <c r="Z491" s="106"/>
      <c r="AA491" s="57"/>
    </row>
    <row r="492" spans="1:27" s="55" customFormat="1" ht="21" customHeight="1" x14ac:dyDescent="0.25">
      <c r="A492" s="56"/>
      <c r="B492" s="291" t="s">
        <v>58</v>
      </c>
      <c r="C492" s="292"/>
      <c r="D492" s="57"/>
      <c r="E492" s="57"/>
      <c r="F492" s="75" t="s">
        <v>80</v>
      </c>
      <c r="G492" s="70" t="str">
        <f>IF($J$1="January",U488,IF($J$1="February",U489,IF($J$1="March",U490,IF($J$1="April",U491,IF($J$1="May",U492,IF($J$1="June",U493,IF($J$1="July",U494,IF($J$1="August",U495,IF($J$1="August",U495,IF($J$1="September",U496,IF($J$1="October",U497,IF($J$1="November",U498,IF($J$1="December",U499)))))))))))))</f>
        <v/>
      </c>
      <c r="H492" s="74"/>
      <c r="I492" s="76">
        <f>IF(C496&gt;0,$K$2,C494)</f>
        <v>20</v>
      </c>
      <c r="J492" s="77" t="s">
        <v>77</v>
      </c>
      <c r="K492" s="78">
        <f>K488/$K$2*I492</f>
        <v>12000</v>
      </c>
      <c r="L492" s="79"/>
      <c r="M492" s="57"/>
      <c r="N492" s="100"/>
      <c r="O492" s="101" t="s">
        <v>64</v>
      </c>
      <c r="P492" s="101"/>
      <c r="Q492" s="101"/>
      <c r="R492" s="101">
        <v>0</v>
      </c>
      <c r="S492" s="105"/>
      <c r="T492" s="101" t="s">
        <v>64</v>
      </c>
      <c r="U492" s="177" t="str">
        <f>IF($J$1="May",Y491,Y491)</f>
        <v/>
      </c>
      <c r="V492" s="103"/>
      <c r="W492" s="177" t="str">
        <f t="shared" si="85"/>
        <v/>
      </c>
      <c r="X492" s="103"/>
      <c r="Y492" s="177" t="str">
        <f t="shared" si="86"/>
        <v/>
      </c>
      <c r="Z492" s="106"/>
      <c r="AA492" s="57"/>
    </row>
    <row r="493" spans="1:27" s="55" customFormat="1" ht="21" customHeight="1" x14ac:dyDescent="0.25">
      <c r="A493" s="56"/>
      <c r="B493" s="66"/>
      <c r="C493" s="66"/>
      <c r="D493" s="57"/>
      <c r="E493" s="57"/>
      <c r="F493" s="75" t="s">
        <v>29</v>
      </c>
      <c r="G493" s="70">
        <f>IF($J$1="January",V488,IF($J$1="February",V489,IF($J$1="March",V490,IF($J$1="April",V491,IF($J$1="May",V492,IF($J$1="June",V493,IF($J$1="July",V494,IF($J$1="August",V495,IF($J$1="August",V495,IF($J$1="September",V496,IF($J$1="October",V497,IF($J$1="November",V498,IF($J$1="December",V499)))))))))))))</f>
        <v>0</v>
      </c>
      <c r="H493" s="74"/>
      <c r="I493" s="120">
        <v>42</v>
      </c>
      <c r="J493" s="77" t="s">
        <v>78</v>
      </c>
      <c r="K493" s="80">
        <f>K488/$K$2/8*I493</f>
        <v>3150</v>
      </c>
      <c r="L493" s="81"/>
      <c r="M493" s="57"/>
      <c r="N493" s="100"/>
      <c r="O493" s="101" t="s">
        <v>65</v>
      </c>
      <c r="P493" s="101">
        <v>20</v>
      </c>
      <c r="Q493" s="101">
        <v>10</v>
      </c>
      <c r="R493" s="101">
        <v>0</v>
      </c>
      <c r="S493" s="105"/>
      <c r="T493" s="101" t="s">
        <v>65</v>
      </c>
      <c r="U493" s="177" t="str">
        <f>IF($J$1="May",Y492,Y492)</f>
        <v/>
      </c>
      <c r="V493" s="103"/>
      <c r="W493" s="177" t="str">
        <f t="shared" si="85"/>
        <v/>
      </c>
      <c r="X493" s="103"/>
      <c r="Y493" s="177" t="str">
        <f t="shared" si="86"/>
        <v/>
      </c>
      <c r="Z493" s="106"/>
      <c r="AA493" s="57"/>
    </row>
    <row r="494" spans="1:27" s="55" customFormat="1" ht="21" customHeight="1" x14ac:dyDescent="0.25">
      <c r="A494" s="56"/>
      <c r="B494" s="75" t="s">
        <v>7</v>
      </c>
      <c r="C494" s="66">
        <f>IF($J$1="January",P488,IF($J$1="February",P489,IF($J$1="March",P490,IF($J$1="April",P491,IF($J$1="May",P492,IF($J$1="June",P493,IF($J$1="July",P494,IF($J$1="August",P495,IF($J$1="August",P495,IF($J$1="September",P496,IF($J$1="October",P497,IF($J$1="November",P498,IF($J$1="December",P499)))))))))))))</f>
        <v>20</v>
      </c>
      <c r="D494" s="57"/>
      <c r="E494" s="57"/>
      <c r="F494" s="75" t="s">
        <v>81</v>
      </c>
      <c r="G494" s="70" t="str">
        <f>IF($J$1="January",W488,IF($J$1="February",W489,IF($J$1="March",W490,IF($J$1="April",W491,IF($J$1="May",W492,IF($J$1="June",W493,IF($J$1="July",W494,IF($J$1="August",W495,IF($J$1="August",W495,IF($J$1="September",W496,IF($J$1="October",W497,IF($J$1="November",W498,IF($J$1="December",W499)))))))))))))</f>
        <v/>
      </c>
      <c r="H494" s="74"/>
      <c r="I494" s="293" t="s">
        <v>85</v>
      </c>
      <c r="J494" s="294"/>
      <c r="K494" s="80">
        <f>K492+K493</f>
        <v>15150</v>
      </c>
      <c r="L494" s="81"/>
      <c r="M494" s="57"/>
      <c r="N494" s="100"/>
      <c r="O494" s="101" t="s">
        <v>66</v>
      </c>
      <c r="P494" s="101"/>
      <c r="Q494" s="101"/>
      <c r="R494" s="101" t="str">
        <f t="shared" ref="R494:R499" si="87">IF(Q494="","",R493-Q494)</f>
        <v/>
      </c>
      <c r="S494" s="105"/>
      <c r="T494" s="101" t="s">
        <v>66</v>
      </c>
      <c r="U494" s="177" t="str">
        <f>IF($J$1="July",Y493,"")</f>
        <v/>
      </c>
      <c r="V494" s="103"/>
      <c r="W494" s="177" t="str">
        <f t="shared" si="85"/>
        <v/>
      </c>
      <c r="X494" s="103"/>
      <c r="Y494" s="177" t="str">
        <f t="shared" si="86"/>
        <v/>
      </c>
      <c r="Z494" s="106"/>
      <c r="AA494" s="57"/>
    </row>
    <row r="495" spans="1:27" s="55" customFormat="1" ht="21" customHeight="1" x14ac:dyDescent="0.25">
      <c r="A495" s="56"/>
      <c r="B495" s="75" t="s">
        <v>6</v>
      </c>
      <c r="C495" s="66">
        <f>IF($J$1="January",Q488,IF($J$1="February",Q489,IF($J$1="March",Q490,IF($J$1="April",Q491,IF($J$1="May",Q492,IF($J$1="June",Q493,IF($J$1="July",Q494,IF($J$1="August",Q495,IF($J$1="August",Q495,IF($J$1="September",Q496,IF($J$1="October",Q497,IF($J$1="November",Q498,IF($J$1="December",Q499)))))))))))))</f>
        <v>10</v>
      </c>
      <c r="D495" s="57"/>
      <c r="E495" s="57"/>
      <c r="F495" s="75" t="s">
        <v>30</v>
      </c>
      <c r="G495" s="70">
        <f>IF($J$1="January",X488,IF($J$1="February",X489,IF($J$1="March",X490,IF($J$1="April",X491,IF($J$1="May",X492,IF($J$1="June",X493,IF($J$1="July",X494,IF($J$1="August",X495,IF($J$1="August",X495,IF($J$1="September",X496,IF($J$1="October",X497,IF($J$1="November",X498,IF($J$1="December",X499)))))))))))))</f>
        <v>0</v>
      </c>
      <c r="H495" s="74"/>
      <c r="I495" s="293" t="s">
        <v>86</v>
      </c>
      <c r="J495" s="294"/>
      <c r="K495" s="70">
        <f>G495</f>
        <v>0</v>
      </c>
      <c r="L495" s="82"/>
      <c r="M495" s="57"/>
      <c r="N495" s="100"/>
      <c r="O495" s="101" t="s">
        <v>67</v>
      </c>
      <c r="P495" s="101"/>
      <c r="Q495" s="101"/>
      <c r="R495" s="101">
        <v>0</v>
      </c>
      <c r="S495" s="105"/>
      <c r="T495" s="101" t="s">
        <v>67</v>
      </c>
      <c r="U495" s="177" t="str">
        <f>IF($J$1="September",Y494,"")</f>
        <v/>
      </c>
      <c r="V495" s="103"/>
      <c r="W495" s="177" t="str">
        <f t="shared" si="85"/>
        <v/>
      </c>
      <c r="X495" s="103"/>
      <c r="Y495" s="177" t="str">
        <f t="shared" si="86"/>
        <v/>
      </c>
      <c r="Z495" s="106"/>
      <c r="AA495" s="57"/>
    </row>
    <row r="496" spans="1:27" s="55" customFormat="1" ht="21" customHeight="1" x14ac:dyDescent="0.25">
      <c r="A496" s="56"/>
      <c r="B496" s="83" t="s">
        <v>84</v>
      </c>
      <c r="C496" s="66">
        <f>IF($J$1="January",R488,IF($J$1="February",R489,IF($J$1="March",R490,IF($J$1="April",R491,IF($J$1="May",R492,IF($J$1="June",R493,IF($J$1="July",R494,IF($J$1="August",R495,IF($J$1="August",R495,IF($J$1="September",R496,IF($J$1="October",R497,IF($J$1="November",R498,IF($J$1="December",R499)))))))))))))</f>
        <v>0</v>
      </c>
      <c r="D496" s="57"/>
      <c r="E496" s="57"/>
      <c r="F496" s="75" t="s">
        <v>83</v>
      </c>
      <c r="G496" s="70" t="str">
        <f>IF($J$1="January",Y488,IF($J$1="February",Y489,IF($J$1="March",Y490,IF($J$1="April",Y491,IF($J$1="May",Y492,IF($J$1="June",Y493,IF($J$1="July",Y494,IF($J$1="August",Y495,IF($J$1="August",Y495,IF($J$1="September",Y496,IF($J$1="October",Y497,IF($J$1="November",Y498,IF($J$1="December",Y499)))))))))))))</f>
        <v/>
      </c>
      <c r="H496" s="57"/>
      <c r="I496" s="295" t="s">
        <v>79</v>
      </c>
      <c r="J496" s="296"/>
      <c r="K496" s="84">
        <f>K494-K495</f>
        <v>15150</v>
      </c>
      <c r="L496" s="85"/>
      <c r="M496" s="57"/>
      <c r="N496" s="100"/>
      <c r="O496" s="101" t="s">
        <v>72</v>
      </c>
      <c r="P496" s="101"/>
      <c r="Q496" s="101"/>
      <c r="R496" s="101">
        <v>0</v>
      </c>
      <c r="S496" s="105"/>
      <c r="T496" s="101" t="s">
        <v>72</v>
      </c>
      <c r="U496" s="177" t="str">
        <f>IF($J$1="September",Y495,"")</f>
        <v/>
      </c>
      <c r="V496" s="103"/>
      <c r="W496" s="177" t="str">
        <f t="shared" si="85"/>
        <v/>
      </c>
      <c r="X496" s="103"/>
      <c r="Y496" s="177" t="str">
        <f t="shared" si="86"/>
        <v/>
      </c>
      <c r="Z496" s="106"/>
      <c r="AA496" s="57"/>
    </row>
    <row r="497" spans="1:27" s="55" customFormat="1" ht="21" customHeight="1" x14ac:dyDescent="0.25">
      <c r="A497" s="56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73"/>
      <c r="M497" s="57"/>
      <c r="N497" s="100"/>
      <c r="O497" s="101" t="s">
        <v>68</v>
      </c>
      <c r="P497" s="101"/>
      <c r="Q497" s="101"/>
      <c r="R497" s="101" t="str">
        <f t="shared" si="87"/>
        <v/>
      </c>
      <c r="S497" s="105"/>
      <c r="T497" s="101" t="s">
        <v>68</v>
      </c>
      <c r="U497" s="177" t="str">
        <f>IF($J$1="October",Y496,"")</f>
        <v/>
      </c>
      <c r="V497" s="103"/>
      <c r="W497" s="177" t="str">
        <f t="shared" si="85"/>
        <v/>
      </c>
      <c r="X497" s="103"/>
      <c r="Y497" s="177" t="str">
        <f t="shared" si="86"/>
        <v/>
      </c>
      <c r="Z497" s="106"/>
      <c r="AA497" s="57"/>
    </row>
    <row r="498" spans="1:27" s="55" customFormat="1" ht="21" customHeight="1" x14ac:dyDescent="0.25">
      <c r="A498" s="56"/>
      <c r="B498" s="284" t="s">
        <v>116</v>
      </c>
      <c r="C498" s="284"/>
      <c r="D498" s="284"/>
      <c r="E498" s="284"/>
      <c r="F498" s="284"/>
      <c r="G498" s="284"/>
      <c r="H498" s="284"/>
      <c r="I498" s="284"/>
      <c r="J498" s="284"/>
      <c r="K498" s="284"/>
      <c r="L498" s="73"/>
      <c r="M498" s="57"/>
      <c r="N498" s="100"/>
      <c r="O498" s="101" t="s">
        <v>73</v>
      </c>
      <c r="P498" s="101"/>
      <c r="Q498" s="101"/>
      <c r="R498" s="101" t="str">
        <f t="shared" si="87"/>
        <v/>
      </c>
      <c r="S498" s="105"/>
      <c r="T498" s="101" t="s">
        <v>73</v>
      </c>
      <c r="U498" s="177" t="str">
        <f>IF($J$1="November",Y497,"")</f>
        <v/>
      </c>
      <c r="V498" s="103"/>
      <c r="W498" s="177" t="str">
        <f t="shared" si="85"/>
        <v/>
      </c>
      <c r="X498" s="103"/>
      <c r="Y498" s="177" t="str">
        <f t="shared" si="86"/>
        <v/>
      </c>
      <c r="Z498" s="106"/>
      <c r="AA498" s="57"/>
    </row>
    <row r="499" spans="1:27" s="55" customFormat="1" ht="21" customHeight="1" x14ac:dyDescent="0.25">
      <c r="A499" s="56"/>
      <c r="B499" s="284"/>
      <c r="C499" s="284"/>
      <c r="D499" s="284"/>
      <c r="E499" s="284"/>
      <c r="F499" s="284"/>
      <c r="G499" s="284"/>
      <c r="H499" s="284"/>
      <c r="I499" s="284"/>
      <c r="J499" s="284"/>
      <c r="K499" s="284"/>
      <c r="L499" s="73"/>
      <c r="M499" s="57"/>
      <c r="N499" s="100"/>
      <c r="O499" s="101" t="s">
        <v>74</v>
      </c>
      <c r="P499" s="101"/>
      <c r="Q499" s="101"/>
      <c r="R499" s="101" t="str">
        <f t="shared" si="87"/>
        <v/>
      </c>
      <c r="S499" s="105"/>
      <c r="T499" s="101" t="s">
        <v>74</v>
      </c>
      <c r="U499" s="177" t="str">
        <f>IF($J$1="Dec",Y498,"")</f>
        <v/>
      </c>
      <c r="V499" s="103"/>
      <c r="W499" s="177" t="str">
        <f t="shared" si="85"/>
        <v/>
      </c>
      <c r="X499" s="103"/>
      <c r="Y499" s="177" t="str">
        <f t="shared" si="86"/>
        <v/>
      </c>
      <c r="Z499" s="106"/>
      <c r="AA499" s="57"/>
    </row>
    <row r="500" spans="1:27" s="55" customFormat="1" ht="21" customHeight="1" thickBot="1" x14ac:dyDescent="0.3">
      <c r="A500" s="86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8"/>
      <c r="N500" s="107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9"/>
    </row>
    <row r="501" spans="1:27" s="57" customFormat="1" ht="21" customHeight="1" thickBot="1" x14ac:dyDescent="0.3"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</row>
    <row r="502" spans="1:27" s="55" customFormat="1" ht="21" customHeight="1" x14ac:dyDescent="0.25">
      <c r="A502" s="297" t="s">
        <v>56</v>
      </c>
      <c r="B502" s="298"/>
      <c r="C502" s="298"/>
      <c r="D502" s="298"/>
      <c r="E502" s="298"/>
      <c r="F502" s="298"/>
      <c r="G502" s="298"/>
      <c r="H502" s="298"/>
      <c r="I502" s="298"/>
      <c r="J502" s="298"/>
      <c r="K502" s="298"/>
      <c r="L502" s="299"/>
      <c r="M502" s="54"/>
      <c r="N502" s="93"/>
      <c r="O502" s="285" t="s">
        <v>58</v>
      </c>
      <c r="P502" s="286"/>
      <c r="Q502" s="286"/>
      <c r="R502" s="287"/>
      <c r="S502" s="94"/>
      <c r="T502" s="285" t="s">
        <v>59</v>
      </c>
      <c r="U502" s="286"/>
      <c r="V502" s="286"/>
      <c r="W502" s="286"/>
      <c r="X502" s="286"/>
      <c r="Y502" s="287"/>
      <c r="Z502" s="95"/>
      <c r="AA502" s="54"/>
    </row>
    <row r="503" spans="1:27" s="55" customFormat="1" ht="21" customHeight="1" x14ac:dyDescent="0.25">
      <c r="A503" s="56"/>
      <c r="B503" s="57"/>
      <c r="C503" s="288" t="s">
        <v>114</v>
      </c>
      <c r="D503" s="288"/>
      <c r="E503" s="288"/>
      <c r="F503" s="288"/>
      <c r="G503" s="58" t="str">
        <f>$J$1</f>
        <v>June</v>
      </c>
      <c r="H503" s="289">
        <f>$K$1</f>
        <v>2019</v>
      </c>
      <c r="I503" s="289"/>
      <c r="J503" s="57"/>
      <c r="K503" s="59"/>
      <c r="L503" s="60"/>
      <c r="M503" s="59"/>
      <c r="N503" s="96"/>
      <c r="O503" s="97" t="s">
        <v>69</v>
      </c>
      <c r="P503" s="97" t="s">
        <v>7</v>
      </c>
      <c r="Q503" s="97" t="s">
        <v>6</v>
      </c>
      <c r="R503" s="97" t="s">
        <v>70</v>
      </c>
      <c r="S503" s="98"/>
      <c r="T503" s="97" t="s">
        <v>69</v>
      </c>
      <c r="U503" s="97" t="s">
        <v>71</v>
      </c>
      <c r="V503" s="97" t="s">
        <v>29</v>
      </c>
      <c r="W503" s="97" t="s">
        <v>28</v>
      </c>
      <c r="X503" s="97" t="s">
        <v>30</v>
      </c>
      <c r="Y503" s="97" t="s">
        <v>75</v>
      </c>
      <c r="Z503" s="99"/>
      <c r="AA503" s="59"/>
    </row>
    <row r="504" spans="1:27" s="55" customFormat="1" ht="21" customHeight="1" x14ac:dyDescent="0.25">
      <c r="A504" s="56"/>
      <c r="B504" s="57"/>
      <c r="C504" s="57"/>
      <c r="D504" s="62"/>
      <c r="E504" s="62"/>
      <c r="F504" s="62"/>
      <c r="G504" s="62"/>
      <c r="H504" s="62"/>
      <c r="I504" s="57"/>
      <c r="J504" s="63" t="s">
        <v>1</v>
      </c>
      <c r="K504" s="64">
        <v>24000</v>
      </c>
      <c r="L504" s="65"/>
      <c r="M504" s="57"/>
      <c r="N504" s="100"/>
      <c r="O504" s="101" t="s">
        <v>61</v>
      </c>
      <c r="P504" s="101">
        <v>30</v>
      </c>
      <c r="Q504" s="101">
        <v>1</v>
      </c>
      <c r="R504" s="101">
        <f>15-Q504</f>
        <v>14</v>
      </c>
      <c r="S504" s="102"/>
      <c r="T504" s="101" t="s">
        <v>61</v>
      </c>
      <c r="U504" s="103">
        <f>15000</f>
        <v>15000</v>
      </c>
      <c r="V504" s="103">
        <v>50000</v>
      </c>
      <c r="W504" s="103">
        <f>V504+U504</f>
        <v>65000</v>
      </c>
      <c r="X504" s="103">
        <v>5000</v>
      </c>
      <c r="Y504" s="103">
        <f>W504-X504</f>
        <v>60000</v>
      </c>
      <c r="Z504" s="99"/>
      <c r="AA504" s="57"/>
    </row>
    <row r="505" spans="1:27" s="55" customFormat="1" ht="21" customHeight="1" x14ac:dyDescent="0.25">
      <c r="A505" s="56"/>
      <c r="B505" s="57" t="s">
        <v>0</v>
      </c>
      <c r="C505" s="67" t="s">
        <v>110</v>
      </c>
      <c r="D505" s="57"/>
      <c r="E505" s="57"/>
      <c r="F505" s="57"/>
      <c r="G505" s="57"/>
      <c r="H505" s="68"/>
      <c r="I505" s="62"/>
      <c r="J505" s="57"/>
      <c r="K505" s="57"/>
      <c r="L505" s="69"/>
      <c r="M505" s="54"/>
      <c r="N505" s="104"/>
      <c r="O505" s="101" t="s">
        <v>87</v>
      </c>
      <c r="P505" s="101">
        <v>23</v>
      </c>
      <c r="Q505" s="101">
        <v>5</v>
      </c>
      <c r="R505" s="101">
        <f>IF(Q505="","",R504-Q505)</f>
        <v>9</v>
      </c>
      <c r="S505" s="105"/>
      <c r="T505" s="101" t="s">
        <v>87</v>
      </c>
      <c r="U505" s="177">
        <f>Y504</f>
        <v>60000</v>
      </c>
      <c r="V505" s="103"/>
      <c r="W505" s="177">
        <f>IF(U505="","",U505+V505)</f>
        <v>60000</v>
      </c>
      <c r="X505" s="103">
        <v>5000</v>
      </c>
      <c r="Y505" s="177">
        <f>IF(W505="","",W505-X505)</f>
        <v>55000</v>
      </c>
      <c r="Z505" s="106"/>
      <c r="AA505" s="54"/>
    </row>
    <row r="506" spans="1:27" s="55" customFormat="1" ht="21" customHeight="1" x14ac:dyDescent="0.25">
      <c r="A506" s="56"/>
      <c r="B506" s="71" t="s">
        <v>57</v>
      </c>
      <c r="C506" s="72"/>
      <c r="D506" s="57"/>
      <c r="E506" s="57"/>
      <c r="F506" s="290" t="s">
        <v>59</v>
      </c>
      <c r="G506" s="290"/>
      <c r="H506" s="57"/>
      <c r="I506" s="290" t="s">
        <v>60</v>
      </c>
      <c r="J506" s="290"/>
      <c r="K506" s="290"/>
      <c r="L506" s="73"/>
      <c r="M506" s="57"/>
      <c r="N506" s="100"/>
      <c r="O506" s="101" t="s">
        <v>62</v>
      </c>
      <c r="P506" s="101">
        <v>30</v>
      </c>
      <c r="Q506" s="101">
        <v>1</v>
      </c>
      <c r="R506" s="101">
        <f t="shared" ref="R506:R511" si="88">IF(Q506="","",R505-Q506)</f>
        <v>8</v>
      </c>
      <c r="S506" s="105"/>
      <c r="T506" s="101" t="s">
        <v>62</v>
      </c>
      <c r="U506" s="177">
        <f>Y505</f>
        <v>55000</v>
      </c>
      <c r="V506" s="103"/>
      <c r="W506" s="177">
        <f t="shared" ref="W506:W515" si="89">IF(U506="","",U506+V506)</f>
        <v>55000</v>
      </c>
      <c r="X506" s="103">
        <v>5000</v>
      </c>
      <c r="Y506" s="177">
        <f t="shared" ref="Y506:Y515" si="90">IF(W506="","",W506-X506)</f>
        <v>50000</v>
      </c>
      <c r="Z506" s="106"/>
      <c r="AA506" s="57"/>
    </row>
    <row r="507" spans="1:27" s="55" customFormat="1" ht="21" customHeight="1" x14ac:dyDescent="0.25">
      <c r="A507" s="56"/>
      <c r="B507" s="57"/>
      <c r="C507" s="57"/>
      <c r="D507" s="57"/>
      <c r="E507" s="57"/>
      <c r="F507" s="57"/>
      <c r="G507" s="57"/>
      <c r="H507" s="74"/>
      <c r="L507" s="61"/>
      <c r="M507" s="57"/>
      <c r="N507" s="100"/>
      <c r="O507" s="101" t="s">
        <v>63</v>
      </c>
      <c r="P507" s="101">
        <v>26</v>
      </c>
      <c r="Q507" s="101">
        <v>4</v>
      </c>
      <c r="R507" s="101">
        <f t="shared" si="88"/>
        <v>4</v>
      </c>
      <c r="S507" s="105"/>
      <c r="T507" s="101" t="s">
        <v>63</v>
      </c>
      <c r="U507" s="177">
        <f>Y506</f>
        <v>50000</v>
      </c>
      <c r="V507" s="103">
        <v>5000</v>
      </c>
      <c r="W507" s="177">
        <f t="shared" si="89"/>
        <v>55000</v>
      </c>
      <c r="X507" s="103">
        <v>5000</v>
      </c>
      <c r="Y507" s="177">
        <f t="shared" si="90"/>
        <v>50000</v>
      </c>
      <c r="Z507" s="106"/>
      <c r="AA507" s="57"/>
    </row>
    <row r="508" spans="1:27" s="55" customFormat="1" ht="21" customHeight="1" x14ac:dyDescent="0.25">
      <c r="A508" s="56"/>
      <c r="B508" s="291" t="s">
        <v>58</v>
      </c>
      <c r="C508" s="292"/>
      <c r="D508" s="57"/>
      <c r="E508" s="57"/>
      <c r="F508" s="75" t="s">
        <v>80</v>
      </c>
      <c r="G508" s="70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>51000</v>
      </c>
      <c r="H508" s="74"/>
      <c r="I508" s="249">
        <f>IF(C512&gt;0,$K$2,C510)+2</f>
        <v>28</v>
      </c>
      <c r="J508" s="77" t="s">
        <v>77</v>
      </c>
      <c r="K508" s="78">
        <f>K504/$K$2*I508</f>
        <v>22400</v>
      </c>
      <c r="L508" s="79"/>
      <c r="M508" s="57"/>
      <c r="N508" s="100"/>
      <c r="O508" s="101" t="s">
        <v>64</v>
      </c>
      <c r="P508" s="101">
        <v>29</v>
      </c>
      <c r="Q508" s="101">
        <v>2</v>
      </c>
      <c r="R508" s="101">
        <f t="shared" si="88"/>
        <v>2</v>
      </c>
      <c r="S508" s="105"/>
      <c r="T508" s="101" t="s">
        <v>64</v>
      </c>
      <c r="U508" s="177">
        <f>Y507</f>
        <v>50000</v>
      </c>
      <c r="V508" s="103">
        <v>1000</v>
      </c>
      <c r="W508" s="177">
        <f t="shared" si="89"/>
        <v>51000</v>
      </c>
      <c r="X508" s="103"/>
      <c r="Y508" s="177">
        <f t="shared" si="90"/>
        <v>51000</v>
      </c>
      <c r="Z508" s="106"/>
      <c r="AA508" s="57"/>
    </row>
    <row r="509" spans="1:27" s="55" customFormat="1" ht="21" customHeight="1" x14ac:dyDescent="0.25">
      <c r="A509" s="56"/>
      <c r="B509" s="66"/>
      <c r="C509" s="66"/>
      <c r="D509" s="57"/>
      <c r="E509" s="57"/>
      <c r="F509" s="75" t="s">
        <v>29</v>
      </c>
      <c r="G509" s="70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0</v>
      </c>
      <c r="H509" s="74"/>
      <c r="I509" s="120">
        <v>8</v>
      </c>
      <c r="J509" s="77" t="s">
        <v>78</v>
      </c>
      <c r="K509" s="80">
        <f>K504/$K$2/8*I509</f>
        <v>800</v>
      </c>
      <c r="L509" s="81"/>
      <c r="M509" s="57"/>
      <c r="N509" s="100"/>
      <c r="O509" s="101" t="s">
        <v>65</v>
      </c>
      <c r="P509" s="101">
        <v>26</v>
      </c>
      <c r="Q509" s="101">
        <v>4</v>
      </c>
      <c r="R509" s="101">
        <v>0</v>
      </c>
      <c r="S509" s="105"/>
      <c r="T509" s="101" t="s">
        <v>65</v>
      </c>
      <c r="U509" s="177">
        <f>Y508</f>
        <v>51000</v>
      </c>
      <c r="V509" s="103"/>
      <c r="W509" s="177">
        <f t="shared" si="89"/>
        <v>51000</v>
      </c>
      <c r="X509" s="103">
        <v>5000</v>
      </c>
      <c r="Y509" s="177">
        <f t="shared" si="90"/>
        <v>46000</v>
      </c>
      <c r="Z509" s="106"/>
      <c r="AA509" s="57"/>
    </row>
    <row r="510" spans="1:27" s="55" customFormat="1" ht="21" customHeight="1" x14ac:dyDescent="0.25">
      <c r="A510" s="56"/>
      <c r="B510" s="75" t="s">
        <v>7</v>
      </c>
      <c r="C510" s="66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26</v>
      </c>
      <c r="D510" s="57"/>
      <c r="E510" s="57"/>
      <c r="F510" s="75" t="s">
        <v>81</v>
      </c>
      <c r="G510" s="70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>51000</v>
      </c>
      <c r="H510" s="74"/>
      <c r="I510" s="293" t="s">
        <v>85</v>
      </c>
      <c r="J510" s="294"/>
      <c r="K510" s="80">
        <f>K508+K509</f>
        <v>23200</v>
      </c>
      <c r="L510" s="81"/>
      <c r="M510" s="57"/>
      <c r="N510" s="100"/>
      <c r="O510" s="101" t="s">
        <v>66</v>
      </c>
      <c r="P510" s="101"/>
      <c r="Q510" s="101"/>
      <c r="R510" s="101" t="str">
        <f t="shared" si="88"/>
        <v/>
      </c>
      <c r="S510" s="105"/>
      <c r="T510" s="101" t="s">
        <v>66</v>
      </c>
      <c r="U510" s="177"/>
      <c r="V510" s="103"/>
      <c r="W510" s="177" t="str">
        <f t="shared" si="89"/>
        <v/>
      </c>
      <c r="X510" s="103"/>
      <c r="Y510" s="177" t="str">
        <f t="shared" si="90"/>
        <v/>
      </c>
      <c r="Z510" s="106"/>
      <c r="AA510" s="57"/>
    </row>
    <row r="511" spans="1:27" s="55" customFormat="1" ht="21" customHeight="1" x14ac:dyDescent="0.25">
      <c r="A511" s="56"/>
      <c r="B511" s="75" t="s">
        <v>6</v>
      </c>
      <c r="C511" s="66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4</v>
      </c>
      <c r="D511" s="57"/>
      <c r="E511" s="57"/>
      <c r="F511" s="75" t="s">
        <v>30</v>
      </c>
      <c r="G511" s="70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5000</v>
      </c>
      <c r="H511" s="74"/>
      <c r="I511" s="293" t="s">
        <v>86</v>
      </c>
      <c r="J511" s="294"/>
      <c r="K511" s="70">
        <f>G511</f>
        <v>5000</v>
      </c>
      <c r="L511" s="82"/>
      <c r="M511" s="57"/>
      <c r="N511" s="100"/>
      <c r="O511" s="101" t="s">
        <v>67</v>
      </c>
      <c r="P511" s="101"/>
      <c r="Q511" s="101"/>
      <c r="R511" s="101" t="str">
        <f t="shared" si="88"/>
        <v/>
      </c>
      <c r="S511" s="105"/>
      <c r="T511" s="101" t="s">
        <v>67</v>
      </c>
      <c r="U511" s="177"/>
      <c r="V511" s="103"/>
      <c r="W511" s="177" t="str">
        <f t="shared" si="89"/>
        <v/>
      </c>
      <c r="X511" s="103"/>
      <c r="Y511" s="177" t="str">
        <f t="shared" si="90"/>
        <v/>
      </c>
      <c r="Z511" s="106"/>
      <c r="AA511" s="57"/>
    </row>
    <row r="512" spans="1:27" s="55" customFormat="1" ht="21" customHeight="1" x14ac:dyDescent="0.25">
      <c r="A512" s="56"/>
      <c r="B512" s="83" t="s">
        <v>84</v>
      </c>
      <c r="C512" s="66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0</v>
      </c>
      <c r="D512" s="57"/>
      <c r="E512" s="57"/>
      <c r="F512" s="75" t="s">
        <v>83</v>
      </c>
      <c r="G512" s="70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>46000</v>
      </c>
      <c r="H512" s="57"/>
      <c r="I512" s="295" t="s">
        <v>79</v>
      </c>
      <c r="J512" s="296"/>
      <c r="K512" s="84">
        <f>K510-K511</f>
        <v>18200</v>
      </c>
      <c r="L512" s="85"/>
      <c r="M512" s="57"/>
      <c r="N512" s="100"/>
      <c r="O512" s="101" t="s">
        <v>72</v>
      </c>
      <c r="P512" s="101"/>
      <c r="Q512" s="101"/>
      <c r="R512" s="101">
        <v>0</v>
      </c>
      <c r="S512" s="105"/>
      <c r="T512" s="101" t="s">
        <v>72</v>
      </c>
      <c r="U512" s="177"/>
      <c r="V512" s="103"/>
      <c r="W512" s="177" t="str">
        <f t="shared" si="89"/>
        <v/>
      </c>
      <c r="X512" s="103"/>
      <c r="Y512" s="177" t="str">
        <f t="shared" si="90"/>
        <v/>
      </c>
      <c r="Z512" s="106"/>
      <c r="AA512" s="57"/>
    </row>
    <row r="513" spans="1:27" s="55" customFormat="1" ht="21" customHeight="1" x14ac:dyDescent="0.25">
      <c r="A513" s="56"/>
      <c r="B513" s="57"/>
      <c r="C513" s="57"/>
      <c r="D513" s="57"/>
      <c r="E513" s="57"/>
      <c r="F513" s="57"/>
      <c r="G513" s="57"/>
      <c r="H513" s="57"/>
      <c r="I513" s="57"/>
      <c r="J513" s="57"/>
      <c r="K513" s="194"/>
      <c r="L513" s="73"/>
      <c r="M513" s="57"/>
      <c r="N513" s="100"/>
      <c r="O513" s="101" t="s">
        <v>68</v>
      </c>
      <c r="P513" s="101"/>
      <c r="Q513" s="101"/>
      <c r="R513" s="101">
        <v>0</v>
      </c>
      <c r="S513" s="105"/>
      <c r="T513" s="101" t="s">
        <v>68</v>
      </c>
      <c r="U513" s="177"/>
      <c r="V513" s="103"/>
      <c r="W513" s="177" t="str">
        <f t="shared" si="89"/>
        <v/>
      </c>
      <c r="X513" s="103"/>
      <c r="Y513" s="177" t="str">
        <f t="shared" si="90"/>
        <v/>
      </c>
      <c r="Z513" s="106"/>
      <c r="AA513" s="57"/>
    </row>
    <row r="514" spans="1:27" s="55" customFormat="1" ht="21" customHeight="1" x14ac:dyDescent="0.25">
      <c r="A514" s="56"/>
      <c r="B514" s="284" t="s">
        <v>116</v>
      </c>
      <c r="C514" s="284"/>
      <c r="D514" s="284"/>
      <c r="E514" s="284"/>
      <c r="F514" s="284"/>
      <c r="G514" s="284"/>
      <c r="H514" s="284"/>
      <c r="I514" s="284"/>
      <c r="J514" s="284"/>
      <c r="K514" s="284"/>
      <c r="L514" s="73"/>
      <c r="M514" s="57"/>
      <c r="N514" s="100"/>
      <c r="O514" s="101" t="s">
        <v>73</v>
      </c>
      <c r="P514" s="101"/>
      <c r="Q514" s="101"/>
      <c r="R514" s="101">
        <v>0</v>
      </c>
      <c r="S514" s="105"/>
      <c r="T514" s="101" t="s">
        <v>73</v>
      </c>
      <c r="U514" s="177"/>
      <c r="V514" s="103"/>
      <c r="W514" s="177" t="str">
        <f t="shared" si="89"/>
        <v/>
      </c>
      <c r="X514" s="103"/>
      <c r="Y514" s="177" t="str">
        <f t="shared" si="90"/>
        <v/>
      </c>
      <c r="Z514" s="106"/>
      <c r="AA514" s="57"/>
    </row>
    <row r="515" spans="1:27" s="55" customFormat="1" ht="21" customHeight="1" x14ac:dyDescent="0.25">
      <c r="A515" s="56"/>
      <c r="B515" s="284"/>
      <c r="C515" s="284"/>
      <c r="D515" s="284"/>
      <c r="E515" s="284"/>
      <c r="F515" s="284"/>
      <c r="G515" s="284"/>
      <c r="H515" s="284"/>
      <c r="I515" s="284"/>
      <c r="J515" s="284"/>
      <c r="K515" s="284"/>
      <c r="L515" s="73"/>
      <c r="M515" s="57"/>
      <c r="N515" s="100"/>
      <c r="O515" s="101" t="s">
        <v>74</v>
      </c>
      <c r="P515" s="101"/>
      <c r="Q515" s="101"/>
      <c r="R515" s="101">
        <v>0</v>
      </c>
      <c r="S515" s="105"/>
      <c r="T515" s="101" t="s">
        <v>74</v>
      </c>
      <c r="U515" s="177"/>
      <c r="V515" s="103"/>
      <c r="W515" s="177" t="str">
        <f t="shared" si="89"/>
        <v/>
      </c>
      <c r="X515" s="103"/>
      <c r="Y515" s="177" t="str">
        <f t="shared" si="90"/>
        <v/>
      </c>
      <c r="Z515" s="106"/>
      <c r="AA515" s="57"/>
    </row>
    <row r="516" spans="1:27" s="55" customFormat="1" ht="21" customHeight="1" thickBot="1" x14ac:dyDescent="0.3">
      <c r="A516" s="86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8"/>
      <c r="N516" s="107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9"/>
    </row>
    <row r="517" spans="1:27" s="57" customFormat="1" ht="21" customHeight="1" thickBot="1" x14ac:dyDescent="0.3"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</row>
    <row r="518" spans="1:27" s="55" customFormat="1" ht="21" customHeight="1" x14ac:dyDescent="0.25">
      <c r="A518" s="297" t="s">
        <v>56</v>
      </c>
      <c r="B518" s="298"/>
      <c r="C518" s="298"/>
      <c r="D518" s="298"/>
      <c r="E518" s="298"/>
      <c r="F518" s="298"/>
      <c r="G518" s="298"/>
      <c r="H518" s="298"/>
      <c r="I518" s="298"/>
      <c r="J518" s="298"/>
      <c r="K518" s="298"/>
      <c r="L518" s="299"/>
      <c r="M518" s="54"/>
      <c r="N518" s="93"/>
      <c r="O518" s="285" t="s">
        <v>58</v>
      </c>
      <c r="P518" s="286"/>
      <c r="Q518" s="286"/>
      <c r="R518" s="287"/>
      <c r="S518" s="94"/>
      <c r="T518" s="285" t="s">
        <v>59</v>
      </c>
      <c r="U518" s="286"/>
      <c r="V518" s="286"/>
      <c r="W518" s="286"/>
      <c r="X518" s="286"/>
      <c r="Y518" s="287"/>
      <c r="Z518" s="95"/>
      <c r="AA518" s="54"/>
    </row>
    <row r="519" spans="1:27" s="55" customFormat="1" ht="21" customHeight="1" x14ac:dyDescent="0.25">
      <c r="A519" s="56"/>
      <c r="B519" s="57"/>
      <c r="C519" s="288" t="s">
        <v>114</v>
      </c>
      <c r="D519" s="288"/>
      <c r="E519" s="288"/>
      <c r="F519" s="288"/>
      <c r="G519" s="58" t="str">
        <f>$J$1</f>
        <v>June</v>
      </c>
      <c r="H519" s="289">
        <f>$K$1</f>
        <v>2019</v>
      </c>
      <c r="I519" s="289"/>
      <c r="J519" s="57"/>
      <c r="K519" s="59"/>
      <c r="L519" s="60"/>
      <c r="M519" s="59"/>
      <c r="N519" s="96"/>
      <c r="O519" s="97" t="s">
        <v>69</v>
      </c>
      <c r="P519" s="97" t="s">
        <v>7</v>
      </c>
      <c r="Q519" s="97" t="s">
        <v>6</v>
      </c>
      <c r="R519" s="97" t="s">
        <v>70</v>
      </c>
      <c r="S519" s="98"/>
      <c r="T519" s="97" t="s">
        <v>69</v>
      </c>
      <c r="U519" s="97" t="s">
        <v>71</v>
      </c>
      <c r="V519" s="97" t="s">
        <v>29</v>
      </c>
      <c r="W519" s="97" t="s">
        <v>28</v>
      </c>
      <c r="X519" s="97" t="s">
        <v>30</v>
      </c>
      <c r="Y519" s="97" t="s">
        <v>75</v>
      </c>
      <c r="Z519" s="99"/>
      <c r="AA519" s="59"/>
    </row>
    <row r="520" spans="1:27" s="55" customFormat="1" ht="21" customHeight="1" x14ac:dyDescent="0.25">
      <c r="A520" s="56"/>
      <c r="B520" s="57"/>
      <c r="C520" s="57"/>
      <c r="D520" s="62"/>
      <c r="E520" s="62"/>
      <c r="F520" s="62"/>
      <c r="G520" s="62"/>
      <c r="H520" s="62"/>
      <c r="I520" s="57"/>
      <c r="J520" s="63" t="s">
        <v>1</v>
      </c>
      <c r="K520" s="64">
        <v>43000</v>
      </c>
      <c r="L520" s="65"/>
      <c r="M520" s="57"/>
      <c r="N520" s="100"/>
      <c r="O520" s="101" t="s">
        <v>61</v>
      </c>
      <c r="P520" s="101">
        <v>31</v>
      </c>
      <c r="Q520" s="101">
        <v>0</v>
      </c>
      <c r="R520" s="101">
        <f>19+15</f>
        <v>34</v>
      </c>
      <c r="S520" s="102"/>
      <c r="T520" s="101" t="s">
        <v>61</v>
      </c>
      <c r="U520" s="103">
        <v>283000</v>
      </c>
      <c r="V520" s="103"/>
      <c r="W520" s="103">
        <f>V520+U520</f>
        <v>283000</v>
      </c>
      <c r="X520" s="103">
        <v>5000</v>
      </c>
      <c r="Y520" s="103">
        <f>W520-X520</f>
        <v>278000</v>
      </c>
      <c r="Z520" s="99"/>
      <c r="AA520" s="57"/>
    </row>
    <row r="521" spans="1:27" s="55" customFormat="1" ht="21" customHeight="1" x14ac:dyDescent="0.25">
      <c r="A521" s="56"/>
      <c r="B521" s="57" t="s">
        <v>0</v>
      </c>
      <c r="C521" s="67" t="s">
        <v>95</v>
      </c>
      <c r="D521" s="57"/>
      <c r="E521" s="57"/>
      <c r="F521" s="57"/>
      <c r="G521" s="57"/>
      <c r="H521" s="68"/>
      <c r="I521" s="62"/>
      <c r="J521" s="57"/>
      <c r="K521" s="57"/>
      <c r="L521" s="69"/>
      <c r="M521" s="54"/>
      <c r="N521" s="104"/>
      <c r="O521" s="101" t="s">
        <v>87</v>
      </c>
      <c r="P521" s="101">
        <v>28</v>
      </c>
      <c r="Q521" s="101">
        <v>0</v>
      </c>
      <c r="R521" s="101">
        <f>IF(Q521="","",R520-Q521)</f>
        <v>34</v>
      </c>
      <c r="S521" s="105"/>
      <c r="T521" s="101" t="s">
        <v>87</v>
      </c>
      <c r="U521" s="177">
        <f>Y520</f>
        <v>278000</v>
      </c>
      <c r="V521" s="103"/>
      <c r="W521" s="177">
        <f>IF(U521="","",U521+V521)</f>
        <v>278000</v>
      </c>
      <c r="X521" s="103">
        <v>5000</v>
      </c>
      <c r="Y521" s="177">
        <f>IF(W521="","",W521-X521)</f>
        <v>273000</v>
      </c>
      <c r="Z521" s="106"/>
      <c r="AA521" s="54"/>
    </row>
    <row r="522" spans="1:27" s="55" customFormat="1" ht="21" customHeight="1" x14ac:dyDescent="0.25">
      <c r="A522" s="56"/>
      <c r="B522" s="71" t="s">
        <v>57</v>
      </c>
      <c r="C522" s="72"/>
      <c r="D522" s="57"/>
      <c r="E522" s="57"/>
      <c r="F522" s="290" t="s">
        <v>59</v>
      </c>
      <c r="G522" s="290"/>
      <c r="H522" s="57"/>
      <c r="I522" s="290" t="s">
        <v>60</v>
      </c>
      <c r="J522" s="290"/>
      <c r="K522" s="290"/>
      <c r="L522" s="73"/>
      <c r="M522" s="57"/>
      <c r="N522" s="100"/>
      <c r="O522" s="101" t="s">
        <v>62</v>
      </c>
      <c r="P522" s="101">
        <v>29</v>
      </c>
      <c r="Q522" s="101">
        <v>2</v>
      </c>
      <c r="R522" s="101">
        <f t="shared" ref="R522:R531" si="91">IF(Q522="","",R521-Q522)</f>
        <v>32</v>
      </c>
      <c r="S522" s="105"/>
      <c r="T522" s="101" t="s">
        <v>62</v>
      </c>
      <c r="U522" s="177">
        <f>Y521</f>
        <v>273000</v>
      </c>
      <c r="V522" s="103"/>
      <c r="W522" s="177">
        <f t="shared" ref="W522:W531" si="92">IF(U522="","",U522+V522)</f>
        <v>273000</v>
      </c>
      <c r="X522" s="103">
        <v>5000</v>
      </c>
      <c r="Y522" s="177">
        <f t="shared" ref="Y522:Y531" si="93">IF(W522="","",W522-X522)</f>
        <v>268000</v>
      </c>
      <c r="Z522" s="106"/>
      <c r="AA522" s="57"/>
    </row>
    <row r="523" spans="1:27" s="55" customFormat="1" ht="21" customHeight="1" x14ac:dyDescent="0.25">
      <c r="A523" s="56"/>
      <c r="B523" s="57"/>
      <c r="C523" s="57"/>
      <c r="D523" s="57"/>
      <c r="E523" s="57"/>
      <c r="F523" s="57"/>
      <c r="G523" s="57"/>
      <c r="H523" s="74"/>
      <c r="L523" s="61"/>
      <c r="M523" s="57"/>
      <c r="N523" s="100"/>
      <c r="O523" s="101" t="s">
        <v>63</v>
      </c>
      <c r="P523" s="101">
        <v>30</v>
      </c>
      <c r="Q523" s="101">
        <v>0</v>
      </c>
      <c r="R523" s="101">
        <f t="shared" si="91"/>
        <v>32</v>
      </c>
      <c r="S523" s="105"/>
      <c r="T523" s="101" t="s">
        <v>63</v>
      </c>
      <c r="U523" s="177">
        <f>Y522</f>
        <v>268000</v>
      </c>
      <c r="V523" s="103"/>
      <c r="W523" s="177">
        <f t="shared" si="92"/>
        <v>268000</v>
      </c>
      <c r="X523" s="103">
        <v>5000</v>
      </c>
      <c r="Y523" s="177">
        <f t="shared" si="93"/>
        <v>263000</v>
      </c>
      <c r="Z523" s="106"/>
      <c r="AA523" s="57"/>
    </row>
    <row r="524" spans="1:27" s="55" customFormat="1" ht="21" customHeight="1" x14ac:dyDescent="0.25">
      <c r="A524" s="56"/>
      <c r="B524" s="291" t="s">
        <v>58</v>
      </c>
      <c r="C524" s="292"/>
      <c r="D524" s="57"/>
      <c r="E524" s="57"/>
      <c r="F524" s="75" t="s">
        <v>80</v>
      </c>
      <c r="G524" s="197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258000</v>
      </c>
      <c r="H524" s="74"/>
      <c r="I524" s="76">
        <f>IF(C528&gt;=C527,$K$2,C526+C528)</f>
        <v>30</v>
      </c>
      <c r="J524" s="77" t="s">
        <v>77</v>
      </c>
      <c r="K524" s="78">
        <f>K520/$K$2*I524</f>
        <v>43000</v>
      </c>
      <c r="L524" s="79"/>
      <c r="M524" s="57"/>
      <c r="N524" s="100"/>
      <c r="O524" s="101" t="s">
        <v>64</v>
      </c>
      <c r="P524" s="101">
        <v>31</v>
      </c>
      <c r="Q524" s="101">
        <v>0</v>
      </c>
      <c r="R524" s="101">
        <f t="shared" si="91"/>
        <v>32</v>
      </c>
      <c r="S524" s="105"/>
      <c r="T524" s="101" t="s">
        <v>64</v>
      </c>
      <c r="U524" s="177">
        <f>Y523</f>
        <v>263000</v>
      </c>
      <c r="V524" s="103"/>
      <c r="W524" s="177">
        <f t="shared" si="92"/>
        <v>263000</v>
      </c>
      <c r="X524" s="103">
        <v>5000</v>
      </c>
      <c r="Y524" s="177">
        <f t="shared" si="93"/>
        <v>258000</v>
      </c>
      <c r="Z524" s="106"/>
      <c r="AA524" s="57"/>
    </row>
    <row r="525" spans="1:27" s="55" customFormat="1" ht="21" customHeight="1" x14ac:dyDescent="0.25">
      <c r="A525" s="56"/>
      <c r="B525" s="66"/>
      <c r="C525" s="66"/>
      <c r="D525" s="57"/>
      <c r="E525" s="57"/>
      <c r="F525" s="75" t="s">
        <v>29</v>
      </c>
      <c r="G525" s="197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300</v>
      </c>
      <c r="H525" s="74"/>
      <c r="I525" s="76">
        <v>10</v>
      </c>
      <c r="J525" s="77" t="s">
        <v>78</v>
      </c>
      <c r="K525" s="80">
        <f>K520/$K$2/8*I525</f>
        <v>1791.6666666666665</v>
      </c>
      <c r="L525" s="81"/>
      <c r="M525" s="57"/>
      <c r="N525" s="100"/>
      <c r="O525" s="101" t="s">
        <v>65</v>
      </c>
      <c r="P525" s="101">
        <v>30</v>
      </c>
      <c r="Q525" s="101">
        <v>0</v>
      </c>
      <c r="R525" s="101">
        <f t="shared" si="91"/>
        <v>32</v>
      </c>
      <c r="S525" s="105"/>
      <c r="T525" s="101" t="s">
        <v>65</v>
      </c>
      <c r="U525" s="177">
        <f>Y524</f>
        <v>258000</v>
      </c>
      <c r="V525" s="103">
        <v>300</v>
      </c>
      <c r="W525" s="177">
        <f t="shared" si="92"/>
        <v>258300</v>
      </c>
      <c r="X525" s="103">
        <v>5300</v>
      </c>
      <c r="Y525" s="177">
        <f t="shared" si="93"/>
        <v>253000</v>
      </c>
      <c r="Z525" s="106"/>
      <c r="AA525" s="57"/>
    </row>
    <row r="526" spans="1:27" s="55" customFormat="1" ht="21" customHeight="1" x14ac:dyDescent="0.25">
      <c r="A526" s="56"/>
      <c r="B526" s="75" t="s">
        <v>7</v>
      </c>
      <c r="C526" s="66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30</v>
      </c>
      <c r="D526" s="57"/>
      <c r="E526" s="57"/>
      <c r="F526" s="75" t="s">
        <v>81</v>
      </c>
      <c r="G526" s="197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258300</v>
      </c>
      <c r="H526" s="74"/>
      <c r="I526" s="293" t="s">
        <v>85</v>
      </c>
      <c r="J526" s="294"/>
      <c r="K526" s="80">
        <f>K524+K525</f>
        <v>44791.666666666664</v>
      </c>
      <c r="L526" s="81"/>
      <c r="M526" s="57"/>
      <c r="N526" s="100"/>
      <c r="O526" s="101" t="s">
        <v>66</v>
      </c>
      <c r="P526" s="101"/>
      <c r="Q526" s="101"/>
      <c r="R526" s="101" t="str">
        <f t="shared" si="91"/>
        <v/>
      </c>
      <c r="S526" s="105"/>
      <c r="T526" s="101" t="s">
        <v>66</v>
      </c>
      <c r="U526" s="177"/>
      <c r="V526" s="103"/>
      <c r="W526" s="177" t="str">
        <f t="shared" si="92"/>
        <v/>
      </c>
      <c r="X526" s="103"/>
      <c r="Y526" s="177" t="str">
        <f t="shared" si="93"/>
        <v/>
      </c>
      <c r="Z526" s="106"/>
      <c r="AA526" s="57"/>
    </row>
    <row r="527" spans="1:27" s="55" customFormat="1" ht="21" customHeight="1" x14ac:dyDescent="0.25">
      <c r="A527" s="56"/>
      <c r="B527" s="75" t="s">
        <v>6</v>
      </c>
      <c r="C527" s="66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57"/>
      <c r="E527" s="57"/>
      <c r="F527" s="75" t="s">
        <v>30</v>
      </c>
      <c r="G527" s="197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5300</v>
      </c>
      <c r="H527" s="74"/>
      <c r="I527" s="293" t="s">
        <v>86</v>
      </c>
      <c r="J527" s="294"/>
      <c r="K527" s="70">
        <f>G527</f>
        <v>5300</v>
      </c>
      <c r="L527" s="82"/>
      <c r="M527" s="57"/>
      <c r="N527" s="100"/>
      <c r="O527" s="101" t="s">
        <v>67</v>
      </c>
      <c r="P527" s="101"/>
      <c r="Q527" s="101"/>
      <c r="R527" s="101" t="str">
        <f t="shared" si="91"/>
        <v/>
      </c>
      <c r="S527" s="105"/>
      <c r="T527" s="101" t="s">
        <v>67</v>
      </c>
      <c r="U527" s="177"/>
      <c r="V527" s="103"/>
      <c r="W527" s="177" t="str">
        <f t="shared" si="92"/>
        <v/>
      </c>
      <c r="X527" s="103"/>
      <c r="Y527" s="177" t="str">
        <f t="shared" si="93"/>
        <v/>
      </c>
      <c r="Z527" s="106"/>
      <c r="AA527" s="57"/>
    </row>
    <row r="528" spans="1:27" s="55" customFormat="1" ht="21" customHeight="1" x14ac:dyDescent="0.25">
      <c r="A528" s="56"/>
      <c r="B528" s="83" t="s">
        <v>84</v>
      </c>
      <c r="C528" s="66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32</v>
      </c>
      <c r="D528" s="57"/>
      <c r="E528" s="57"/>
      <c r="F528" s="75" t="s">
        <v>83</v>
      </c>
      <c r="G528" s="197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253000</v>
      </c>
      <c r="H528" s="57"/>
      <c r="I528" s="295" t="s">
        <v>79</v>
      </c>
      <c r="J528" s="296"/>
      <c r="K528" s="84">
        <f>K526-K527</f>
        <v>39491.666666666664</v>
      </c>
      <c r="L528" s="85"/>
      <c r="M528" s="57"/>
      <c r="N528" s="100"/>
      <c r="O528" s="101" t="s">
        <v>72</v>
      </c>
      <c r="P528" s="101"/>
      <c r="Q528" s="101"/>
      <c r="R528" s="101" t="str">
        <f t="shared" si="91"/>
        <v/>
      </c>
      <c r="S528" s="105"/>
      <c r="T528" s="101" t="s">
        <v>72</v>
      </c>
      <c r="U528" s="177"/>
      <c r="V528" s="103"/>
      <c r="W528" s="177" t="str">
        <f t="shared" si="92"/>
        <v/>
      </c>
      <c r="X528" s="103"/>
      <c r="Y528" s="177" t="str">
        <f t="shared" si="93"/>
        <v/>
      </c>
      <c r="Z528" s="106"/>
      <c r="AA528" s="57"/>
    </row>
    <row r="529" spans="1:27" s="55" customFormat="1" ht="21" customHeight="1" x14ac:dyDescent="0.25">
      <c r="A529" s="56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73"/>
      <c r="M529" s="57"/>
      <c r="N529" s="100"/>
      <c r="O529" s="101" t="s">
        <v>68</v>
      </c>
      <c r="P529" s="101"/>
      <c r="Q529" s="101"/>
      <c r="R529" s="101" t="str">
        <f t="shared" si="91"/>
        <v/>
      </c>
      <c r="S529" s="105"/>
      <c r="T529" s="101" t="s">
        <v>68</v>
      </c>
      <c r="U529" s="177"/>
      <c r="V529" s="103"/>
      <c r="W529" s="177" t="str">
        <f t="shared" si="92"/>
        <v/>
      </c>
      <c r="X529" s="103"/>
      <c r="Y529" s="177" t="str">
        <f t="shared" si="93"/>
        <v/>
      </c>
      <c r="Z529" s="106"/>
      <c r="AA529" s="57"/>
    </row>
    <row r="530" spans="1:27" s="55" customFormat="1" ht="21" customHeight="1" x14ac:dyDescent="0.25">
      <c r="A530" s="56"/>
      <c r="B530" s="284" t="s">
        <v>116</v>
      </c>
      <c r="C530" s="284"/>
      <c r="D530" s="284"/>
      <c r="E530" s="284"/>
      <c r="F530" s="284"/>
      <c r="G530" s="284"/>
      <c r="H530" s="284"/>
      <c r="I530" s="284"/>
      <c r="J530" s="284"/>
      <c r="K530" s="284"/>
      <c r="L530" s="73"/>
      <c r="M530" s="57"/>
      <c r="N530" s="100"/>
      <c r="O530" s="101" t="s">
        <v>73</v>
      </c>
      <c r="P530" s="101"/>
      <c r="Q530" s="101"/>
      <c r="R530" s="101" t="str">
        <f t="shared" si="91"/>
        <v/>
      </c>
      <c r="S530" s="105"/>
      <c r="T530" s="101" t="s">
        <v>73</v>
      </c>
      <c r="U530" s="177"/>
      <c r="V530" s="103"/>
      <c r="W530" s="177" t="str">
        <f t="shared" si="92"/>
        <v/>
      </c>
      <c r="X530" s="103"/>
      <c r="Y530" s="177" t="str">
        <f t="shared" si="93"/>
        <v/>
      </c>
      <c r="Z530" s="106"/>
      <c r="AA530" s="57"/>
    </row>
    <row r="531" spans="1:27" s="55" customFormat="1" ht="21" customHeight="1" x14ac:dyDescent="0.25">
      <c r="A531" s="56"/>
      <c r="B531" s="284"/>
      <c r="C531" s="284"/>
      <c r="D531" s="284"/>
      <c r="E531" s="284"/>
      <c r="F531" s="284"/>
      <c r="G531" s="284"/>
      <c r="H531" s="284"/>
      <c r="I531" s="284"/>
      <c r="J531" s="284"/>
      <c r="K531" s="284"/>
      <c r="L531" s="73"/>
      <c r="M531" s="57"/>
      <c r="N531" s="100"/>
      <c r="O531" s="101" t="s">
        <v>74</v>
      </c>
      <c r="P531" s="101"/>
      <c r="Q531" s="101"/>
      <c r="R531" s="101" t="str">
        <f t="shared" si="91"/>
        <v/>
      </c>
      <c r="S531" s="105"/>
      <c r="T531" s="101" t="s">
        <v>74</v>
      </c>
      <c r="U531" s="177"/>
      <c r="V531" s="103"/>
      <c r="W531" s="177" t="str">
        <f t="shared" si="92"/>
        <v/>
      </c>
      <c r="X531" s="103"/>
      <c r="Y531" s="177" t="str">
        <f t="shared" si="93"/>
        <v/>
      </c>
      <c r="Z531" s="106"/>
      <c r="AA531" s="57"/>
    </row>
    <row r="532" spans="1:27" s="55" customFormat="1" ht="21" customHeight="1" thickBot="1" x14ac:dyDescent="0.3">
      <c r="A532" s="86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8"/>
      <c r="N532" s="107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9"/>
    </row>
    <row r="533" spans="1:27" s="57" customFormat="1" ht="21" customHeight="1" thickBot="1" x14ac:dyDescent="0.3"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  <c r="Z533" s="105"/>
    </row>
    <row r="534" spans="1:27" s="55" customFormat="1" ht="21" customHeight="1" x14ac:dyDescent="0.25">
      <c r="A534" s="297" t="s">
        <v>56</v>
      </c>
      <c r="B534" s="298"/>
      <c r="C534" s="298"/>
      <c r="D534" s="298"/>
      <c r="E534" s="298"/>
      <c r="F534" s="298"/>
      <c r="G534" s="298"/>
      <c r="H534" s="298"/>
      <c r="I534" s="298"/>
      <c r="J534" s="298"/>
      <c r="K534" s="298"/>
      <c r="L534" s="299"/>
      <c r="M534" s="54"/>
      <c r="N534" s="93"/>
      <c r="O534" s="285" t="s">
        <v>58</v>
      </c>
      <c r="P534" s="286"/>
      <c r="Q534" s="286"/>
      <c r="R534" s="287"/>
      <c r="S534" s="94"/>
      <c r="T534" s="285" t="s">
        <v>59</v>
      </c>
      <c r="U534" s="286"/>
      <c r="V534" s="286"/>
      <c r="W534" s="286"/>
      <c r="X534" s="286"/>
      <c r="Y534" s="287"/>
      <c r="Z534" s="95"/>
      <c r="AA534" s="54"/>
    </row>
    <row r="535" spans="1:27" s="55" customFormat="1" ht="21" customHeight="1" x14ac:dyDescent="0.25">
      <c r="A535" s="56"/>
      <c r="B535" s="57"/>
      <c r="C535" s="288" t="s">
        <v>114</v>
      </c>
      <c r="D535" s="288"/>
      <c r="E535" s="288"/>
      <c r="F535" s="288"/>
      <c r="G535" s="58" t="str">
        <f>$J$1</f>
        <v>June</v>
      </c>
      <c r="H535" s="289">
        <f>$K$1</f>
        <v>2019</v>
      </c>
      <c r="I535" s="289"/>
      <c r="J535" s="57"/>
      <c r="K535" s="59"/>
      <c r="L535" s="60"/>
      <c r="M535" s="59"/>
      <c r="N535" s="96"/>
      <c r="O535" s="97" t="s">
        <v>69</v>
      </c>
      <c r="P535" s="97" t="s">
        <v>7</v>
      </c>
      <c r="Q535" s="97" t="s">
        <v>6</v>
      </c>
      <c r="R535" s="97" t="s">
        <v>70</v>
      </c>
      <c r="S535" s="98"/>
      <c r="T535" s="97" t="s">
        <v>69</v>
      </c>
      <c r="U535" s="97" t="s">
        <v>71</v>
      </c>
      <c r="V535" s="97" t="s">
        <v>29</v>
      </c>
      <c r="W535" s="97" t="s">
        <v>28</v>
      </c>
      <c r="X535" s="97" t="s">
        <v>30</v>
      </c>
      <c r="Y535" s="97" t="s">
        <v>75</v>
      </c>
      <c r="Z535" s="99"/>
      <c r="AA535" s="59"/>
    </row>
    <row r="536" spans="1:27" s="55" customFormat="1" ht="21" customHeight="1" x14ac:dyDescent="0.25">
      <c r="A536" s="56"/>
      <c r="B536" s="57"/>
      <c r="C536" s="57"/>
      <c r="D536" s="62"/>
      <c r="E536" s="62"/>
      <c r="F536" s="62"/>
      <c r="G536" s="62"/>
      <c r="H536" s="62"/>
      <c r="I536" s="57"/>
      <c r="J536" s="63" t="s">
        <v>1</v>
      </c>
      <c r="K536" s="64">
        <v>15000</v>
      </c>
      <c r="L536" s="65"/>
      <c r="M536" s="57"/>
      <c r="N536" s="100"/>
      <c r="O536" s="101" t="s">
        <v>61</v>
      </c>
      <c r="P536" s="101"/>
      <c r="Q536" s="101"/>
      <c r="R536" s="101">
        <v>0</v>
      </c>
      <c r="S536" s="102"/>
      <c r="T536" s="101" t="s">
        <v>61</v>
      </c>
      <c r="U536" s="103"/>
      <c r="V536" s="103"/>
      <c r="W536" s="103">
        <f>V536+U536</f>
        <v>0</v>
      </c>
      <c r="X536" s="103"/>
      <c r="Y536" s="103">
        <f>W536-X536</f>
        <v>0</v>
      </c>
      <c r="Z536" s="99"/>
      <c r="AA536" s="57"/>
    </row>
    <row r="537" spans="1:27" s="55" customFormat="1" ht="21" customHeight="1" x14ac:dyDescent="0.25">
      <c r="A537" s="56"/>
      <c r="B537" s="57" t="s">
        <v>0</v>
      </c>
      <c r="C537" s="67" t="s">
        <v>175</v>
      </c>
      <c r="D537" s="57"/>
      <c r="E537" s="57"/>
      <c r="F537" s="57"/>
      <c r="G537" s="57"/>
      <c r="H537" s="68"/>
      <c r="I537" s="62"/>
      <c r="J537" s="57"/>
      <c r="K537" s="57"/>
      <c r="L537" s="69"/>
      <c r="M537" s="54"/>
      <c r="N537" s="104"/>
      <c r="O537" s="101" t="s">
        <v>87</v>
      </c>
      <c r="P537" s="101"/>
      <c r="Q537" s="101"/>
      <c r="R537" s="101">
        <v>0</v>
      </c>
      <c r="S537" s="105"/>
      <c r="T537" s="101" t="s">
        <v>87</v>
      </c>
      <c r="U537" s="177">
        <f>Y536</f>
        <v>0</v>
      </c>
      <c r="V537" s="103"/>
      <c r="W537" s="177">
        <f>IF(U537="","",U537+V537)</f>
        <v>0</v>
      </c>
      <c r="X537" s="103"/>
      <c r="Y537" s="177">
        <f>IF(W537="","",W537-X537)</f>
        <v>0</v>
      </c>
      <c r="Z537" s="106"/>
      <c r="AA537" s="54"/>
    </row>
    <row r="538" spans="1:27" s="55" customFormat="1" ht="21" customHeight="1" x14ac:dyDescent="0.25">
      <c r="A538" s="56"/>
      <c r="B538" s="71" t="s">
        <v>57</v>
      </c>
      <c r="C538" s="89"/>
      <c r="D538" s="57"/>
      <c r="E538" s="57"/>
      <c r="F538" s="290" t="s">
        <v>59</v>
      </c>
      <c r="G538" s="290"/>
      <c r="H538" s="57"/>
      <c r="I538" s="290" t="s">
        <v>60</v>
      </c>
      <c r="J538" s="290"/>
      <c r="K538" s="290"/>
      <c r="L538" s="73"/>
      <c r="M538" s="57"/>
      <c r="N538" s="100"/>
      <c r="O538" s="101" t="s">
        <v>62</v>
      </c>
      <c r="P538" s="101">
        <v>24</v>
      </c>
      <c r="Q538" s="101">
        <v>7</v>
      </c>
      <c r="R538" s="101">
        <v>0</v>
      </c>
      <c r="S538" s="105"/>
      <c r="T538" s="101" t="s">
        <v>62</v>
      </c>
      <c r="U538" s="177"/>
      <c r="V538" s="103"/>
      <c r="W538" s="177" t="str">
        <f t="shared" ref="W538:W547" si="94">IF(U538="","",U538+V538)</f>
        <v/>
      </c>
      <c r="X538" s="103"/>
      <c r="Y538" s="177" t="str">
        <f t="shared" ref="Y538:Y547" si="95">IF(W538="","",W538-X538)</f>
        <v/>
      </c>
      <c r="Z538" s="106"/>
      <c r="AA538" s="57"/>
    </row>
    <row r="539" spans="1:27" s="55" customFormat="1" ht="21" customHeight="1" x14ac:dyDescent="0.25">
      <c r="A539" s="56"/>
      <c r="B539" s="57"/>
      <c r="C539" s="57"/>
      <c r="D539" s="57"/>
      <c r="E539" s="57"/>
      <c r="F539" s="57"/>
      <c r="G539" s="57"/>
      <c r="H539" s="74"/>
      <c r="L539" s="61"/>
      <c r="M539" s="57"/>
      <c r="N539" s="100"/>
      <c r="O539" s="101" t="s">
        <v>63</v>
      </c>
      <c r="P539" s="101">
        <v>28</v>
      </c>
      <c r="Q539" s="101">
        <v>2</v>
      </c>
      <c r="R539" s="101">
        <v>0</v>
      </c>
      <c r="S539" s="105"/>
      <c r="T539" s="101" t="s">
        <v>63</v>
      </c>
      <c r="U539" s="177"/>
      <c r="V539" s="103"/>
      <c r="W539" s="177" t="str">
        <f t="shared" si="94"/>
        <v/>
      </c>
      <c r="X539" s="103"/>
      <c r="Y539" s="177" t="str">
        <f t="shared" si="95"/>
        <v/>
      </c>
      <c r="Z539" s="106"/>
      <c r="AA539" s="57"/>
    </row>
    <row r="540" spans="1:27" s="55" customFormat="1" ht="21" customHeight="1" x14ac:dyDescent="0.25">
      <c r="A540" s="56"/>
      <c r="B540" s="291" t="s">
        <v>58</v>
      </c>
      <c r="C540" s="292"/>
      <c r="D540" s="57"/>
      <c r="E540" s="57"/>
      <c r="F540" s="75" t="s">
        <v>80</v>
      </c>
      <c r="G540" s="70">
        <f>IF($J$1="January",U536,IF($J$1="February",U537,IF($J$1="March",U538,IF($J$1="April",U539,IF($J$1="May",U540,IF($J$1="June",U541,IF($J$1="July",U542,IF($J$1="August",U543,IF($J$1="August",U543,IF($J$1="September",U544,IF($J$1="October",U545,IF($J$1="November",U546,IF($J$1="December",U547)))))))))))))</f>
        <v>0</v>
      </c>
      <c r="H540" s="74"/>
      <c r="I540" s="76">
        <f>IF(C544&gt;0,$K$2,C542)</f>
        <v>27</v>
      </c>
      <c r="J540" s="77" t="s">
        <v>77</v>
      </c>
      <c r="K540" s="78">
        <f>K536/$K$2*I540</f>
        <v>13500</v>
      </c>
      <c r="L540" s="79"/>
      <c r="M540" s="57"/>
      <c r="N540" s="100"/>
      <c r="O540" s="101" t="s">
        <v>64</v>
      </c>
      <c r="P540" s="101">
        <v>29</v>
      </c>
      <c r="Q540" s="101">
        <v>2</v>
      </c>
      <c r="R540" s="101">
        <v>0</v>
      </c>
      <c r="S540" s="105"/>
      <c r="T540" s="101" t="s">
        <v>64</v>
      </c>
      <c r="U540" s="177"/>
      <c r="V540" s="103"/>
      <c r="W540" s="177" t="str">
        <f t="shared" si="94"/>
        <v/>
      </c>
      <c r="X540" s="103"/>
      <c r="Y540" s="177" t="str">
        <f t="shared" si="95"/>
        <v/>
      </c>
      <c r="Z540" s="106"/>
      <c r="AA540" s="57"/>
    </row>
    <row r="541" spans="1:27" s="55" customFormat="1" ht="21" customHeight="1" x14ac:dyDescent="0.25">
      <c r="A541" s="56"/>
      <c r="B541" s="66"/>
      <c r="C541" s="66"/>
      <c r="D541" s="57"/>
      <c r="E541" s="57"/>
      <c r="F541" s="75" t="s">
        <v>29</v>
      </c>
      <c r="G541" s="70">
        <f>IF($J$1="January",V536,IF($J$1="February",V537,IF($J$1="March",V538,IF($J$1="April",V539,IF($J$1="May",V540,IF($J$1="June",V541,IF($J$1="July",V542,IF($J$1="August",V543,IF($J$1="August",V543,IF($J$1="September",V544,IF($J$1="October",V545,IF($J$1="November",V546,IF($J$1="December",V547)))))))))))))</f>
        <v>0</v>
      </c>
      <c r="H541" s="74"/>
      <c r="I541" s="120">
        <v>3.5</v>
      </c>
      <c r="J541" s="77" t="s">
        <v>78</v>
      </c>
      <c r="K541" s="80">
        <f>K536/$K$2/8*I541</f>
        <v>218.75</v>
      </c>
      <c r="L541" s="81"/>
      <c r="M541" s="57"/>
      <c r="N541" s="100"/>
      <c r="O541" s="101" t="s">
        <v>65</v>
      </c>
      <c r="P541" s="101">
        <v>27</v>
      </c>
      <c r="Q541" s="101">
        <v>3</v>
      </c>
      <c r="R541" s="101"/>
      <c r="S541" s="105"/>
      <c r="T541" s="101" t="s">
        <v>65</v>
      </c>
      <c r="U541" s="177"/>
      <c r="V541" s="103"/>
      <c r="W541" s="177" t="str">
        <f t="shared" si="94"/>
        <v/>
      </c>
      <c r="X541" s="103"/>
      <c r="Y541" s="177" t="str">
        <f t="shared" si="95"/>
        <v/>
      </c>
      <c r="Z541" s="106"/>
      <c r="AA541" s="57"/>
    </row>
    <row r="542" spans="1:27" s="55" customFormat="1" ht="21" customHeight="1" x14ac:dyDescent="0.25">
      <c r="A542" s="56"/>
      <c r="B542" s="75" t="s">
        <v>7</v>
      </c>
      <c r="C542" s="66">
        <f>IF($J$1="January",P536,IF($J$1="February",P537,IF($J$1="March",P538,IF($J$1="April",P539,IF($J$1="May",P540,IF($J$1="June",P541,IF($J$1="July",P542,IF($J$1="August",P543,IF($J$1="August",P543,IF($J$1="September",P544,IF($J$1="October",P545,IF($J$1="November",P546,IF($J$1="December",P547)))))))))))))</f>
        <v>27</v>
      </c>
      <c r="D542" s="57"/>
      <c r="E542" s="57"/>
      <c r="F542" s="75" t="s">
        <v>81</v>
      </c>
      <c r="G542" s="70" t="str">
        <f>IF($J$1="January",W536,IF($J$1="February",W537,IF($J$1="March",W538,IF($J$1="April",W539,IF($J$1="May",W540,IF($J$1="June",W541,IF($J$1="July",W542,IF($J$1="August",W543,IF($J$1="August",W543,IF($J$1="September",W544,IF($J$1="October",W545,IF($J$1="November",W546,IF($J$1="December",W547)))))))))))))</f>
        <v/>
      </c>
      <c r="H542" s="74"/>
      <c r="I542" s="293" t="s">
        <v>85</v>
      </c>
      <c r="J542" s="294"/>
      <c r="K542" s="80">
        <f>K540+K541</f>
        <v>13718.75</v>
      </c>
      <c r="L542" s="81"/>
      <c r="M542" s="57"/>
      <c r="N542" s="100"/>
      <c r="O542" s="101" t="s">
        <v>66</v>
      </c>
      <c r="P542" s="101"/>
      <c r="Q542" s="101"/>
      <c r="R542" s="101">
        <v>0</v>
      </c>
      <c r="S542" s="105"/>
      <c r="T542" s="101" t="s">
        <v>66</v>
      </c>
      <c r="U542" s="177"/>
      <c r="V542" s="103"/>
      <c r="W542" s="177" t="str">
        <f t="shared" si="94"/>
        <v/>
      </c>
      <c r="X542" s="103"/>
      <c r="Y542" s="177" t="str">
        <f t="shared" si="95"/>
        <v/>
      </c>
      <c r="Z542" s="106"/>
      <c r="AA542" s="57"/>
    </row>
    <row r="543" spans="1:27" s="55" customFormat="1" ht="21" customHeight="1" x14ac:dyDescent="0.25">
      <c r="A543" s="56"/>
      <c r="B543" s="75" t="s">
        <v>6</v>
      </c>
      <c r="C543" s="66">
        <f>IF($J$1="January",Q536,IF($J$1="February",Q537,IF($J$1="March",Q538,IF($J$1="April",Q539,IF($J$1="May",Q540,IF($J$1="June",Q541,IF($J$1="July",Q542,IF($J$1="August",Q543,IF($J$1="August",Q543,IF($J$1="September",Q544,IF($J$1="October",Q545,IF($J$1="November",Q546,IF($J$1="December",Q547)))))))))))))</f>
        <v>3</v>
      </c>
      <c r="D543" s="57"/>
      <c r="E543" s="57"/>
      <c r="F543" s="75" t="s">
        <v>30</v>
      </c>
      <c r="G543" s="70">
        <f>IF($J$1="January",X536,IF($J$1="February",X537,IF($J$1="March",X538,IF($J$1="April",X539,IF($J$1="May",X540,IF($J$1="June",X541,IF($J$1="July",X542,IF($J$1="August",X543,IF($J$1="August",X543,IF($J$1="September",X544,IF($J$1="October",X545,IF($J$1="November",X546,IF($J$1="December",X547)))))))))))))</f>
        <v>0</v>
      </c>
      <c r="H543" s="74"/>
      <c r="I543" s="293" t="s">
        <v>86</v>
      </c>
      <c r="J543" s="294"/>
      <c r="K543" s="70">
        <f>G543</f>
        <v>0</v>
      </c>
      <c r="L543" s="82"/>
      <c r="M543" s="57"/>
      <c r="N543" s="100"/>
      <c r="O543" s="101" t="s">
        <v>67</v>
      </c>
      <c r="P543" s="101"/>
      <c r="Q543" s="101"/>
      <c r="R543" s="101" t="str">
        <f t="shared" ref="R543:R546" si="96">IF(Q543="","",R542-Q543)</f>
        <v/>
      </c>
      <c r="S543" s="105"/>
      <c r="T543" s="101" t="s">
        <v>67</v>
      </c>
      <c r="U543" s="177"/>
      <c r="V543" s="103"/>
      <c r="W543" s="177" t="str">
        <f t="shared" si="94"/>
        <v/>
      </c>
      <c r="X543" s="103"/>
      <c r="Y543" s="177" t="str">
        <f t="shared" si="95"/>
        <v/>
      </c>
      <c r="Z543" s="106"/>
      <c r="AA543" s="57"/>
    </row>
    <row r="544" spans="1:27" s="55" customFormat="1" ht="21" customHeight="1" x14ac:dyDescent="0.25">
      <c r="A544" s="56"/>
      <c r="B544" s="83" t="s">
        <v>84</v>
      </c>
      <c r="C544" s="66">
        <f>IF($J$1="January",R536,IF($J$1="February",R537,IF($J$1="March",R538,IF($J$1="April",R539,IF($J$1="May",R540,IF($J$1="June",R541,IF($J$1="July",R542,IF($J$1="August",R543,IF($J$1="August",R543,IF($J$1="September",R544,IF($J$1="October",R545,IF($J$1="November",R546,IF($J$1="December",R547)))))))))))))</f>
        <v>0</v>
      </c>
      <c r="D544" s="57"/>
      <c r="E544" s="57"/>
      <c r="F544" s="75" t="s">
        <v>83</v>
      </c>
      <c r="G544" s="70" t="str">
        <f>IF($J$1="January",Y536,IF($J$1="February",Y537,IF($J$1="March",Y538,IF($J$1="April",Y539,IF($J$1="May",Y540,IF($J$1="June",Y541,IF($J$1="July",Y542,IF($J$1="August",Y543,IF($J$1="August",Y543,IF($J$1="September",Y544,IF($J$1="October",Y545,IF($J$1="November",Y546,IF($J$1="December",Y547)))))))))))))</f>
        <v/>
      </c>
      <c r="H544" s="57"/>
      <c r="I544" s="295" t="s">
        <v>79</v>
      </c>
      <c r="J544" s="296"/>
      <c r="K544" s="84">
        <f>K542-K543</f>
        <v>13718.75</v>
      </c>
      <c r="L544" s="85"/>
      <c r="M544" s="57"/>
      <c r="N544" s="100"/>
      <c r="O544" s="101" t="s">
        <v>72</v>
      </c>
      <c r="P544" s="101"/>
      <c r="Q544" s="101"/>
      <c r="R544" s="101">
        <v>0</v>
      </c>
      <c r="S544" s="105"/>
      <c r="T544" s="101" t="s">
        <v>72</v>
      </c>
      <c r="U544" s="177"/>
      <c r="V544" s="103"/>
      <c r="W544" s="177" t="str">
        <f t="shared" si="94"/>
        <v/>
      </c>
      <c r="X544" s="103"/>
      <c r="Y544" s="177" t="str">
        <f t="shared" si="95"/>
        <v/>
      </c>
      <c r="Z544" s="106"/>
      <c r="AA544" s="57"/>
    </row>
    <row r="545" spans="1:27" s="55" customFormat="1" ht="21" customHeight="1" x14ac:dyDescent="0.25">
      <c r="A545" s="56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73"/>
      <c r="M545" s="57"/>
      <c r="N545" s="100"/>
      <c r="O545" s="101" t="s">
        <v>68</v>
      </c>
      <c r="P545" s="101"/>
      <c r="Q545" s="101"/>
      <c r="R545" s="101">
        <v>0</v>
      </c>
      <c r="S545" s="105"/>
      <c r="T545" s="101" t="s">
        <v>68</v>
      </c>
      <c r="U545" s="177"/>
      <c r="V545" s="103"/>
      <c r="W545" s="177" t="str">
        <f t="shared" si="94"/>
        <v/>
      </c>
      <c r="X545" s="103"/>
      <c r="Y545" s="177" t="str">
        <f t="shared" si="95"/>
        <v/>
      </c>
      <c r="Z545" s="106"/>
      <c r="AA545" s="57"/>
    </row>
    <row r="546" spans="1:27" s="55" customFormat="1" ht="21" customHeight="1" x14ac:dyDescent="0.25">
      <c r="A546" s="56"/>
      <c r="B546" s="284" t="s">
        <v>116</v>
      </c>
      <c r="C546" s="284"/>
      <c r="D546" s="284"/>
      <c r="E546" s="284"/>
      <c r="F546" s="284"/>
      <c r="G546" s="284"/>
      <c r="H546" s="284"/>
      <c r="I546" s="284"/>
      <c r="J546" s="284"/>
      <c r="K546" s="284"/>
      <c r="L546" s="73"/>
      <c r="M546" s="57"/>
      <c r="N546" s="100"/>
      <c r="O546" s="101" t="s">
        <v>73</v>
      </c>
      <c r="P546" s="101"/>
      <c r="Q546" s="101"/>
      <c r="R546" s="101" t="str">
        <f t="shared" si="96"/>
        <v/>
      </c>
      <c r="S546" s="105"/>
      <c r="T546" s="101" t="s">
        <v>73</v>
      </c>
      <c r="U546" s="177"/>
      <c r="V546" s="103"/>
      <c r="W546" s="177" t="str">
        <f t="shared" si="94"/>
        <v/>
      </c>
      <c r="X546" s="103"/>
      <c r="Y546" s="177" t="str">
        <f t="shared" si="95"/>
        <v/>
      </c>
      <c r="Z546" s="106"/>
      <c r="AA546" s="57"/>
    </row>
    <row r="547" spans="1:27" s="55" customFormat="1" ht="21" customHeight="1" x14ac:dyDescent="0.25">
      <c r="A547" s="56"/>
      <c r="B547" s="284"/>
      <c r="C547" s="284"/>
      <c r="D547" s="284"/>
      <c r="E547" s="284"/>
      <c r="F547" s="284"/>
      <c r="G547" s="284"/>
      <c r="H547" s="284"/>
      <c r="I547" s="284"/>
      <c r="J547" s="284"/>
      <c r="K547" s="284"/>
      <c r="L547" s="73"/>
      <c r="M547" s="57"/>
      <c r="N547" s="100"/>
      <c r="O547" s="101" t="s">
        <v>74</v>
      </c>
      <c r="P547" s="101"/>
      <c r="Q547" s="101"/>
      <c r="R547" s="101">
        <v>0</v>
      </c>
      <c r="S547" s="105"/>
      <c r="T547" s="101" t="s">
        <v>74</v>
      </c>
      <c r="U547" s="177"/>
      <c r="V547" s="103"/>
      <c r="W547" s="177" t="str">
        <f t="shared" si="94"/>
        <v/>
      </c>
      <c r="X547" s="103"/>
      <c r="Y547" s="177" t="str">
        <f t="shared" si="95"/>
        <v/>
      </c>
      <c r="Z547" s="106"/>
      <c r="AA547" s="57"/>
    </row>
    <row r="548" spans="1:27" s="55" customFormat="1" ht="21" customHeight="1" thickBot="1" x14ac:dyDescent="0.3">
      <c r="A548" s="86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8"/>
      <c r="N548" s="107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9"/>
    </row>
    <row r="549" spans="1:27" s="57" customFormat="1" ht="21" customHeight="1" thickBot="1" x14ac:dyDescent="0.3"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</row>
    <row r="550" spans="1:27" s="55" customFormat="1" ht="21" customHeight="1" x14ac:dyDescent="0.25">
      <c r="A550" s="297" t="s">
        <v>56</v>
      </c>
      <c r="B550" s="298"/>
      <c r="C550" s="298"/>
      <c r="D550" s="298"/>
      <c r="E550" s="298"/>
      <c r="F550" s="298"/>
      <c r="G550" s="298"/>
      <c r="H550" s="298"/>
      <c r="I550" s="298"/>
      <c r="J550" s="298"/>
      <c r="K550" s="298"/>
      <c r="L550" s="299"/>
      <c r="M550" s="54"/>
      <c r="N550" s="93"/>
      <c r="O550" s="285" t="s">
        <v>58</v>
      </c>
      <c r="P550" s="286"/>
      <c r="Q550" s="286"/>
      <c r="R550" s="287"/>
      <c r="S550" s="94"/>
      <c r="T550" s="285" t="s">
        <v>59</v>
      </c>
      <c r="U550" s="286"/>
      <c r="V550" s="286"/>
      <c r="W550" s="286"/>
      <c r="X550" s="286"/>
      <c r="Y550" s="287"/>
      <c r="Z550" s="95"/>
      <c r="AA550" s="54"/>
    </row>
    <row r="551" spans="1:27" s="55" customFormat="1" ht="21" customHeight="1" x14ac:dyDescent="0.25">
      <c r="A551" s="56"/>
      <c r="B551" s="57"/>
      <c r="C551" s="288" t="s">
        <v>114</v>
      </c>
      <c r="D551" s="288"/>
      <c r="E551" s="288"/>
      <c r="F551" s="288"/>
      <c r="G551" s="58" t="str">
        <f>$J$1</f>
        <v>June</v>
      </c>
      <c r="H551" s="289">
        <f>$K$1</f>
        <v>2019</v>
      </c>
      <c r="I551" s="289"/>
      <c r="J551" s="57"/>
      <c r="K551" s="59"/>
      <c r="L551" s="60"/>
      <c r="M551" s="59"/>
      <c r="N551" s="96"/>
      <c r="O551" s="97" t="s">
        <v>69</v>
      </c>
      <c r="P551" s="97" t="s">
        <v>7</v>
      </c>
      <c r="Q551" s="97" t="s">
        <v>6</v>
      </c>
      <c r="R551" s="97" t="s">
        <v>70</v>
      </c>
      <c r="S551" s="98"/>
      <c r="T551" s="97" t="s">
        <v>69</v>
      </c>
      <c r="U551" s="97" t="s">
        <v>71</v>
      </c>
      <c r="V551" s="97" t="s">
        <v>29</v>
      </c>
      <c r="W551" s="97" t="s">
        <v>28</v>
      </c>
      <c r="X551" s="97" t="s">
        <v>30</v>
      </c>
      <c r="Y551" s="97" t="s">
        <v>75</v>
      </c>
      <c r="Z551" s="99"/>
      <c r="AA551" s="59"/>
    </row>
    <row r="552" spans="1:27" s="55" customFormat="1" ht="21" customHeight="1" x14ac:dyDescent="0.25">
      <c r="A552" s="56"/>
      <c r="B552" s="57"/>
      <c r="C552" s="57"/>
      <c r="D552" s="62"/>
      <c r="E552" s="62"/>
      <c r="F552" s="62"/>
      <c r="G552" s="62"/>
      <c r="H552" s="62"/>
      <c r="I552" s="57"/>
      <c r="J552" s="63" t="s">
        <v>1</v>
      </c>
      <c r="K552" s="64">
        <v>18000</v>
      </c>
      <c r="L552" s="65"/>
      <c r="M552" s="57"/>
      <c r="N552" s="100"/>
      <c r="O552" s="101" t="s">
        <v>61</v>
      </c>
      <c r="P552" s="101">
        <v>29</v>
      </c>
      <c r="Q552" s="101">
        <v>2</v>
      </c>
      <c r="R552" s="101">
        <f>15-Q552</f>
        <v>13</v>
      </c>
      <c r="S552" s="102"/>
      <c r="T552" s="101" t="s">
        <v>61</v>
      </c>
      <c r="U552" s="103">
        <v>15000</v>
      </c>
      <c r="V552" s="103"/>
      <c r="W552" s="103">
        <f>V552+U552</f>
        <v>15000</v>
      </c>
      <c r="X552" s="103">
        <v>5000</v>
      </c>
      <c r="Y552" s="103">
        <f>W552-X552</f>
        <v>10000</v>
      </c>
      <c r="Z552" s="99"/>
      <c r="AA552" s="57"/>
    </row>
    <row r="553" spans="1:27" s="55" customFormat="1" ht="21" customHeight="1" x14ac:dyDescent="0.25">
      <c r="A553" s="56"/>
      <c r="B553" s="57" t="s">
        <v>0</v>
      </c>
      <c r="C553" s="67" t="s">
        <v>20</v>
      </c>
      <c r="D553" s="57"/>
      <c r="E553" s="57"/>
      <c r="F553" s="57"/>
      <c r="G553" s="57"/>
      <c r="H553" s="68"/>
      <c r="I553" s="62"/>
      <c r="J553" s="57"/>
      <c r="K553" s="57"/>
      <c r="L553" s="69"/>
      <c r="M553" s="54"/>
      <c r="N553" s="104"/>
      <c r="O553" s="101" t="s">
        <v>87</v>
      </c>
      <c r="P553" s="101">
        <v>23</v>
      </c>
      <c r="Q553" s="101">
        <v>5</v>
      </c>
      <c r="R553" s="101">
        <f>IF(Q553="","",R552-Q553)</f>
        <v>8</v>
      </c>
      <c r="S553" s="105"/>
      <c r="T553" s="101" t="s">
        <v>87</v>
      </c>
      <c r="U553" s="177">
        <f>Y552</f>
        <v>10000</v>
      </c>
      <c r="V553" s="103"/>
      <c r="W553" s="177">
        <f>IF(U553="","",U553+V553)</f>
        <v>10000</v>
      </c>
      <c r="X553" s="103">
        <v>5000</v>
      </c>
      <c r="Y553" s="177">
        <f>IF(W553="","",W553-X553)</f>
        <v>5000</v>
      </c>
      <c r="Z553" s="106"/>
      <c r="AA553" s="54"/>
    </row>
    <row r="554" spans="1:27" s="55" customFormat="1" ht="21" customHeight="1" x14ac:dyDescent="0.25">
      <c r="A554" s="56"/>
      <c r="B554" s="71" t="s">
        <v>57</v>
      </c>
      <c r="C554" s="72"/>
      <c r="D554" s="57"/>
      <c r="E554" s="57"/>
      <c r="F554" s="290" t="s">
        <v>59</v>
      </c>
      <c r="G554" s="290"/>
      <c r="H554" s="57"/>
      <c r="I554" s="290" t="s">
        <v>60</v>
      </c>
      <c r="J554" s="290"/>
      <c r="K554" s="290"/>
      <c r="L554" s="73"/>
      <c r="M554" s="57"/>
      <c r="N554" s="100"/>
      <c r="O554" s="101" t="s">
        <v>62</v>
      </c>
      <c r="P554" s="101">
        <v>31</v>
      </c>
      <c r="Q554" s="101">
        <v>0</v>
      </c>
      <c r="R554" s="101">
        <f t="shared" ref="R554:R563" si="97">IF(Q554="","",R553-Q554)</f>
        <v>8</v>
      </c>
      <c r="S554" s="105"/>
      <c r="T554" s="101" t="s">
        <v>62</v>
      </c>
      <c r="U554" s="177">
        <f>Y553</f>
        <v>5000</v>
      </c>
      <c r="V554" s="103">
        <v>5000</v>
      </c>
      <c r="W554" s="177">
        <f t="shared" ref="W554:W563" si="98">IF(U554="","",U554+V554)</f>
        <v>10000</v>
      </c>
      <c r="X554" s="103">
        <v>5000</v>
      </c>
      <c r="Y554" s="177">
        <f t="shared" ref="Y554:Y563" si="99">IF(W554="","",W554-X554)</f>
        <v>5000</v>
      </c>
      <c r="Z554" s="106"/>
      <c r="AA554" s="57"/>
    </row>
    <row r="555" spans="1:27" s="55" customFormat="1" ht="21" customHeight="1" x14ac:dyDescent="0.25">
      <c r="A555" s="56"/>
      <c r="B555" s="57"/>
      <c r="C555" s="57"/>
      <c r="D555" s="57"/>
      <c r="E555" s="57"/>
      <c r="F555" s="57"/>
      <c r="G555" s="57"/>
      <c r="H555" s="74"/>
      <c r="L555" s="61"/>
      <c r="M555" s="57"/>
      <c r="N555" s="100"/>
      <c r="O555" s="101" t="s">
        <v>63</v>
      </c>
      <c r="P555" s="101">
        <v>27</v>
      </c>
      <c r="Q555" s="101">
        <v>3</v>
      </c>
      <c r="R555" s="101">
        <f t="shared" si="97"/>
        <v>5</v>
      </c>
      <c r="S555" s="105"/>
      <c r="T555" s="101" t="s">
        <v>63</v>
      </c>
      <c r="U555" s="177">
        <f>Y554</f>
        <v>5000</v>
      </c>
      <c r="V555" s="103"/>
      <c r="W555" s="177">
        <f t="shared" si="98"/>
        <v>5000</v>
      </c>
      <c r="X555" s="103">
        <v>5000</v>
      </c>
      <c r="Y555" s="177">
        <f t="shared" si="99"/>
        <v>0</v>
      </c>
      <c r="Z555" s="106"/>
      <c r="AA555" s="57"/>
    </row>
    <row r="556" spans="1:27" s="55" customFormat="1" ht="21" customHeight="1" x14ac:dyDescent="0.25">
      <c r="A556" s="56"/>
      <c r="B556" s="291" t="s">
        <v>58</v>
      </c>
      <c r="C556" s="292"/>
      <c r="D556" s="57"/>
      <c r="E556" s="57"/>
      <c r="F556" s="75" t="s">
        <v>80</v>
      </c>
      <c r="G556" s="196">
        <f>IF($J$1="January",U552,IF($J$1="February",U553,IF($J$1="March",U554,IF($J$1="April",U555,IF($J$1="May",U556,IF($J$1="June",U557,IF($J$1="July",U558,IF($J$1="August",U559,IF($J$1="August",U559,IF($J$1="September",U560,IF($J$1="October",U561,IF($J$1="November",U562,IF($J$1="December",U563)))))))))))))</f>
        <v>0</v>
      </c>
      <c r="H556" s="74"/>
      <c r="I556" s="76">
        <f>IF(C560&gt;0,$K$2,C558)</f>
        <v>30</v>
      </c>
      <c r="J556" s="77" t="s">
        <v>77</v>
      </c>
      <c r="K556" s="78">
        <f>K552/$K$2*I556</f>
        <v>18000</v>
      </c>
      <c r="L556" s="79"/>
      <c r="M556" s="57"/>
      <c r="N556" s="100"/>
      <c r="O556" s="101" t="s">
        <v>64</v>
      </c>
      <c r="P556" s="101">
        <v>30</v>
      </c>
      <c r="Q556" s="101">
        <v>1</v>
      </c>
      <c r="R556" s="101">
        <f t="shared" si="97"/>
        <v>4</v>
      </c>
      <c r="S556" s="105"/>
      <c r="T556" s="101" t="s">
        <v>64</v>
      </c>
      <c r="U556" s="177">
        <f>Y555</f>
        <v>0</v>
      </c>
      <c r="V556" s="103">
        <v>5000</v>
      </c>
      <c r="W556" s="177">
        <f t="shared" si="98"/>
        <v>5000</v>
      </c>
      <c r="X556" s="103">
        <v>5000</v>
      </c>
      <c r="Y556" s="177">
        <f t="shared" si="99"/>
        <v>0</v>
      </c>
      <c r="Z556" s="106"/>
      <c r="AA556" s="57"/>
    </row>
    <row r="557" spans="1:27" s="55" customFormat="1" ht="21" customHeight="1" x14ac:dyDescent="0.25">
      <c r="A557" s="56"/>
      <c r="B557" s="66"/>
      <c r="C557" s="66"/>
      <c r="D557" s="57"/>
      <c r="E557" s="57"/>
      <c r="F557" s="75" t="s">
        <v>29</v>
      </c>
      <c r="G557" s="196">
        <f>IF($J$1="January",V552,IF($J$1="February",V553,IF($J$1="March",V554,IF($J$1="April",V555,IF($J$1="May",V556,IF($J$1="June",V557,IF($J$1="July",V558,IF($J$1="August",V559,IF($J$1="August",V559,IF($J$1="September",V560,IF($J$1="October",V561,IF($J$1="November",V562,IF($J$1="December",V563)))))))))))))</f>
        <v>20000</v>
      </c>
      <c r="H557" s="74"/>
      <c r="I557" s="120">
        <v>19</v>
      </c>
      <c r="J557" s="77" t="s">
        <v>78</v>
      </c>
      <c r="K557" s="80">
        <f>K552/$K$2/8*I557</f>
        <v>1425</v>
      </c>
      <c r="L557" s="81"/>
      <c r="M557" s="57"/>
      <c r="N557" s="100"/>
      <c r="O557" s="101" t="s">
        <v>65</v>
      </c>
      <c r="P557" s="101">
        <v>29</v>
      </c>
      <c r="Q557" s="101">
        <v>1</v>
      </c>
      <c r="R557" s="101">
        <f t="shared" si="97"/>
        <v>3</v>
      </c>
      <c r="S557" s="105"/>
      <c r="T557" s="101" t="s">
        <v>65</v>
      </c>
      <c r="U557" s="177">
        <f>Y556</f>
        <v>0</v>
      </c>
      <c r="V557" s="103">
        <v>20000</v>
      </c>
      <c r="W557" s="177">
        <f t="shared" si="98"/>
        <v>20000</v>
      </c>
      <c r="X557" s="103">
        <v>19425</v>
      </c>
      <c r="Y557" s="177">
        <f t="shared" si="99"/>
        <v>575</v>
      </c>
      <c r="Z557" s="106"/>
      <c r="AA557" s="57"/>
    </row>
    <row r="558" spans="1:27" s="55" customFormat="1" ht="21" customHeight="1" x14ac:dyDescent="0.25">
      <c r="A558" s="56"/>
      <c r="B558" s="75" t="s">
        <v>7</v>
      </c>
      <c r="C558" s="66">
        <f>IF($J$1="January",P552,IF($J$1="February",P553,IF($J$1="March",P554,IF($J$1="April",P555,IF($J$1="May",P556,IF($J$1="June",P557,IF($J$1="July",P558,IF($J$1="August",P559,IF($J$1="August",P559,IF($J$1="September",P560,IF($J$1="October",P561,IF($J$1="November",P562,IF($J$1="December",P563)))))))))))))</f>
        <v>29</v>
      </c>
      <c r="D558" s="57"/>
      <c r="E558" s="57"/>
      <c r="F558" s="75" t="s">
        <v>81</v>
      </c>
      <c r="G558" s="196">
        <f>IF($J$1="January",W552,IF($J$1="February",W553,IF($J$1="March",W554,IF($J$1="April",W555,IF($J$1="May",W556,IF($J$1="June",W557,IF($J$1="July",W558,IF($J$1="August",W559,IF($J$1="August",W559,IF($J$1="September",W560,IF($J$1="October",W561,IF($J$1="November",W562,IF($J$1="December",W563)))))))))))))</f>
        <v>20000</v>
      </c>
      <c r="H558" s="74"/>
      <c r="I558" s="293" t="s">
        <v>85</v>
      </c>
      <c r="J558" s="294"/>
      <c r="K558" s="80">
        <f>K556+K557</f>
        <v>19425</v>
      </c>
      <c r="L558" s="81"/>
      <c r="M558" s="57"/>
      <c r="N558" s="100"/>
      <c r="O558" s="101" t="s">
        <v>66</v>
      </c>
      <c r="P558" s="101"/>
      <c r="Q558" s="101"/>
      <c r="R558" s="101" t="str">
        <f t="shared" si="97"/>
        <v/>
      </c>
      <c r="S558" s="105"/>
      <c r="T558" s="101" t="s">
        <v>66</v>
      </c>
      <c r="U558" s="177"/>
      <c r="V558" s="103"/>
      <c r="W558" s="177" t="str">
        <f t="shared" si="98"/>
        <v/>
      </c>
      <c r="X558" s="103"/>
      <c r="Y558" s="177" t="str">
        <f t="shared" si="99"/>
        <v/>
      </c>
      <c r="Z558" s="106"/>
      <c r="AA558" s="57"/>
    </row>
    <row r="559" spans="1:27" s="55" customFormat="1" ht="21" customHeight="1" x14ac:dyDescent="0.25">
      <c r="A559" s="56"/>
      <c r="B559" s="75" t="s">
        <v>6</v>
      </c>
      <c r="C559" s="66">
        <f>IF($J$1="January",Q552,IF($J$1="February",Q553,IF($J$1="March",Q554,IF($J$1="April",Q555,IF($J$1="May",Q556,IF($J$1="June",Q557,IF($J$1="July",Q558,IF($J$1="August",Q559,IF($J$1="August",Q559,IF($J$1="September",Q560,IF($J$1="October",Q561,IF($J$1="November",Q562,IF($J$1="December",Q563)))))))))))))</f>
        <v>1</v>
      </c>
      <c r="D559" s="57"/>
      <c r="E559" s="57"/>
      <c r="F559" s="75" t="s">
        <v>30</v>
      </c>
      <c r="G559" s="196">
        <f>IF($J$1="January",X552,IF($J$1="February",X553,IF($J$1="March",X554,IF($J$1="April",X555,IF($J$1="May",X556,IF($J$1="June",X557,IF($J$1="July",X558,IF($J$1="August",X559,IF($J$1="August",X559,IF($J$1="September",X560,IF($J$1="October",X561,IF($J$1="November",X562,IF($J$1="December",X563)))))))))))))</f>
        <v>19425</v>
      </c>
      <c r="H559" s="74"/>
      <c r="I559" s="293" t="s">
        <v>86</v>
      </c>
      <c r="J559" s="294"/>
      <c r="K559" s="70">
        <f>G559</f>
        <v>19425</v>
      </c>
      <c r="L559" s="82"/>
      <c r="M559" s="57"/>
      <c r="N559" s="100"/>
      <c r="O559" s="101" t="s">
        <v>67</v>
      </c>
      <c r="P559" s="101"/>
      <c r="Q559" s="101"/>
      <c r="R559" s="101" t="str">
        <f t="shared" si="97"/>
        <v/>
      </c>
      <c r="S559" s="105"/>
      <c r="T559" s="101" t="s">
        <v>67</v>
      </c>
      <c r="U559" s="177"/>
      <c r="V559" s="103"/>
      <c r="W559" s="177" t="str">
        <f t="shared" si="98"/>
        <v/>
      </c>
      <c r="X559" s="103"/>
      <c r="Y559" s="177" t="str">
        <f t="shared" si="99"/>
        <v/>
      </c>
      <c r="Z559" s="106"/>
      <c r="AA559" s="57"/>
    </row>
    <row r="560" spans="1:27" s="55" customFormat="1" ht="21" customHeight="1" x14ac:dyDescent="0.25">
      <c r="A560" s="56"/>
      <c r="B560" s="83" t="s">
        <v>84</v>
      </c>
      <c r="C560" s="66">
        <f>IF($J$1="January",R552,IF($J$1="February",R553,IF($J$1="March",R554,IF($J$1="April",R555,IF($J$1="May",R556,IF($J$1="June",R557,IF($J$1="July",R558,IF($J$1="August",R559,IF($J$1="August",R559,IF($J$1="September",R560,IF($J$1="October",R561,IF($J$1="November",R562,IF($J$1="December",R563)))))))))))))</f>
        <v>3</v>
      </c>
      <c r="D560" s="57"/>
      <c r="E560" s="57"/>
      <c r="F560" s="75" t="s">
        <v>83</v>
      </c>
      <c r="G560" s="196">
        <f>IF($J$1="January",Y552,IF($J$1="February",Y553,IF($J$1="March",Y554,IF($J$1="April",Y555,IF($J$1="May",Y556,IF($J$1="June",Y557,IF($J$1="July",Y558,IF($J$1="August",Y559,IF($J$1="August",Y559,IF($J$1="September",Y560,IF($J$1="October",Y561,IF($J$1="November",Y562,IF($J$1="December",Y563)))))))))))))</f>
        <v>575</v>
      </c>
      <c r="H560" s="57"/>
      <c r="I560" s="295" t="s">
        <v>79</v>
      </c>
      <c r="J560" s="296"/>
      <c r="K560" s="84">
        <f>K558-K559</f>
        <v>0</v>
      </c>
      <c r="L560" s="85"/>
      <c r="M560" s="57"/>
      <c r="N560" s="100"/>
      <c r="O560" s="101" t="s">
        <v>72</v>
      </c>
      <c r="P560" s="101"/>
      <c r="Q560" s="101"/>
      <c r="R560" s="101">
        <v>0</v>
      </c>
      <c r="S560" s="105"/>
      <c r="T560" s="101" t="s">
        <v>72</v>
      </c>
      <c r="U560" s="177"/>
      <c r="V560" s="103"/>
      <c r="W560" s="177" t="str">
        <f t="shared" si="98"/>
        <v/>
      </c>
      <c r="X560" s="103"/>
      <c r="Y560" s="177" t="str">
        <f t="shared" si="99"/>
        <v/>
      </c>
      <c r="Z560" s="106"/>
      <c r="AA560" s="57"/>
    </row>
    <row r="561" spans="1:27" s="55" customFormat="1" ht="21" customHeight="1" x14ac:dyDescent="0.25">
      <c r="A561" s="56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73"/>
      <c r="M561" s="57"/>
      <c r="N561" s="100"/>
      <c r="O561" s="101" t="s">
        <v>68</v>
      </c>
      <c r="P561" s="101"/>
      <c r="Q561" s="101"/>
      <c r="R561" s="101">
        <v>0</v>
      </c>
      <c r="S561" s="105"/>
      <c r="T561" s="101" t="s">
        <v>68</v>
      </c>
      <c r="U561" s="177"/>
      <c r="V561" s="103"/>
      <c r="W561" s="177" t="str">
        <f t="shared" si="98"/>
        <v/>
      </c>
      <c r="X561" s="103"/>
      <c r="Y561" s="177" t="str">
        <f t="shared" si="99"/>
        <v/>
      </c>
      <c r="Z561" s="106"/>
      <c r="AA561" s="57"/>
    </row>
    <row r="562" spans="1:27" s="55" customFormat="1" ht="21" customHeight="1" x14ac:dyDescent="0.25">
      <c r="A562" s="56"/>
      <c r="B562" s="284" t="s">
        <v>116</v>
      </c>
      <c r="C562" s="284"/>
      <c r="D562" s="284"/>
      <c r="E562" s="284"/>
      <c r="F562" s="284"/>
      <c r="G562" s="284"/>
      <c r="H562" s="284"/>
      <c r="I562" s="284"/>
      <c r="J562" s="284"/>
      <c r="K562" s="284"/>
      <c r="L562" s="73"/>
      <c r="M562" s="57"/>
      <c r="N562" s="100"/>
      <c r="O562" s="101" t="s">
        <v>73</v>
      </c>
      <c r="P562" s="101"/>
      <c r="Q562" s="101"/>
      <c r="R562" s="101" t="str">
        <f t="shared" si="97"/>
        <v/>
      </c>
      <c r="S562" s="105"/>
      <c r="T562" s="101" t="s">
        <v>73</v>
      </c>
      <c r="U562" s="177"/>
      <c r="V562" s="103"/>
      <c r="W562" s="177" t="str">
        <f t="shared" si="98"/>
        <v/>
      </c>
      <c r="X562" s="103"/>
      <c r="Y562" s="177" t="str">
        <f t="shared" si="99"/>
        <v/>
      </c>
      <c r="Z562" s="106"/>
      <c r="AA562" s="57"/>
    </row>
    <row r="563" spans="1:27" s="55" customFormat="1" ht="21" customHeight="1" x14ac:dyDescent="0.25">
      <c r="A563" s="56"/>
      <c r="B563" s="284"/>
      <c r="C563" s="284"/>
      <c r="D563" s="284"/>
      <c r="E563" s="284"/>
      <c r="F563" s="284"/>
      <c r="G563" s="284"/>
      <c r="H563" s="284"/>
      <c r="I563" s="284"/>
      <c r="J563" s="284"/>
      <c r="K563" s="284"/>
      <c r="L563" s="73"/>
      <c r="M563" s="57"/>
      <c r="N563" s="100"/>
      <c r="O563" s="101" t="s">
        <v>74</v>
      </c>
      <c r="P563" s="101"/>
      <c r="Q563" s="101"/>
      <c r="R563" s="101" t="str">
        <f t="shared" si="97"/>
        <v/>
      </c>
      <c r="S563" s="105"/>
      <c r="T563" s="101" t="s">
        <v>74</v>
      </c>
      <c r="U563" s="177"/>
      <c r="V563" s="103"/>
      <c r="W563" s="177" t="str">
        <f t="shared" si="98"/>
        <v/>
      </c>
      <c r="X563" s="103"/>
      <c r="Y563" s="177" t="str">
        <f t="shared" si="99"/>
        <v/>
      </c>
      <c r="Z563" s="106"/>
      <c r="AA563" s="57"/>
    </row>
    <row r="564" spans="1:27" s="55" customFormat="1" ht="21" customHeight="1" thickBot="1" x14ac:dyDescent="0.3">
      <c r="A564" s="86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8"/>
      <c r="N564" s="107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9"/>
    </row>
    <row r="565" spans="1:27" s="57" customFormat="1" ht="21" customHeight="1" thickBot="1" x14ac:dyDescent="0.3"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</row>
    <row r="566" spans="1:27" s="55" customFormat="1" ht="21" customHeight="1" x14ac:dyDescent="0.25">
      <c r="A566" s="297" t="s">
        <v>56</v>
      </c>
      <c r="B566" s="298"/>
      <c r="C566" s="298"/>
      <c r="D566" s="298"/>
      <c r="E566" s="298"/>
      <c r="F566" s="298"/>
      <c r="G566" s="298"/>
      <c r="H566" s="298"/>
      <c r="I566" s="298"/>
      <c r="J566" s="298"/>
      <c r="K566" s="298"/>
      <c r="L566" s="299"/>
      <c r="M566" s="54"/>
      <c r="N566" s="93"/>
      <c r="O566" s="285" t="s">
        <v>58</v>
      </c>
      <c r="P566" s="286"/>
      <c r="Q566" s="286"/>
      <c r="R566" s="287"/>
      <c r="S566" s="94"/>
      <c r="T566" s="285" t="s">
        <v>59</v>
      </c>
      <c r="U566" s="286"/>
      <c r="V566" s="286"/>
      <c r="W566" s="286"/>
      <c r="X566" s="286"/>
      <c r="Y566" s="287"/>
      <c r="Z566" s="95"/>
      <c r="AA566" s="54"/>
    </row>
    <row r="567" spans="1:27" s="55" customFormat="1" ht="21" customHeight="1" x14ac:dyDescent="0.25">
      <c r="A567" s="56"/>
      <c r="B567" s="57"/>
      <c r="C567" s="288" t="s">
        <v>114</v>
      </c>
      <c r="D567" s="288"/>
      <c r="E567" s="288"/>
      <c r="F567" s="288"/>
      <c r="G567" s="58" t="str">
        <f>$J$1</f>
        <v>June</v>
      </c>
      <c r="H567" s="289">
        <f>$K$1</f>
        <v>2019</v>
      </c>
      <c r="I567" s="289"/>
      <c r="J567" s="57"/>
      <c r="K567" s="59"/>
      <c r="L567" s="60"/>
      <c r="M567" s="59"/>
      <c r="N567" s="96"/>
      <c r="O567" s="97" t="s">
        <v>69</v>
      </c>
      <c r="P567" s="97" t="s">
        <v>7</v>
      </c>
      <c r="Q567" s="97" t="s">
        <v>6</v>
      </c>
      <c r="R567" s="97" t="s">
        <v>70</v>
      </c>
      <c r="S567" s="98"/>
      <c r="T567" s="97" t="s">
        <v>69</v>
      </c>
      <c r="U567" s="97" t="s">
        <v>71</v>
      </c>
      <c r="V567" s="97" t="s">
        <v>29</v>
      </c>
      <c r="W567" s="97" t="s">
        <v>28</v>
      </c>
      <c r="X567" s="97" t="s">
        <v>30</v>
      </c>
      <c r="Y567" s="97" t="s">
        <v>75</v>
      </c>
      <c r="Z567" s="99"/>
      <c r="AA567" s="59"/>
    </row>
    <row r="568" spans="1:27" s="55" customFormat="1" ht="21" customHeight="1" x14ac:dyDescent="0.25">
      <c r="A568" s="56"/>
      <c r="B568" s="57"/>
      <c r="C568" s="57"/>
      <c r="D568" s="62"/>
      <c r="E568" s="62"/>
      <c r="F568" s="62"/>
      <c r="G568" s="62"/>
      <c r="H568" s="62"/>
      <c r="I568" s="57"/>
      <c r="J568" s="63" t="s">
        <v>1</v>
      </c>
      <c r="K568" s="64">
        <v>18000</v>
      </c>
      <c r="L568" s="65"/>
      <c r="M568" s="57"/>
      <c r="N568" s="100"/>
      <c r="O568" s="101" t="s">
        <v>61</v>
      </c>
      <c r="P568" s="101">
        <v>30</v>
      </c>
      <c r="Q568" s="101">
        <v>1</v>
      </c>
      <c r="R568" s="101">
        <f>15-Q568</f>
        <v>14</v>
      </c>
      <c r="S568" s="102"/>
      <c r="T568" s="101" t="s">
        <v>61</v>
      </c>
      <c r="U568" s="103">
        <v>12000</v>
      </c>
      <c r="V568" s="103">
        <f>1500+500</f>
        <v>2000</v>
      </c>
      <c r="W568" s="103">
        <f>V568+U568</f>
        <v>14000</v>
      </c>
      <c r="X568" s="103">
        <v>5000</v>
      </c>
      <c r="Y568" s="103">
        <f>W568-X568</f>
        <v>9000</v>
      </c>
      <c r="Z568" s="99"/>
      <c r="AA568" s="57"/>
    </row>
    <row r="569" spans="1:27" s="55" customFormat="1" ht="21" customHeight="1" x14ac:dyDescent="0.25">
      <c r="A569" s="56"/>
      <c r="B569" s="57" t="s">
        <v>0</v>
      </c>
      <c r="C569" s="67" t="s">
        <v>96</v>
      </c>
      <c r="D569" s="57"/>
      <c r="E569" s="57"/>
      <c r="F569" s="57"/>
      <c r="G569" s="57"/>
      <c r="H569" s="68"/>
      <c r="I569" s="62"/>
      <c r="J569" s="57"/>
      <c r="K569" s="57"/>
      <c r="L569" s="69"/>
      <c r="M569" s="54"/>
      <c r="N569" s="104"/>
      <c r="O569" s="101" t="s">
        <v>87</v>
      </c>
      <c r="P569" s="101">
        <v>26</v>
      </c>
      <c r="Q569" s="101">
        <v>2</v>
      </c>
      <c r="R569" s="101">
        <f>R568-Q569</f>
        <v>12</v>
      </c>
      <c r="S569" s="105"/>
      <c r="T569" s="101" t="s">
        <v>87</v>
      </c>
      <c r="U569" s="177">
        <f>Y568</f>
        <v>9000</v>
      </c>
      <c r="V569" s="103"/>
      <c r="W569" s="177">
        <f>IF(U569="","",U569+V569)</f>
        <v>9000</v>
      </c>
      <c r="X569" s="103">
        <v>5000</v>
      </c>
      <c r="Y569" s="177">
        <f>IF(W569="","",W569-X569)</f>
        <v>4000</v>
      </c>
      <c r="Z569" s="106"/>
      <c r="AA569" s="54"/>
    </row>
    <row r="570" spans="1:27" s="55" customFormat="1" ht="21" customHeight="1" x14ac:dyDescent="0.25">
      <c r="A570" s="56"/>
      <c r="B570" s="71" t="s">
        <v>57</v>
      </c>
      <c r="C570" s="72"/>
      <c r="D570" s="57"/>
      <c r="E570" s="57"/>
      <c r="F570" s="290" t="s">
        <v>59</v>
      </c>
      <c r="G570" s="290"/>
      <c r="H570" s="57"/>
      <c r="I570" s="290" t="s">
        <v>60</v>
      </c>
      <c r="J570" s="290"/>
      <c r="K570" s="290"/>
      <c r="L570" s="73"/>
      <c r="M570" s="57"/>
      <c r="N570" s="100"/>
      <c r="O570" s="101" t="s">
        <v>62</v>
      </c>
      <c r="P570" s="101">
        <v>31</v>
      </c>
      <c r="Q570" s="101">
        <v>0</v>
      </c>
      <c r="R570" s="101">
        <f t="shared" ref="R570:R574" si="100">IF(Q570="","",R569-Q570)</f>
        <v>12</v>
      </c>
      <c r="S570" s="105"/>
      <c r="T570" s="101" t="s">
        <v>62</v>
      </c>
      <c r="U570" s="177">
        <f>Y569</f>
        <v>4000</v>
      </c>
      <c r="V570" s="103">
        <f>3000+700+5000</f>
        <v>8700</v>
      </c>
      <c r="W570" s="177">
        <f t="shared" ref="W570:W579" si="101">IF(U570="","",U570+V570)</f>
        <v>12700</v>
      </c>
      <c r="X570" s="103">
        <v>8700</v>
      </c>
      <c r="Y570" s="177">
        <f t="shared" ref="Y570:Y579" si="102">IF(W570="","",W570-X570)</f>
        <v>4000</v>
      </c>
      <c r="Z570" s="106"/>
      <c r="AA570" s="57"/>
    </row>
    <row r="571" spans="1:27" s="55" customFormat="1" ht="21" customHeight="1" x14ac:dyDescent="0.25">
      <c r="A571" s="56"/>
      <c r="B571" s="57"/>
      <c r="C571" s="57"/>
      <c r="D571" s="57"/>
      <c r="E571" s="57"/>
      <c r="F571" s="57"/>
      <c r="G571" s="57"/>
      <c r="H571" s="74"/>
      <c r="L571" s="61"/>
      <c r="M571" s="57"/>
      <c r="N571" s="100"/>
      <c r="O571" s="101" t="s">
        <v>63</v>
      </c>
      <c r="P571" s="101">
        <v>28</v>
      </c>
      <c r="Q571" s="101">
        <v>2</v>
      </c>
      <c r="R571" s="101">
        <f t="shared" si="100"/>
        <v>10</v>
      </c>
      <c r="S571" s="105"/>
      <c r="T571" s="101" t="s">
        <v>63</v>
      </c>
      <c r="U571" s="177">
        <f>Y570</f>
        <v>4000</v>
      </c>
      <c r="V571" s="103"/>
      <c r="W571" s="177">
        <f t="shared" si="101"/>
        <v>4000</v>
      </c>
      <c r="X571" s="103">
        <v>4000</v>
      </c>
      <c r="Y571" s="177">
        <f t="shared" si="102"/>
        <v>0</v>
      </c>
      <c r="Z571" s="106"/>
      <c r="AA571" s="57"/>
    </row>
    <row r="572" spans="1:27" s="55" customFormat="1" ht="21" customHeight="1" x14ac:dyDescent="0.25">
      <c r="A572" s="56"/>
      <c r="B572" s="291" t="s">
        <v>58</v>
      </c>
      <c r="C572" s="292"/>
      <c r="D572" s="57"/>
      <c r="E572" s="57"/>
      <c r="F572" s="75" t="s">
        <v>80</v>
      </c>
      <c r="G572" s="70">
        <f>IF($J$1="January",U568,IF($J$1="February",U569,IF($J$1="March",U570,IF($J$1="April",U571,IF($J$1="May",U572,IF($J$1="June",U573,IF($J$1="July",U574,IF($J$1="August",U575,IF($J$1="August",U575,IF($J$1="September",U576,IF($J$1="October",U577,IF($J$1="November",U578,IF($J$1="December",U579)))))))))))))</f>
        <v>25000</v>
      </c>
      <c r="H572" s="74"/>
      <c r="I572" s="76">
        <f>IF(C576&gt;0,$K$2,C574)</f>
        <v>30</v>
      </c>
      <c r="J572" s="77" t="s">
        <v>77</v>
      </c>
      <c r="K572" s="78">
        <f>K568/$K$2*I572</f>
        <v>18000</v>
      </c>
      <c r="L572" s="79"/>
      <c r="M572" s="57"/>
      <c r="N572" s="100"/>
      <c r="O572" s="101" t="s">
        <v>64</v>
      </c>
      <c r="P572" s="101">
        <v>29</v>
      </c>
      <c r="Q572" s="101">
        <v>2</v>
      </c>
      <c r="R572" s="101">
        <f t="shared" si="100"/>
        <v>8</v>
      </c>
      <c r="S572" s="105"/>
      <c r="T572" s="101" t="s">
        <v>64</v>
      </c>
      <c r="U572" s="177">
        <f>Y571</f>
        <v>0</v>
      </c>
      <c r="V572" s="103">
        <v>25000</v>
      </c>
      <c r="W572" s="177">
        <f t="shared" si="101"/>
        <v>25000</v>
      </c>
      <c r="X572" s="103"/>
      <c r="Y572" s="177">
        <f t="shared" si="102"/>
        <v>25000</v>
      </c>
      <c r="Z572" s="106"/>
      <c r="AA572" s="57"/>
    </row>
    <row r="573" spans="1:27" s="55" customFormat="1" ht="21" customHeight="1" x14ac:dyDescent="0.25">
      <c r="A573" s="56"/>
      <c r="B573" s="66"/>
      <c r="C573" s="66"/>
      <c r="D573" s="57"/>
      <c r="E573" s="57"/>
      <c r="F573" s="75" t="s">
        <v>29</v>
      </c>
      <c r="G573" s="196">
        <f>IF($J$1="January",V568,IF($J$1="February",V569,IF($J$1="March",V570,IF($J$1="April",V571,IF($J$1="May",V572,IF($J$1="June",V573,IF($J$1="July",V574,IF($J$1="August",V575,IF($J$1="August",V575,IF($J$1="September",V576,IF($J$1="October",V577,IF($J$1="November",V578,IF($J$1="December",V579)))))))))))))</f>
        <v>0</v>
      </c>
      <c r="H573" s="74"/>
      <c r="I573" s="120">
        <v>34</v>
      </c>
      <c r="J573" s="77" t="s">
        <v>78</v>
      </c>
      <c r="K573" s="80">
        <f>K568/$K$2/8*I573</f>
        <v>2550</v>
      </c>
      <c r="L573" s="81"/>
      <c r="M573" s="57"/>
      <c r="N573" s="100"/>
      <c r="O573" s="101" t="s">
        <v>65</v>
      </c>
      <c r="P573" s="101">
        <v>27</v>
      </c>
      <c r="Q573" s="101">
        <v>3</v>
      </c>
      <c r="R573" s="101">
        <f t="shared" si="100"/>
        <v>5</v>
      </c>
      <c r="S573" s="105"/>
      <c r="T573" s="101" t="s">
        <v>65</v>
      </c>
      <c r="U573" s="177">
        <f>Y572</f>
        <v>25000</v>
      </c>
      <c r="V573" s="103"/>
      <c r="W573" s="177">
        <f t="shared" si="101"/>
        <v>25000</v>
      </c>
      <c r="X573" s="103">
        <v>4000</v>
      </c>
      <c r="Y573" s="177">
        <f t="shared" si="102"/>
        <v>21000</v>
      </c>
      <c r="Z573" s="106"/>
      <c r="AA573" s="57"/>
    </row>
    <row r="574" spans="1:27" s="55" customFormat="1" ht="21" customHeight="1" x14ac:dyDescent="0.25">
      <c r="A574" s="56"/>
      <c r="B574" s="75" t="s">
        <v>7</v>
      </c>
      <c r="C574" s="66">
        <f>IF($J$1="January",P568,IF($J$1="February",P569,IF($J$1="March",P570,IF($J$1="April",P571,IF($J$1="May",P572,IF($J$1="June",P573,IF($J$1="July",P574,IF($J$1="August",P575,IF($J$1="August",P575,IF($J$1="September",P576,IF($J$1="October",P577,IF($J$1="November",P578,IF($J$1="December",P579)))))))))))))</f>
        <v>27</v>
      </c>
      <c r="D574" s="57"/>
      <c r="E574" s="57"/>
      <c r="F574" s="75" t="s">
        <v>81</v>
      </c>
      <c r="G574" s="196">
        <f>IF($J$1="January",W568,IF($J$1="February",W569,IF($J$1="March",W570,IF($J$1="April",W571,IF($J$1="May",W572,IF($J$1="June",W573,IF($J$1="July",W574,IF($J$1="August",W575,IF($J$1="August",W575,IF($J$1="September",W576,IF($J$1="October",W577,IF($J$1="November",W578,IF($J$1="December",W579)))))))))))))</f>
        <v>25000</v>
      </c>
      <c r="H574" s="74"/>
      <c r="I574" s="293" t="s">
        <v>85</v>
      </c>
      <c r="J574" s="294"/>
      <c r="K574" s="80">
        <f>K572+K573</f>
        <v>20550</v>
      </c>
      <c r="L574" s="81"/>
      <c r="M574" s="57"/>
      <c r="N574" s="100"/>
      <c r="O574" s="101" t="s">
        <v>66</v>
      </c>
      <c r="P574" s="101"/>
      <c r="Q574" s="101"/>
      <c r="R574" s="101" t="str">
        <f t="shared" si="100"/>
        <v/>
      </c>
      <c r="S574" s="105"/>
      <c r="T574" s="101" t="s">
        <v>66</v>
      </c>
      <c r="U574" s="177"/>
      <c r="V574" s="103"/>
      <c r="W574" s="177" t="str">
        <f t="shared" si="101"/>
        <v/>
      </c>
      <c r="X574" s="103"/>
      <c r="Y574" s="177" t="str">
        <f t="shared" si="102"/>
        <v/>
      </c>
      <c r="Z574" s="106"/>
      <c r="AA574" s="57"/>
    </row>
    <row r="575" spans="1:27" s="55" customFormat="1" ht="21" customHeight="1" x14ac:dyDescent="0.25">
      <c r="A575" s="56"/>
      <c r="B575" s="75" t="s">
        <v>6</v>
      </c>
      <c r="C575" s="66">
        <f>IF($J$1="January",Q568,IF($J$1="February",Q569,IF($J$1="March",Q570,IF($J$1="April",Q571,IF($J$1="May",Q572,IF($J$1="June",Q573,IF($J$1="July",Q574,IF($J$1="August",Q575,IF($J$1="August",Q575,IF($J$1="September",Q576,IF($J$1="October",Q577,IF($J$1="November",Q578,IF($J$1="December",Q579)))))))))))))</f>
        <v>3</v>
      </c>
      <c r="D575" s="57"/>
      <c r="E575" s="57"/>
      <c r="F575" s="75" t="s">
        <v>30</v>
      </c>
      <c r="G575" s="196">
        <f>IF($J$1="January",X568,IF($J$1="February",X569,IF($J$1="March",X570,IF($J$1="April",X571,IF($J$1="May",X572,IF($J$1="June",X573,IF($J$1="July",X574,IF($J$1="August",X575,IF($J$1="August",X575,IF($J$1="September",X576,IF($J$1="October",X577,IF($J$1="November",X578,IF($J$1="December",X579)))))))))))))</f>
        <v>4000</v>
      </c>
      <c r="H575" s="74"/>
      <c r="I575" s="293" t="s">
        <v>86</v>
      </c>
      <c r="J575" s="294"/>
      <c r="K575" s="70">
        <f>G575</f>
        <v>4000</v>
      </c>
      <c r="L575" s="82"/>
      <c r="M575" s="57"/>
      <c r="N575" s="100"/>
      <c r="O575" s="101" t="s">
        <v>67</v>
      </c>
      <c r="P575" s="101"/>
      <c r="Q575" s="101"/>
      <c r="R575" s="101">
        <v>0</v>
      </c>
      <c r="S575" s="105"/>
      <c r="T575" s="101" t="s">
        <v>67</v>
      </c>
      <c r="U575" s="177"/>
      <c r="V575" s="103"/>
      <c r="W575" s="177" t="str">
        <f t="shared" si="101"/>
        <v/>
      </c>
      <c r="X575" s="103"/>
      <c r="Y575" s="177" t="str">
        <f t="shared" si="102"/>
        <v/>
      </c>
      <c r="Z575" s="106"/>
      <c r="AA575" s="57"/>
    </row>
    <row r="576" spans="1:27" s="55" customFormat="1" ht="21" customHeight="1" x14ac:dyDescent="0.25">
      <c r="A576" s="56"/>
      <c r="B576" s="83" t="s">
        <v>84</v>
      </c>
      <c r="C576" s="66">
        <f>IF($J$1="January",R568,IF($J$1="February",R569,IF($J$1="March",R570,IF($J$1="April",R571,IF($J$1="May",R572,IF($J$1="June",R573,IF($J$1="July",R574,IF($J$1="August",R575,IF($J$1="August",R575,IF($J$1="September",R576,IF($J$1="October",R577,IF($J$1="November",R578,IF($J$1="December",R579)))))))))))))</f>
        <v>5</v>
      </c>
      <c r="D576" s="57"/>
      <c r="E576" s="57"/>
      <c r="F576" s="75" t="s">
        <v>83</v>
      </c>
      <c r="G576" s="196">
        <f>IF($J$1="January",Y568,IF($J$1="February",Y569,IF($J$1="March",Y570,IF($J$1="April",Y571,IF($J$1="May",Y572,IF($J$1="June",Y573,IF($J$1="July",Y574,IF($J$1="August",Y575,IF($J$1="August",Y575,IF($J$1="September",Y576,IF($J$1="October",Y577,IF($J$1="November",Y578,IF($J$1="December",Y579)))))))))))))</f>
        <v>21000</v>
      </c>
      <c r="H576" s="57"/>
      <c r="I576" s="295" t="s">
        <v>79</v>
      </c>
      <c r="J576" s="296"/>
      <c r="K576" s="84">
        <f>K574-K575</f>
        <v>16550</v>
      </c>
      <c r="L576" s="85"/>
      <c r="M576" s="57"/>
      <c r="N576" s="100"/>
      <c r="O576" s="101" t="s">
        <v>72</v>
      </c>
      <c r="P576" s="101"/>
      <c r="Q576" s="101"/>
      <c r="R576" s="101">
        <v>0</v>
      </c>
      <c r="S576" s="105"/>
      <c r="T576" s="101" t="s">
        <v>72</v>
      </c>
      <c r="U576" s="177"/>
      <c r="V576" s="103"/>
      <c r="W576" s="177" t="str">
        <f t="shared" si="101"/>
        <v/>
      </c>
      <c r="X576" s="103"/>
      <c r="Y576" s="177" t="str">
        <f t="shared" si="102"/>
        <v/>
      </c>
      <c r="Z576" s="106"/>
      <c r="AA576" s="57"/>
    </row>
    <row r="577" spans="1:27" s="55" customFormat="1" ht="21" customHeight="1" x14ac:dyDescent="0.25">
      <c r="A577" s="56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73"/>
      <c r="M577" s="57"/>
      <c r="N577" s="100"/>
      <c r="O577" s="101" t="s">
        <v>68</v>
      </c>
      <c r="P577" s="101"/>
      <c r="Q577" s="101"/>
      <c r="R577" s="101">
        <v>0</v>
      </c>
      <c r="S577" s="105"/>
      <c r="T577" s="101" t="s">
        <v>68</v>
      </c>
      <c r="U577" s="177"/>
      <c r="V577" s="103"/>
      <c r="W577" s="177" t="str">
        <f t="shared" si="101"/>
        <v/>
      </c>
      <c r="X577" s="103"/>
      <c r="Y577" s="177" t="str">
        <f t="shared" si="102"/>
        <v/>
      </c>
      <c r="Z577" s="106"/>
      <c r="AA577" s="57"/>
    </row>
    <row r="578" spans="1:27" s="55" customFormat="1" ht="21" customHeight="1" x14ac:dyDescent="0.25">
      <c r="A578" s="56"/>
      <c r="B578" s="284" t="s">
        <v>116</v>
      </c>
      <c r="C578" s="284"/>
      <c r="D578" s="284"/>
      <c r="E578" s="284"/>
      <c r="F578" s="284"/>
      <c r="G578" s="284"/>
      <c r="H578" s="284"/>
      <c r="I578" s="284"/>
      <c r="J578" s="284"/>
      <c r="K578" s="284"/>
      <c r="L578" s="73"/>
      <c r="M578" s="57"/>
      <c r="N578" s="100"/>
      <c r="O578" s="101" t="s">
        <v>73</v>
      </c>
      <c r="P578" s="101"/>
      <c r="Q578" s="101"/>
      <c r="R578" s="101">
        <v>0</v>
      </c>
      <c r="S578" s="105"/>
      <c r="T578" s="101" t="s">
        <v>73</v>
      </c>
      <c r="U578" s="177"/>
      <c r="V578" s="103"/>
      <c r="W578" s="177" t="str">
        <f t="shared" si="101"/>
        <v/>
      </c>
      <c r="X578" s="103"/>
      <c r="Y578" s="177" t="str">
        <f t="shared" si="102"/>
        <v/>
      </c>
      <c r="Z578" s="106"/>
      <c r="AA578" s="57"/>
    </row>
    <row r="579" spans="1:27" s="55" customFormat="1" ht="21" customHeight="1" x14ac:dyDescent="0.25">
      <c r="A579" s="56"/>
      <c r="B579" s="284"/>
      <c r="C579" s="284"/>
      <c r="D579" s="284"/>
      <c r="E579" s="284"/>
      <c r="F579" s="284"/>
      <c r="G579" s="284"/>
      <c r="H579" s="284"/>
      <c r="I579" s="284"/>
      <c r="J579" s="284"/>
      <c r="K579" s="284"/>
      <c r="L579" s="73"/>
      <c r="M579" s="57"/>
      <c r="N579" s="100"/>
      <c r="O579" s="101" t="s">
        <v>74</v>
      </c>
      <c r="P579" s="101"/>
      <c r="Q579" s="101"/>
      <c r="R579" s="101">
        <v>0</v>
      </c>
      <c r="S579" s="105"/>
      <c r="T579" s="101" t="s">
        <v>74</v>
      </c>
      <c r="U579" s="177"/>
      <c r="V579" s="103"/>
      <c r="W579" s="177" t="str">
        <f t="shared" si="101"/>
        <v/>
      </c>
      <c r="X579" s="103"/>
      <c r="Y579" s="177" t="str">
        <f t="shared" si="102"/>
        <v/>
      </c>
      <c r="Z579" s="106"/>
      <c r="AA579" s="57"/>
    </row>
    <row r="580" spans="1:27" s="55" customFormat="1" ht="21" customHeight="1" thickBot="1" x14ac:dyDescent="0.3">
      <c r="A580" s="86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8"/>
      <c r="N580" s="107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9"/>
    </row>
    <row r="581" spans="1:27" s="57" customFormat="1" ht="21" customHeight="1" thickBot="1" x14ac:dyDescent="0.3"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  <c r="Z581" s="105"/>
    </row>
    <row r="582" spans="1:27" s="55" customFormat="1" ht="21" customHeight="1" x14ac:dyDescent="0.25">
      <c r="A582" s="297" t="s">
        <v>56</v>
      </c>
      <c r="B582" s="298"/>
      <c r="C582" s="298"/>
      <c r="D582" s="298"/>
      <c r="E582" s="298"/>
      <c r="F582" s="298"/>
      <c r="G582" s="298"/>
      <c r="H582" s="298"/>
      <c r="I582" s="298"/>
      <c r="J582" s="298"/>
      <c r="K582" s="298"/>
      <c r="L582" s="299"/>
      <c r="M582" s="54"/>
      <c r="N582" s="93"/>
      <c r="O582" s="285" t="s">
        <v>58</v>
      </c>
      <c r="P582" s="286"/>
      <c r="Q582" s="286"/>
      <c r="R582" s="287"/>
      <c r="S582" s="94"/>
      <c r="T582" s="285" t="s">
        <v>59</v>
      </c>
      <c r="U582" s="286"/>
      <c r="V582" s="286"/>
      <c r="W582" s="286"/>
      <c r="X582" s="286"/>
      <c r="Y582" s="287"/>
      <c r="Z582" s="95"/>
      <c r="AA582" s="54"/>
    </row>
    <row r="583" spans="1:27" s="55" customFormat="1" ht="21" customHeight="1" x14ac:dyDescent="0.25">
      <c r="A583" s="56"/>
      <c r="B583" s="57"/>
      <c r="C583" s="288" t="s">
        <v>114</v>
      </c>
      <c r="D583" s="288"/>
      <c r="E583" s="288"/>
      <c r="F583" s="288"/>
      <c r="G583" s="58" t="str">
        <f>$J$1</f>
        <v>June</v>
      </c>
      <c r="H583" s="289">
        <f>$K$1</f>
        <v>2019</v>
      </c>
      <c r="I583" s="289"/>
      <c r="J583" s="57"/>
      <c r="K583" s="59"/>
      <c r="L583" s="60"/>
      <c r="M583" s="59"/>
      <c r="N583" s="96"/>
      <c r="O583" s="97" t="s">
        <v>69</v>
      </c>
      <c r="P583" s="97" t="s">
        <v>7</v>
      </c>
      <c r="Q583" s="97" t="s">
        <v>6</v>
      </c>
      <c r="R583" s="97" t="s">
        <v>70</v>
      </c>
      <c r="S583" s="98"/>
      <c r="T583" s="97" t="s">
        <v>69</v>
      </c>
      <c r="U583" s="97" t="s">
        <v>71</v>
      </c>
      <c r="V583" s="97" t="s">
        <v>29</v>
      </c>
      <c r="W583" s="97" t="s">
        <v>28</v>
      </c>
      <c r="X583" s="97" t="s">
        <v>30</v>
      </c>
      <c r="Y583" s="97" t="s">
        <v>75</v>
      </c>
      <c r="Z583" s="99"/>
      <c r="AA583" s="59"/>
    </row>
    <row r="584" spans="1:27" s="55" customFormat="1" ht="21" customHeight="1" x14ac:dyDescent="0.25">
      <c r="A584" s="56"/>
      <c r="B584" s="57"/>
      <c r="C584" s="57"/>
      <c r="D584" s="62"/>
      <c r="E584" s="62"/>
      <c r="F584" s="62"/>
      <c r="G584" s="62"/>
      <c r="H584" s="62"/>
      <c r="I584" s="57"/>
      <c r="J584" s="63" t="s">
        <v>1</v>
      </c>
      <c r="K584" s="64">
        <v>34000</v>
      </c>
      <c r="L584" s="65"/>
      <c r="M584" s="57"/>
      <c r="N584" s="100"/>
      <c r="O584" s="101" t="s">
        <v>61</v>
      </c>
      <c r="P584" s="101">
        <v>29</v>
      </c>
      <c r="Q584" s="101">
        <v>2</v>
      </c>
      <c r="R584" s="101">
        <f>15-Q584</f>
        <v>13</v>
      </c>
      <c r="S584" s="102"/>
      <c r="T584" s="101" t="s">
        <v>61</v>
      </c>
      <c r="U584" s="103">
        <v>5000</v>
      </c>
      <c r="V584" s="103"/>
      <c r="W584" s="103">
        <f>V584+U584</f>
        <v>5000</v>
      </c>
      <c r="X584" s="103"/>
      <c r="Y584" s="103">
        <f>W584-X584</f>
        <v>5000</v>
      </c>
      <c r="Z584" s="99"/>
      <c r="AA584" s="57"/>
    </row>
    <row r="585" spans="1:27" s="55" customFormat="1" ht="21" customHeight="1" x14ac:dyDescent="0.25">
      <c r="A585" s="56"/>
      <c r="B585" s="57" t="s">
        <v>0</v>
      </c>
      <c r="C585" s="67" t="s">
        <v>97</v>
      </c>
      <c r="D585" s="57"/>
      <c r="E585" s="57"/>
      <c r="F585" s="57"/>
      <c r="G585" s="57"/>
      <c r="H585" s="68"/>
      <c r="I585" s="62"/>
      <c r="J585" s="57"/>
      <c r="K585" s="57"/>
      <c r="L585" s="69"/>
      <c r="M585" s="54"/>
      <c r="N585" s="104"/>
      <c r="O585" s="101" t="s">
        <v>87</v>
      </c>
      <c r="P585" s="101">
        <v>26</v>
      </c>
      <c r="Q585" s="101">
        <v>2</v>
      </c>
      <c r="R585" s="101">
        <f>IF(Q585="","",R584-Q585)</f>
        <v>11</v>
      </c>
      <c r="S585" s="105"/>
      <c r="T585" s="101" t="s">
        <v>87</v>
      </c>
      <c r="U585" s="177"/>
      <c r="V585" s="103"/>
      <c r="W585" s="177" t="str">
        <f>IF(U585="","",U585+V585)</f>
        <v/>
      </c>
      <c r="X585" s="103"/>
      <c r="Y585" s="177" t="str">
        <f>IF(W585="","",W585-X585)</f>
        <v/>
      </c>
      <c r="Z585" s="106"/>
      <c r="AA585" s="54"/>
    </row>
    <row r="586" spans="1:27" s="55" customFormat="1" ht="21" customHeight="1" x14ac:dyDescent="0.25">
      <c r="A586" s="56"/>
      <c r="B586" s="71" t="s">
        <v>57</v>
      </c>
      <c r="C586" s="72"/>
      <c r="D586" s="57"/>
      <c r="E586" s="57"/>
      <c r="F586" s="290" t="s">
        <v>59</v>
      </c>
      <c r="G586" s="290"/>
      <c r="H586" s="57"/>
      <c r="I586" s="290" t="s">
        <v>60</v>
      </c>
      <c r="J586" s="290"/>
      <c r="K586" s="290"/>
      <c r="L586" s="73"/>
      <c r="M586" s="57"/>
      <c r="N586" s="100"/>
      <c r="O586" s="101" t="s">
        <v>62</v>
      </c>
      <c r="P586" s="101">
        <v>29</v>
      </c>
      <c r="Q586" s="101">
        <v>2</v>
      </c>
      <c r="R586" s="101">
        <f t="shared" ref="R586:R595" si="103">IF(Q586="","",R585-Q586)</f>
        <v>9</v>
      </c>
      <c r="S586" s="105"/>
      <c r="T586" s="101" t="s">
        <v>62</v>
      </c>
      <c r="U586" s="177"/>
      <c r="V586" s="103"/>
      <c r="W586" s="177" t="str">
        <f t="shared" ref="W586:W595" si="104">IF(U586="","",U586+V586)</f>
        <v/>
      </c>
      <c r="X586" s="103"/>
      <c r="Y586" s="177" t="str">
        <f t="shared" ref="Y586:Y595" si="105">IF(W586="","",W586-X586)</f>
        <v/>
      </c>
      <c r="Z586" s="106"/>
      <c r="AA586" s="57"/>
    </row>
    <row r="587" spans="1:27" s="55" customFormat="1" ht="21" customHeight="1" x14ac:dyDescent="0.25">
      <c r="A587" s="56"/>
      <c r="B587" s="57"/>
      <c r="C587" s="57"/>
      <c r="D587" s="57"/>
      <c r="E587" s="57"/>
      <c r="F587" s="57"/>
      <c r="G587" s="57"/>
      <c r="H587" s="74"/>
      <c r="L587" s="61"/>
      <c r="M587" s="57"/>
      <c r="N587" s="100"/>
      <c r="O587" s="101" t="s">
        <v>63</v>
      </c>
      <c r="P587" s="101">
        <v>28</v>
      </c>
      <c r="Q587" s="101">
        <v>2</v>
      </c>
      <c r="R587" s="101">
        <f t="shared" si="103"/>
        <v>7</v>
      </c>
      <c r="S587" s="105"/>
      <c r="T587" s="101" t="s">
        <v>63</v>
      </c>
      <c r="U587" s="177"/>
      <c r="V587" s="103"/>
      <c r="W587" s="177" t="str">
        <f t="shared" si="104"/>
        <v/>
      </c>
      <c r="X587" s="103"/>
      <c r="Y587" s="177" t="str">
        <f t="shared" si="105"/>
        <v/>
      </c>
      <c r="Z587" s="106"/>
      <c r="AA587" s="57"/>
    </row>
    <row r="588" spans="1:27" s="55" customFormat="1" ht="21" customHeight="1" x14ac:dyDescent="0.25">
      <c r="A588" s="56"/>
      <c r="B588" s="291" t="s">
        <v>58</v>
      </c>
      <c r="C588" s="292"/>
      <c r="D588" s="57"/>
      <c r="E588" s="57"/>
      <c r="F588" s="75" t="s">
        <v>80</v>
      </c>
      <c r="G588" s="70">
        <f>IF($J$1="January",U584,IF($J$1="February",U585,IF($J$1="March",U586,IF($J$1="April",U587,IF($J$1="May",U588,IF($J$1="June",U589,IF($J$1="July",U590,IF($J$1="August",U591,IF($J$1="August",U591,IF($J$1="September",U592,IF($J$1="October",U593,IF($J$1="November",U594,IF($J$1="December",U595)))))))))))))</f>
        <v>10000</v>
      </c>
      <c r="H588" s="74"/>
      <c r="I588" s="76">
        <f>IF(C592&gt;0,$K$2,C590)</f>
        <v>30</v>
      </c>
      <c r="J588" s="77" t="s">
        <v>77</v>
      </c>
      <c r="K588" s="78">
        <f>K584/$K$2*I588</f>
        <v>34000</v>
      </c>
      <c r="L588" s="79"/>
      <c r="M588" s="57"/>
      <c r="N588" s="100"/>
      <c r="O588" s="101" t="s">
        <v>64</v>
      </c>
      <c r="P588" s="101">
        <v>30</v>
      </c>
      <c r="Q588" s="101">
        <v>1</v>
      </c>
      <c r="R588" s="101">
        <f t="shared" si="103"/>
        <v>6</v>
      </c>
      <c r="S588" s="105"/>
      <c r="T588" s="101" t="s">
        <v>64</v>
      </c>
      <c r="U588" s="177"/>
      <c r="V588" s="103">
        <v>10000</v>
      </c>
      <c r="W588" s="103">
        <f>V588+U588</f>
        <v>10000</v>
      </c>
      <c r="X588" s="103"/>
      <c r="Y588" s="177">
        <f t="shared" si="105"/>
        <v>10000</v>
      </c>
      <c r="Z588" s="106"/>
      <c r="AA588" s="57"/>
    </row>
    <row r="589" spans="1:27" s="55" customFormat="1" ht="21" customHeight="1" x14ac:dyDescent="0.25">
      <c r="A589" s="56"/>
      <c r="B589" s="66"/>
      <c r="C589" s="66"/>
      <c r="D589" s="57"/>
      <c r="E589" s="57"/>
      <c r="F589" s="75" t="s">
        <v>29</v>
      </c>
      <c r="G589" s="70">
        <f>IF($J$1="January",V584,IF($J$1="February",V585,IF($J$1="March",V586,IF($J$1="April",V587,IF($J$1="May",V588,IF($J$1="June",V589,IF($J$1="July",V590,IF($J$1="August",V591,IF($J$1="August",V591,IF($J$1="September",V592,IF($J$1="October",V593,IF($J$1="November",V594,IF($J$1="December",V595)))))))))))))</f>
        <v>0</v>
      </c>
      <c r="H589" s="74"/>
      <c r="I589" s="120">
        <v>67</v>
      </c>
      <c r="J589" s="77" t="s">
        <v>78</v>
      </c>
      <c r="K589" s="80">
        <f>K584/$K$2/8*I589</f>
        <v>9491.6666666666661</v>
      </c>
      <c r="L589" s="81"/>
      <c r="M589" s="57"/>
      <c r="N589" s="100"/>
      <c r="O589" s="101" t="s">
        <v>65</v>
      </c>
      <c r="P589" s="101">
        <v>29</v>
      </c>
      <c r="Q589" s="101">
        <v>1</v>
      </c>
      <c r="R589" s="101">
        <f t="shared" si="103"/>
        <v>5</v>
      </c>
      <c r="S589" s="105"/>
      <c r="T589" s="101" t="s">
        <v>65</v>
      </c>
      <c r="U589" s="177">
        <f>Y588</f>
        <v>10000</v>
      </c>
      <c r="V589" s="103"/>
      <c r="W589" s="177">
        <f t="shared" si="104"/>
        <v>10000</v>
      </c>
      <c r="X589" s="103">
        <v>5000</v>
      </c>
      <c r="Y589" s="177">
        <f t="shared" si="105"/>
        <v>5000</v>
      </c>
      <c r="Z589" s="106"/>
      <c r="AA589" s="57"/>
    </row>
    <row r="590" spans="1:27" s="55" customFormat="1" ht="21" customHeight="1" x14ac:dyDescent="0.25">
      <c r="A590" s="56"/>
      <c r="B590" s="75" t="s">
        <v>7</v>
      </c>
      <c r="C590" s="66">
        <f>IF($J$1="January",P584,IF($J$1="February",P585,IF($J$1="March",P586,IF($J$1="April",P587,IF($J$1="May",P588,IF($J$1="June",P589,IF($J$1="July",P590,IF($J$1="August",P591,IF($J$1="August",P591,IF($J$1="September",P592,IF($J$1="October",P593,IF($J$1="November",P594,IF($J$1="December",P595)))))))))))))</f>
        <v>29</v>
      </c>
      <c r="D590" s="57"/>
      <c r="E590" s="57"/>
      <c r="F590" s="75" t="s">
        <v>81</v>
      </c>
      <c r="G590" s="70">
        <f>IF($J$1="January",W584,IF($J$1="February",W585,IF($J$1="March",W586,IF($J$1="April",W587,IF($J$1="May",W588,IF($J$1="June",W589,IF($J$1="July",W590,IF($J$1="August",W591,IF($J$1="August",W591,IF($J$1="September",W592,IF($J$1="October",W593,IF($J$1="November",W594,IF($J$1="December",W595)))))))))))))</f>
        <v>10000</v>
      </c>
      <c r="H590" s="74"/>
      <c r="I590" s="293" t="s">
        <v>85</v>
      </c>
      <c r="J590" s="294"/>
      <c r="K590" s="80">
        <f>K588+K589</f>
        <v>43491.666666666664</v>
      </c>
      <c r="L590" s="81"/>
      <c r="M590" s="57"/>
      <c r="N590" s="100"/>
      <c r="O590" s="101" t="s">
        <v>66</v>
      </c>
      <c r="P590" s="101"/>
      <c r="Q590" s="101"/>
      <c r="R590" s="101" t="str">
        <f t="shared" si="103"/>
        <v/>
      </c>
      <c r="S590" s="105"/>
      <c r="T590" s="101" t="s">
        <v>66</v>
      </c>
      <c r="U590" s="177"/>
      <c r="V590" s="103"/>
      <c r="W590" s="177" t="str">
        <f t="shared" si="104"/>
        <v/>
      </c>
      <c r="X590" s="103"/>
      <c r="Y590" s="177" t="str">
        <f t="shared" si="105"/>
        <v/>
      </c>
      <c r="Z590" s="106"/>
      <c r="AA590" s="57"/>
    </row>
    <row r="591" spans="1:27" s="55" customFormat="1" ht="21" customHeight="1" x14ac:dyDescent="0.25">
      <c r="A591" s="56"/>
      <c r="B591" s="75" t="s">
        <v>6</v>
      </c>
      <c r="C591" s="66">
        <f>IF($J$1="January",Q584,IF($J$1="February",Q585,IF($J$1="March",Q586,IF($J$1="April",Q587,IF($J$1="May",Q588,IF($J$1="June",Q589,IF($J$1="July",Q590,IF($J$1="August",Q591,IF($J$1="August",Q591,IF($J$1="September",Q592,IF($J$1="October",Q593,IF($J$1="November",Q594,IF($J$1="December",Q595)))))))))))))</f>
        <v>1</v>
      </c>
      <c r="D591" s="57"/>
      <c r="E591" s="57"/>
      <c r="F591" s="75" t="s">
        <v>30</v>
      </c>
      <c r="G591" s="70">
        <f>IF($J$1="January",X584,IF($J$1="February",X585,IF($J$1="March",X586,IF($J$1="April",X587,IF($J$1="May",X588,IF($J$1="June",X589,IF($J$1="July",X590,IF($J$1="August",X591,IF($J$1="August",X591,IF($J$1="September",X592,IF($J$1="October",X593,IF($J$1="November",X594,IF($J$1="December",X595)))))))))))))</f>
        <v>5000</v>
      </c>
      <c r="H591" s="74"/>
      <c r="I591" s="293" t="s">
        <v>86</v>
      </c>
      <c r="J591" s="294"/>
      <c r="K591" s="70">
        <f>G591</f>
        <v>5000</v>
      </c>
      <c r="L591" s="82"/>
      <c r="M591" s="57"/>
      <c r="N591" s="100"/>
      <c r="O591" s="101" t="s">
        <v>67</v>
      </c>
      <c r="P591" s="101"/>
      <c r="Q591" s="101"/>
      <c r="R591" s="101" t="str">
        <f t="shared" si="103"/>
        <v/>
      </c>
      <c r="S591" s="105"/>
      <c r="T591" s="101" t="s">
        <v>67</v>
      </c>
      <c r="U591" s="177"/>
      <c r="V591" s="103"/>
      <c r="W591" s="177" t="str">
        <f t="shared" si="104"/>
        <v/>
      </c>
      <c r="X591" s="103"/>
      <c r="Y591" s="177" t="str">
        <f t="shared" si="105"/>
        <v/>
      </c>
      <c r="Z591" s="106"/>
      <c r="AA591" s="57"/>
    </row>
    <row r="592" spans="1:27" s="55" customFormat="1" ht="21" customHeight="1" x14ac:dyDescent="0.25">
      <c r="A592" s="56"/>
      <c r="B592" s="83" t="s">
        <v>84</v>
      </c>
      <c r="C592" s="66">
        <f>IF($J$1="January",R584,IF($J$1="February",R585,IF($J$1="March",R586,IF($J$1="April",R587,IF($J$1="May",R588,IF($J$1="June",R589,IF($J$1="July",R590,IF($J$1="August",R591,IF($J$1="August",R591,IF($J$1="September",R592,IF($J$1="October",R593,IF($J$1="November",R594,IF($J$1="December",R595)))))))))))))</f>
        <v>5</v>
      </c>
      <c r="D592" s="57"/>
      <c r="E592" s="57"/>
      <c r="F592" s="75" t="s">
        <v>83</v>
      </c>
      <c r="G592" s="70">
        <f>IF($J$1="January",Y584,IF($J$1="February",Y585,IF($J$1="March",Y586,IF($J$1="April",Y587,IF($J$1="May",Y588,IF($J$1="June",Y589,IF($J$1="July",Y590,IF($J$1="August",Y591,IF($J$1="August",Y591,IF($J$1="September",Y592,IF($J$1="October",Y593,IF($J$1="November",Y594,IF($J$1="December",Y595)))))))))))))</f>
        <v>5000</v>
      </c>
      <c r="H592" s="57"/>
      <c r="I592" s="295" t="s">
        <v>79</v>
      </c>
      <c r="J592" s="296"/>
      <c r="K592" s="84">
        <f>K590-K591</f>
        <v>38491.666666666664</v>
      </c>
      <c r="L592" s="85"/>
      <c r="M592" s="57"/>
      <c r="N592" s="100"/>
      <c r="O592" s="101" t="s">
        <v>72</v>
      </c>
      <c r="P592" s="101"/>
      <c r="Q592" s="101"/>
      <c r="R592" s="101" t="str">
        <f t="shared" si="103"/>
        <v/>
      </c>
      <c r="S592" s="105"/>
      <c r="T592" s="101" t="s">
        <v>72</v>
      </c>
      <c r="U592" s="177"/>
      <c r="V592" s="103"/>
      <c r="W592" s="177" t="str">
        <f t="shared" si="104"/>
        <v/>
      </c>
      <c r="X592" s="103"/>
      <c r="Y592" s="177" t="str">
        <f t="shared" si="105"/>
        <v/>
      </c>
      <c r="Z592" s="106"/>
      <c r="AA592" s="57"/>
    </row>
    <row r="593" spans="1:27" s="55" customFormat="1" ht="21" customHeight="1" x14ac:dyDescent="0.25">
      <c r="A593" s="56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73"/>
      <c r="M593" s="57"/>
      <c r="N593" s="100"/>
      <c r="O593" s="101" t="s">
        <v>68</v>
      </c>
      <c r="P593" s="101"/>
      <c r="Q593" s="101"/>
      <c r="R593" s="101" t="str">
        <f t="shared" si="103"/>
        <v/>
      </c>
      <c r="S593" s="105"/>
      <c r="T593" s="101" t="s">
        <v>68</v>
      </c>
      <c r="U593" s="177"/>
      <c r="V593" s="103"/>
      <c r="W593" s="177" t="str">
        <f t="shared" si="104"/>
        <v/>
      </c>
      <c r="X593" s="103"/>
      <c r="Y593" s="177" t="str">
        <f t="shared" si="105"/>
        <v/>
      </c>
      <c r="Z593" s="106"/>
      <c r="AA593" s="57"/>
    </row>
    <row r="594" spans="1:27" s="55" customFormat="1" ht="21" customHeight="1" x14ac:dyDescent="0.25">
      <c r="A594" s="56"/>
      <c r="B594" s="284" t="s">
        <v>116</v>
      </c>
      <c r="C594" s="284"/>
      <c r="D594" s="284"/>
      <c r="E594" s="284"/>
      <c r="F594" s="284"/>
      <c r="G594" s="284"/>
      <c r="H594" s="284"/>
      <c r="I594" s="284"/>
      <c r="J594" s="284"/>
      <c r="K594" s="284"/>
      <c r="L594" s="73"/>
      <c r="M594" s="57"/>
      <c r="N594" s="100"/>
      <c r="O594" s="101" t="s">
        <v>73</v>
      </c>
      <c r="P594" s="101"/>
      <c r="Q594" s="101"/>
      <c r="R594" s="101" t="str">
        <f t="shared" si="103"/>
        <v/>
      </c>
      <c r="S594" s="105"/>
      <c r="T594" s="101" t="s">
        <v>73</v>
      </c>
      <c r="U594" s="177"/>
      <c r="V594" s="103"/>
      <c r="W594" s="177" t="str">
        <f t="shared" si="104"/>
        <v/>
      </c>
      <c r="X594" s="103"/>
      <c r="Y594" s="177" t="str">
        <f t="shared" si="105"/>
        <v/>
      </c>
      <c r="Z594" s="106"/>
      <c r="AA594" s="57"/>
    </row>
    <row r="595" spans="1:27" s="55" customFormat="1" ht="21" customHeight="1" x14ac:dyDescent="0.25">
      <c r="A595" s="56"/>
      <c r="B595" s="284"/>
      <c r="C595" s="284"/>
      <c r="D595" s="284"/>
      <c r="E595" s="284"/>
      <c r="F595" s="284"/>
      <c r="G595" s="284"/>
      <c r="H595" s="284"/>
      <c r="I595" s="284"/>
      <c r="J595" s="284"/>
      <c r="K595" s="284"/>
      <c r="L595" s="73"/>
      <c r="M595" s="57"/>
      <c r="N595" s="100"/>
      <c r="O595" s="101" t="s">
        <v>74</v>
      </c>
      <c r="P595" s="101"/>
      <c r="Q595" s="101"/>
      <c r="R595" s="101" t="str">
        <f t="shared" si="103"/>
        <v/>
      </c>
      <c r="S595" s="105"/>
      <c r="T595" s="101" t="s">
        <v>74</v>
      </c>
      <c r="U595" s="177"/>
      <c r="V595" s="103"/>
      <c r="W595" s="177" t="str">
        <f t="shared" si="104"/>
        <v/>
      </c>
      <c r="X595" s="103"/>
      <c r="Y595" s="177" t="str">
        <f t="shared" si="105"/>
        <v/>
      </c>
      <c r="Z595" s="106"/>
      <c r="AA595" s="57"/>
    </row>
    <row r="596" spans="1:27" s="55" customFormat="1" ht="21" customHeight="1" thickBot="1" x14ac:dyDescent="0.3">
      <c r="A596" s="86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8"/>
      <c r="N596" s="107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9"/>
    </row>
    <row r="597" spans="1:27" s="57" customFormat="1" ht="21" customHeight="1" thickBot="1" x14ac:dyDescent="0.3"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  <c r="Z597" s="105"/>
    </row>
    <row r="598" spans="1:27" s="55" customFormat="1" ht="21" customHeight="1" x14ac:dyDescent="0.25">
      <c r="A598" s="297" t="s">
        <v>56</v>
      </c>
      <c r="B598" s="298"/>
      <c r="C598" s="298"/>
      <c r="D598" s="298"/>
      <c r="E598" s="298"/>
      <c r="F598" s="298"/>
      <c r="G598" s="298"/>
      <c r="H598" s="298"/>
      <c r="I598" s="298"/>
      <c r="J598" s="298"/>
      <c r="K598" s="298"/>
      <c r="L598" s="299"/>
      <c r="M598" s="54"/>
      <c r="N598" s="93"/>
      <c r="O598" s="285" t="s">
        <v>58</v>
      </c>
      <c r="P598" s="286"/>
      <c r="Q598" s="286"/>
      <c r="R598" s="287"/>
      <c r="S598" s="94"/>
      <c r="T598" s="285" t="s">
        <v>59</v>
      </c>
      <c r="U598" s="286"/>
      <c r="V598" s="286"/>
      <c r="W598" s="286"/>
      <c r="X598" s="286"/>
      <c r="Y598" s="287"/>
      <c r="Z598" s="95"/>
      <c r="AA598" s="54"/>
    </row>
    <row r="599" spans="1:27" s="55" customFormat="1" ht="21" customHeight="1" x14ac:dyDescent="0.25">
      <c r="A599" s="56"/>
      <c r="B599" s="57"/>
      <c r="C599" s="288" t="s">
        <v>114</v>
      </c>
      <c r="D599" s="288"/>
      <c r="E599" s="288"/>
      <c r="F599" s="288"/>
      <c r="G599" s="58" t="str">
        <f>$J$1</f>
        <v>June</v>
      </c>
      <c r="H599" s="289">
        <f>$K$1</f>
        <v>2019</v>
      </c>
      <c r="I599" s="289"/>
      <c r="J599" s="57"/>
      <c r="K599" s="59"/>
      <c r="L599" s="60"/>
      <c r="M599" s="59"/>
      <c r="N599" s="96"/>
      <c r="O599" s="97" t="s">
        <v>69</v>
      </c>
      <c r="P599" s="97" t="s">
        <v>7</v>
      </c>
      <c r="Q599" s="97" t="s">
        <v>6</v>
      </c>
      <c r="R599" s="97" t="s">
        <v>70</v>
      </c>
      <c r="S599" s="98"/>
      <c r="T599" s="97" t="s">
        <v>69</v>
      </c>
      <c r="U599" s="97" t="s">
        <v>71</v>
      </c>
      <c r="V599" s="97" t="s">
        <v>29</v>
      </c>
      <c r="W599" s="97" t="s">
        <v>28</v>
      </c>
      <c r="X599" s="97" t="s">
        <v>30</v>
      </c>
      <c r="Y599" s="97" t="s">
        <v>75</v>
      </c>
      <c r="Z599" s="99"/>
      <c r="AA599" s="59"/>
    </row>
    <row r="600" spans="1:27" s="55" customFormat="1" ht="21" customHeight="1" x14ac:dyDescent="0.25">
      <c r="A600" s="56"/>
      <c r="B600" s="57"/>
      <c r="C600" s="57"/>
      <c r="D600" s="62"/>
      <c r="E600" s="62"/>
      <c r="F600" s="62"/>
      <c r="G600" s="62"/>
      <c r="H600" s="62"/>
      <c r="I600" s="57"/>
      <c r="J600" s="63" t="s">
        <v>1</v>
      </c>
      <c r="K600" s="64">
        <v>17000</v>
      </c>
      <c r="L600" s="65"/>
      <c r="M600" s="57"/>
      <c r="N600" s="100"/>
      <c r="O600" s="101" t="s">
        <v>61</v>
      </c>
      <c r="P600" s="101"/>
      <c r="Q600" s="101"/>
      <c r="R600" s="101">
        <v>0</v>
      </c>
      <c r="S600" s="102"/>
      <c r="T600" s="101" t="s">
        <v>61</v>
      </c>
      <c r="U600" s="103"/>
      <c r="V600" s="103"/>
      <c r="W600" s="103">
        <f>V600+U600</f>
        <v>0</v>
      </c>
      <c r="X600" s="103"/>
      <c r="Y600" s="103">
        <f>W600-X600</f>
        <v>0</v>
      </c>
      <c r="Z600" s="99"/>
      <c r="AA600" s="57"/>
    </row>
    <row r="601" spans="1:27" s="55" customFormat="1" ht="21" customHeight="1" x14ac:dyDescent="0.25">
      <c r="A601" s="56"/>
      <c r="B601" s="57" t="s">
        <v>0</v>
      </c>
      <c r="C601" s="67" t="s">
        <v>183</v>
      </c>
      <c r="D601" s="57"/>
      <c r="E601" s="57"/>
      <c r="F601" s="57"/>
      <c r="G601" s="57"/>
      <c r="H601" s="68"/>
      <c r="I601" s="62"/>
      <c r="J601" s="57"/>
      <c r="K601" s="57"/>
      <c r="L601" s="69"/>
      <c r="M601" s="54"/>
      <c r="N601" s="104"/>
      <c r="O601" s="101" t="s">
        <v>87</v>
      </c>
      <c r="P601" s="101"/>
      <c r="Q601" s="101"/>
      <c r="R601" s="101" t="str">
        <f>IF(Q601="","",R600-Q601)</f>
        <v/>
      </c>
      <c r="S601" s="105"/>
      <c r="T601" s="101" t="s">
        <v>87</v>
      </c>
      <c r="U601" s="177">
        <f>Y600</f>
        <v>0</v>
      </c>
      <c r="V601" s="103"/>
      <c r="W601" s="103">
        <f>V601+U601</f>
        <v>0</v>
      </c>
      <c r="X601" s="103"/>
      <c r="Y601" s="177">
        <f>IF(W601="","",W601-X601)</f>
        <v>0</v>
      </c>
      <c r="Z601" s="106"/>
      <c r="AA601" s="54"/>
    </row>
    <row r="602" spans="1:27" s="55" customFormat="1" ht="21" customHeight="1" x14ac:dyDescent="0.25">
      <c r="A602" s="56"/>
      <c r="B602" s="71" t="s">
        <v>57</v>
      </c>
      <c r="C602" s="72"/>
      <c r="D602" s="57"/>
      <c r="E602" s="57"/>
      <c r="F602" s="290" t="s">
        <v>59</v>
      </c>
      <c r="G602" s="290"/>
      <c r="H602" s="57"/>
      <c r="I602" s="290" t="s">
        <v>60</v>
      </c>
      <c r="J602" s="290"/>
      <c r="K602" s="290"/>
      <c r="L602" s="73"/>
      <c r="M602" s="57"/>
      <c r="N602" s="100"/>
      <c r="O602" s="101" t="s">
        <v>62</v>
      </c>
      <c r="P602" s="101"/>
      <c r="Q602" s="101"/>
      <c r="R602" s="101">
        <v>0</v>
      </c>
      <c r="S602" s="105"/>
      <c r="T602" s="101" t="s">
        <v>62</v>
      </c>
      <c r="U602" s="177">
        <f>Y601</f>
        <v>0</v>
      </c>
      <c r="V602" s="103"/>
      <c r="W602" s="103">
        <f>V602+U602</f>
        <v>0</v>
      </c>
      <c r="X602" s="103"/>
      <c r="Y602" s="177">
        <f t="shared" ref="Y602:Y611" si="106">IF(W602="","",W602-X602)</f>
        <v>0</v>
      </c>
      <c r="Z602" s="106"/>
      <c r="AA602" s="57"/>
    </row>
    <row r="603" spans="1:27" s="55" customFormat="1" ht="21" customHeight="1" x14ac:dyDescent="0.25">
      <c r="A603" s="56"/>
      <c r="B603" s="57"/>
      <c r="C603" s="57"/>
      <c r="D603" s="57"/>
      <c r="E603" s="57"/>
      <c r="F603" s="57"/>
      <c r="G603" s="57"/>
      <c r="H603" s="74"/>
      <c r="L603" s="61"/>
      <c r="M603" s="57"/>
      <c r="N603" s="100"/>
      <c r="O603" s="101" t="s">
        <v>63</v>
      </c>
      <c r="P603" s="101"/>
      <c r="Q603" s="101"/>
      <c r="R603" s="101">
        <v>0</v>
      </c>
      <c r="S603" s="105"/>
      <c r="T603" s="101" t="s">
        <v>63</v>
      </c>
      <c r="U603" s="177">
        <f>Y602</f>
        <v>0</v>
      </c>
      <c r="V603" s="103"/>
      <c r="W603" s="177">
        <f t="shared" ref="W603:W611" si="107">IF(U603="","",U603+V603)</f>
        <v>0</v>
      </c>
      <c r="X603" s="103"/>
      <c r="Y603" s="177">
        <f t="shared" si="106"/>
        <v>0</v>
      </c>
      <c r="Z603" s="106"/>
      <c r="AA603" s="57"/>
    </row>
    <row r="604" spans="1:27" s="55" customFormat="1" ht="21" customHeight="1" x14ac:dyDescent="0.25">
      <c r="A604" s="56"/>
      <c r="B604" s="291" t="s">
        <v>58</v>
      </c>
      <c r="C604" s="292"/>
      <c r="D604" s="57"/>
      <c r="E604" s="57"/>
      <c r="F604" s="75" t="s">
        <v>80</v>
      </c>
      <c r="G604" s="70">
        <f>IF($J$1="January",U600,IF($J$1="February",U601,IF($J$1="March",U602,IF($J$1="April",U603,IF($J$1="May",U604,IF($J$1="June",U605,IF($J$1="July",U606,IF($J$1="August",U607,IF($J$1="August",U607,IF($J$1="September",U608,IF($J$1="October",U609,IF($J$1="November",U610,IF($J$1="December",U611)))))))))))))</f>
        <v>0</v>
      </c>
      <c r="H604" s="74"/>
      <c r="I604" s="76">
        <f>IF(C608&gt;0,$K$2,C606)</f>
        <v>26</v>
      </c>
      <c r="J604" s="77" t="s">
        <v>77</v>
      </c>
      <c r="K604" s="78">
        <f>K600/$K$2*I604</f>
        <v>14733.333333333332</v>
      </c>
      <c r="L604" s="79"/>
      <c r="M604" s="57"/>
      <c r="N604" s="100"/>
      <c r="O604" s="101" t="s">
        <v>64</v>
      </c>
      <c r="P604" s="101">
        <v>23</v>
      </c>
      <c r="Q604" s="101">
        <v>8</v>
      </c>
      <c r="R604" s="101">
        <v>0</v>
      </c>
      <c r="S604" s="105"/>
      <c r="T604" s="101" t="s">
        <v>64</v>
      </c>
      <c r="U604" s="177">
        <f>Y603</f>
        <v>0</v>
      </c>
      <c r="V604" s="103">
        <f>3000+2000</f>
        <v>5000</v>
      </c>
      <c r="W604" s="177">
        <f t="shared" si="107"/>
        <v>5000</v>
      </c>
      <c r="X604" s="103">
        <v>5000</v>
      </c>
      <c r="Y604" s="177">
        <f t="shared" si="106"/>
        <v>0</v>
      </c>
      <c r="Z604" s="106"/>
      <c r="AA604" s="57"/>
    </row>
    <row r="605" spans="1:27" s="55" customFormat="1" ht="21" customHeight="1" x14ac:dyDescent="0.25">
      <c r="A605" s="56"/>
      <c r="B605" s="66"/>
      <c r="C605" s="66"/>
      <c r="D605" s="57"/>
      <c r="E605" s="57"/>
      <c r="F605" s="75" t="s">
        <v>29</v>
      </c>
      <c r="G605" s="70">
        <f>IF($J$1="January",V600,IF($J$1="February",V601,IF($J$1="March",V602,IF($J$1="April",V603,IF($J$1="May",V604,IF($J$1="June",V605,IF($J$1="July",V606,IF($J$1="August",V607,IF($J$1="August",V607,IF($J$1="September",V608,IF($J$1="October",V609,IF($J$1="November",V610,IF($J$1="December",V611)))))))))))))</f>
        <v>12500</v>
      </c>
      <c r="H605" s="74"/>
      <c r="I605" s="120">
        <v>10</v>
      </c>
      <c r="J605" s="77" t="s">
        <v>78</v>
      </c>
      <c r="K605" s="80">
        <f>K600/$K$2/8*I605</f>
        <v>708.33333333333326</v>
      </c>
      <c r="L605" s="81"/>
      <c r="M605" s="57"/>
      <c r="N605" s="100"/>
      <c r="O605" s="101" t="s">
        <v>65</v>
      </c>
      <c r="P605" s="101">
        <v>26</v>
      </c>
      <c r="Q605" s="101">
        <v>4</v>
      </c>
      <c r="R605" s="101">
        <f t="shared" ref="R605:R609" si="108">IF(Q605="","",R604-Q605)</f>
        <v>-4</v>
      </c>
      <c r="S605" s="105"/>
      <c r="T605" s="101" t="s">
        <v>65</v>
      </c>
      <c r="U605" s="177">
        <f>Y604</f>
        <v>0</v>
      </c>
      <c r="V605" s="103">
        <f>5000+2000+5500</f>
        <v>12500</v>
      </c>
      <c r="W605" s="177">
        <f t="shared" si="107"/>
        <v>12500</v>
      </c>
      <c r="X605" s="103">
        <v>5440</v>
      </c>
      <c r="Y605" s="177">
        <f t="shared" si="106"/>
        <v>7060</v>
      </c>
      <c r="Z605" s="106"/>
      <c r="AA605" s="57"/>
    </row>
    <row r="606" spans="1:27" s="55" customFormat="1" ht="21" customHeight="1" x14ac:dyDescent="0.25">
      <c r="A606" s="56"/>
      <c r="B606" s="75" t="s">
        <v>7</v>
      </c>
      <c r="C606" s="66">
        <f>IF($J$1="January",P600,IF($J$1="February",P601,IF($J$1="March",P602,IF($J$1="April",P603,IF($J$1="May",P604,IF($J$1="June",P605,IF($J$1="July",P606,IF($J$1="August",P607,IF($J$1="August",P607,IF($J$1="September",P608,IF($J$1="October",P609,IF($J$1="November",P610,IF($J$1="December",P611)))))))))))))</f>
        <v>26</v>
      </c>
      <c r="D606" s="57"/>
      <c r="E606" s="57"/>
      <c r="F606" s="75" t="s">
        <v>81</v>
      </c>
      <c r="G606" s="70">
        <f>IF($J$1="January",W600,IF($J$1="February",W601,IF($J$1="March",W602,IF($J$1="April",W603,IF($J$1="May",W604,IF($J$1="June",W605,IF($J$1="July",W606,IF($J$1="August",W607,IF($J$1="August",W607,IF($J$1="September",W608,IF($J$1="October",W609,IF($J$1="November",W610,IF($J$1="December",W611)))))))))))))</f>
        <v>12500</v>
      </c>
      <c r="H606" s="74"/>
      <c r="I606" s="293" t="s">
        <v>85</v>
      </c>
      <c r="J606" s="294"/>
      <c r="K606" s="80">
        <f>K604+K605</f>
        <v>15441.666666666666</v>
      </c>
      <c r="L606" s="81"/>
      <c r="M606" s="57"/>
      <c r="N606" s="100"/>
      <c r="O606" s="101" t="s">
        <v>66</v>
      </c>
      <c r="P606" s="101"/>
      <c r="Q606" s="101"/>
      <c r="R606" s="101" t="str">
        <f t="shared" si="108"/>
        <v/>
      </c>
      <c r="S606" s="105"/>
      <c r="T606" s="101" t="s">
        <v>66</v>
      </c>
      <c r="U606" s="177"/>
      <c r="V606" s="103"/>
      <c r="W606" s="177" t="str">
        <f t="shared" si="107"/>
        <v/>
      </c>
      <c r="X606" s="103"/>
      <c r="Y606" s="177" t="str">
        <f t="shared" si="106"/>
        <v/>
      </c>
      <c r="Z606" s="106"/>
      <c r="AA606" s="57"/>
    </row>
    <row r="607" spans="1:27" s="55" customFormat="1" ht="21" customHeight="1" x14ac:dyDescent="0.25">
      <c r="A607" s="56"/>
      <c r="B607" s="75" t="s">
        <v>6</v>
      </c>
      <c r="C607" s="66">
        <f>IF($J$1="January",Q600,IF($J$1="February",Q601,IF($J$1="March",Q602,IF($J$1="April",Q603,IF($J$1="May",Q604,IF($J$1="June",Q605,IF($J$1="July",Q606,IF($J$1="August",Q607,IF($J$1="August",Q607,IF($J$1="September",Q608,IF($J$1="October",Q609,IF($J$1="November",Q610,IF($J$1="December",Q611)))))))))))))</f>
        <v>4</v>
      </c>
      <c r="D607" s="57"/>
      <c r="E607" s="57"/>
      <c r="F607" s="75" t="s">
        <v>30</v>
      </c>
      <c r="G607" s="70">
        <f>IF($J$1="January",X600,IF($J$1="February",X601,IF($J$1="March",X602,IF($J$1="April",X603,IF($J$1="May",X604,IF($J$1="June",X605,IF($J$1="July",X606,IF($J$1="August",X607,IF($J$1="August",X607,IF($J$1="September",X608,IF($J$1="October",X609,IF($J$1="November",X610,IF($J$1="December",X611)))))))))))))</f>
        <v>5440</v>
      </c>
      <c r="H607" s="74"/>
      <c r="I607" s="293" t="s">
        <v>86</v>
      </c>
      <c r="J607" s="294"/>
      <c r="K607" s="70">
        <f>G607</f>
        <v>5440</v>
      </c>
      <c r="L607" s="82"/>
      <c r="M607" s="57"/>
      <c r="N607" s="100"/>
      <c r="O607" s="101" t="s">
        <v>67</v>
      </c>
      <c r="P607" s="101"/>
      <c r="Q607" s="101"/>
      <c r="R607" s="101"/>
      <c r="S607" s="105"/>
      <c r="T607" s="101" t="s">
        <v>67</v>
      </c>
      <c r="U607" s="177"/>
      <c r="V607" s="103"/>
      <c r="W607" s="177" t="str">
        <f t="shared" si="107"/>
        <v/>
      </c>
      <c r="X607" s="103"/>
      <c r="Y607" s="177" t="str">
        <f t="shared" si="106"/>
        <v/>
      </c>
      <c r="Z607" s="106"/>
      <c r="AA607" s="57"/>
    </row>
    <row r="608" spans="1:27" s="55" customFormat="1" ht="21" customHeight="1" x14ac:dyDescent="0.25">
      <c r="A608" s="56"/>
      <c r="B608" s="83" t="s">
        <v>84</v>
      </c>
      <c r="C608" s="66">
        <f>IF($J$1="January",R600,IF($J$1="February",R601,IF($J$1="March",R602,IF($J$1="April",R603,IF($J$1="May",R604,IF($J$1="June",R605,IF($J$1="July",R606,IF($J$1="August",R607,IF($J$1="August",R607,IF($J$1="September",R608,IF($J$1="October",R609,IF($J$1="November",R610,IF($J$1="December",R611)))))))))))))</f>
        <v>-4</v>
      </c>
      <c r="D608" s="57"/>
      <c r="E608" s="57"/>
      <c r="F608" s="75" t="s">
        <v>83</v>
      </c>
      <c r="G608" s="70">
        <f>IF($J$1="January",Y600,IF($J$1="February",Y601,IF($J$1="March",Y602,IF($J$1="April",Y603,IF($J$1="May",Y604,IF($J$1="June",Y605,IF($J$1="July",Y606,IF($J$1="August",Y607,IF($J$1="August",Y607,IF($J$1="September",Y608,IF($J$1="October",Y609,IF($J$1="November",Y610,IF($J$1="December",Y611)))))))))))))</f>
        <v>7060</v>
      </c>
      <c r="H608" s="57"/>
      <c r="I608" s="295" t="s">
        <v>79</v>
      </c>
      <c r="J608" s="296"/>
      <c r="K608" s="84">
        <f>K606-K607</f>
        <v>10001.666666666666</v>
      </c>
      <c r="L608" s="85"/>
      <c r="M608" s="57"/>
      <c r="N608" s="100"/>
      <c r="O608" s="101" t="s">
        <v>72</v>
      </c>
      <c r="P608" s="101"/>
      <c r="Q608" s="101"/>
      <c r="R608" s="101"/>
      <c r="S608" s="105"/>
      <c r="T608" s="101" t="s">
        <v>72</v>
      </c>
      <c r="U608" s="177"/>
      <c r="V608" s="103"/>
      <c r="W608" s="177" t="str">
        <f t="shared" si="107"/>
        <v/>
      </c>
      <c r="X608" s="103"/>
      <c r="Y608" s="177" t="str">
        <f t="shared" si="106"/>
        <v/>
      </c>
      <c r="Z608" s="106"/>
      <c r="AA608" s="57"/>
    </row>
    <row r="609" spans="1:27" s="55" customFormat="1" ht="21" customHeight="1" x14ac:dyDescent="0.25">
      <c r="A609" s="56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73"/>
      <c r="M609" s="57"/>
      <c r="N609" s="100"/>
      <c r="O609" s="101" t="s">
        <v>68</v>
      </c>
      <c r="P609" s="101"/>
      <c r="Q609" s="101"/>
      <c r="R609" s="101" t="str">
        <f t="shared" si="108"/>
        <v/>
      </c>
      <c r="S609" s="105"/>
      <c r="T609" s="101" t="s">
        <v>68</v>
      </c>
      <c r="U609" s="177"/>
      <c r="V609" s="103"/>
      <c r="W609" s="177" t="str">
        <f t="shared" si="107"/>
        <v/>
      </c>
      <c r="X609" s="103"/>
      <c r="Y609" s="177" t="str">
        <f t="shared" si="106"/>
        <v/>
      </c>
      <c r="Z609" s="106"/>
      <c r="AA609" s="57"/>
    </row>
    <row r="610" spans="1:27" s="55" customFormat="1" ht="21" customHeight="1" x14ac:dyDescent="0.25">
      <c r="A610" s="56"/>
      <c r="B610" s="284" t="s">
        <v>116</v>
      </c>
      <c r="C610" s="284"/>
      <c r="D610" s="284"/>
      <c r="E610" s="284"/>
      <c r="F610" s="284"/>
      <c r="G610" s="284"/>
      <c r="H610" s="284"/>
      <c r="I610" s="284"/>
      <c r="J610" s="284"/>
      <c r="K610" s="284"/>
      <c r="L610" s="73"/>
      <c r="M610" s="57"/>
      <c r="N610" s="100"/>
      <c r="O610" s="101" t="s">
        <v>73</v>
      </c>
      <c r="P610" s="101"/>
      <c r="Q610" s="101"/>
      <c r="R610" s="101">
        <v>0</v>
      </c>
      <c r="S610" s="105"/>
      <c r="T610" s="101" t="s">
        <v>73</v>
      </c>
      <c r="U610" s="177"/>
      <c r="V610" s="103"/>
      <c r="W610" s="177" t="str">
        <f t="shared" si="107"/>
        <v/>
      </c>
      <c r="X610" s="103"/>
      <c r="Y610" s="177" t="str">
        <f t="shared" si="106"/>
        <v/>
      </c>
      <c r="Z610" s="106"/>
      <c r="AA610" s="57"/>
    </row>
    <row r="611" spans="1:27" s="55" customFormat="1" ht="21" customHeight="1" x14ac:dyDescent="0.25">
      <c r="A611" s="56"/>
      <c r="B611" s="284"/>
      <c r="C611" s="284"/>
      <c r="D611" s="284"/>
      <c r="E611" s="284"/>
      <c r="F611" s="284"/>
      <c r="G611" s="284"/>
      <c r="H611" s="284"/>
      <c r="I611" s="284"/>
      <c r="J611" s="284"/>
      <c r="K611" s="284"/>
      <c r="L611" s="73"/>
      <c r="M611" s="57"/>
      <c r="N611" s="100"/>
      <c r="O611" s="101" t="s">
        <v>74</v>
      </c>
      <c r="P611" s="101"/>
      <c r="Q611" s="101"/>
      <c r="R611" s="101">
        <v>0</v>
      </c>
      <c r="S611" s="105"/>
      <c r="T611" s="101" t="s">
        <v>74</v>
      </c>
      <c r="U611" s="177"/>
      <c r="V611" s="103"/>
      <c r="W611" s="177" t="str">
        <f t="shared" si="107"/>
        <v/>
      </c>
      <c r="X611" s="103"/>
      <c r="Y611" s="177" t="str">
        <f t="shared" si="106"/>
        <v/>
      </c>
      <c r="Z611" s="106"/>
      <c r="AA611" s="57"/>
    </row>
    <row r="612" spans="1:27" s="55" customFormat="1" ht="21" customHeight="1" thickBot="1" x14ac:dyDescent="0.3">
      <c r="A612" s="86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8"/>
      <c r="N612" s="107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9"/>
    </row>
    <row r="613" spans="1:27" s="57" customFormat="1" ht="21" customHeight="1" thickBot="1" x14ac:dyDescent="0.3"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  <c r="Z613" s="105"/>
    </row>
    <row r="614" spans="1:27" s="55" customFormat="1" ht="21" customHeight="1" x14ac:dyDescent="0.25">
      <c r="A614" s="297" t="s">
        <v>56</v>
      </c>
      <c r="B614" s="298"/>
      <c r="C614" s="298"/>
      <c r="D614" s="298"/>
      <c r="E614" s="298"/>
      <c r="F614" s="298"/>
      <c r="G614" s="298"/>
      <c r="H614" s="298"/>
      <c r="I614" s="298"/>
      <c r="J614" s="298"/>
      <c r="K614" s="298"/>
      <c r="L614" s="299"/>
      <c r="M614" s="54"/>
      <c r="N614" s="93"/>
      <c r="O614" s="285" t="s">
        <v>58</v>
      </c>
      <c r="P614" s="286"/>
      <c r="Q614" s="286"/>
      <c r="R614" s="287"/>
      <c r="S614" s="94"/>
      <c r="T614" s="285" t="s">
        <v>59</v>
      </c>
      <c r="U614" s="286"/>
      <c r="V614" s="286"/>
      <c r="W614" s="286"/>
      <c r="X614" s="286"/>
      <c r="Y614" s="287"/>
      <c r="Z614" s="95"/>
      <c r="AA614" s="54"/>
    </row>
    <row r="615" spans="1:27" s="55" customFormat="1" ht="21" customHeight="1" x14ac:dyDescent="0.25">
      <c r="A615" s="56"/>
      <c r="B615" s="57"/>
      <c r="C615" s="288" t="s">
        <v>114</v>
      </c>
      <c r="D615" s="288"/>
      <c r="E615" s="288"/>
      <c r="F615" s="288"/>
      <c r="G615" s="58" t="str">
        <f>$J$1</f>
        <v>June</v>
      </c>
      <c r="H615" s="289">
        <f>$K$1</f>
        <v>2019</v>
      </c>
      <c r="I615" s="289"/>
      <c r="J615" s="57"/>
      <c r="K615" s="59"/>
      <c r="L615" s="60"/>
      <c r="M615" s="59"/>
      <c r="N615" s="96"/>
      <c r="O615" s="97" t="s">
        <v>69</v>
      </c>
      <c r="P615" s="97" t="s">
        <v>7</v>
      </c>
      <c r="Q615" s="97" t="s">
        <v>6</v>
      </c>
      <c r="R615" s="97" t="s">
        <v>70</v>
      </c>
      <c r="S615" s="98"/>
      <c r="T615" s="97" t="s">
        <v>69</v>
      </c>
      <c r="U615" s="97" t="s">
        <v>71</v>
      </c>
      <c r="V615" s="97" t="s">
        <v>29</v>
      </c>
      <c r="W615" s="97" t="s">
        <v>28</v>
      </c>
      <c r="X615" s="97" t="s">
        <v>30</v>
      </c>
      <c r="Y615" s="97" t="s">
        <v>75</v>
      </c>
      <c r="Z615" s="99"/>
      <c r="AA615" s="59"/>
    </row>
    <row r="616" spans="1:27" s="55" customFormat="1" ht="21" customHeight="1" x14ac:dyDescent="0.25">
      <c r="A616" s="56"/>
      <c r="B616" s="57"/>
      <c r="C616" s="57"/>
      <c r="D616" s="62"/>
      <c r="E616" s="62"/>
      <c r="F616" s="62"/>
      <c r="G616" s="62"/>
      <c r="H616" s="62"/>
      <c r="I616" s="57"/>
      <c r="J616" s="63" t="s">
        <v>1</v>
      </c>
      <c r="K616" s="64">
        <v>16000</v>
      </c>
      <c r="L616" s="65"/>
      <c r="M616" s="57"/>
      <c r="N616" s="100"/>
      <c r="O616" s="101" t="s">
        <v>61</v>
      </c>
      <c r="P616" s="101"/>
      <c r="Q616" s="101"/>
      <c r="R616" s="101">
        <f>15-Q616</f>
        <v>15</v>
      </c>
      <c r="S616" s="102"/>
      <c r="T616" s="101" t="s">
        <v>61</v>
      </c>
      <c r="U616" s="103"/>
      <c r="V616" s="103"/>
      <c r="W616" s="103">
        <f>V616+U616</f>
        <v>0</v>
      </c>
      <c r="X616" s="103"/>
      <c r="Y616" s="103">
        <f>W616-X616</f>
        <v>0</v>
      </c>
      <c r="Z616" s="99"/>
      <c r="AA616" s="57"/>
    </row>
    <row r="617" spans="1:27" s="55" customFormat="1" ht="21" customHeight="1" x14ac:dyDescent="0.25">
      <c r="A617" s="56"/>
      <c r="B617" s="57" t="s">
        <v>0</v>
      </c>
      <c r="C617" s="67" t="s">
        <v>180</v>
      </c>
      <c r="D617" s="57"/>
      <c r="E617" s="57"/>
      <c r="F617" s="57"/>
      <c r="G617" s="57"/>
      <c r="H617" s="68"/>
      <c r="I617" s="62"/>
      <c r="J617" s="57"/>
      <c r="K617" s="57"/>
      <c r="L617" s="69"/>
      <c r="M617" s="54"/>
      <c r="N617" s="104"/>
      <c r="O617" s="101" t="s">
        <v>87</v>
      </c>
      <c r="P617" s="101"/>
      <c r="Q617" s="101"/>
      <c r="R617" s="101" t="str">
        <f>IF(Q617="","",R616-Q617)</f>
        <v/>
      </c>
      <c r="S617" s="105"/>
      <c r="T617" s="101" t="s">
        <v>87</v>
      </c>
      <c r="U617" s="177"/>
      <c r="V617" s="103"/>
      <c r="W617" s="177" t="str">
        <f>IF(U617="","",U617+V617)</f>
        <v/>
      </c>
      <c r="X617" s="103"/>
      <c r="Y617" s="177" t="str">
        <f>IF(W617="","",W617-X617)</f>
        <v/>
      </c>
      <c r="Z617" s="106"/>
      <c r="AA617" s="54"/>
    </row>
    <row r="618" spans="1:27" s="55" customFormat="1" ht="21" customHeight="1" x14ac:dyDescent="0.25">
      <c r="A618" s="56"/>
      <c r="B618" s="71" t="s">
        <v>57</v>
      </c>
      <c r="C618" s="72"/>
      <c r="D618" s="57"/>
      <c r="E618" s="57"/>
      <c r="F618" s="290" t="s">
        <v>59</v>
      </c>
      <c r="G618" s="290"/>
      <c r="H618" s="57"/>
      <c r="I618" s="290" t="s">
        <v>60</v>
      </c>
      <c r="J618" s="290"/>
      <c r="K618" s="290"/>
      <c r="L618" s="73"/>
      <c r="M618" s="57"/>
      <c r="N618" s="100"/>
      <c r="O618" s="101" t="s">
        <v>62</v>
      </c>
      <c r="P618" s="101"/>
      <c r="Q618" s="101"/>
      <c r="R618" s="101" t="str">
        <f t="shared" ref="R618:R627" si="109">IF(Q618="","",R617-Q618)</f>
        <v/>
      </c>
      <c r="S618" s="105"/>
      <c r="T618" s="101" t="s">
        <v>62</v>
      </c>
      <c r="U618" s="177"/>
      <c r="V618" s="103"/>
      <c r="W618" s="177" t="str">
        <f t="shared" ref="W618:W627" si="110">IF(U618="","",U618+V618)</f>
        <v/>
      </c>
      <c r="X618" s="103"/>
      <c r="Y618" s="177" t="str">
        <f t="shared" ref="Y618:Y627" si="111">IF(W618="","",W618-X618)</f>
        <v/>
      </c>
      <c r="Z618" s="106"/>
      <c r="AA618" s="57"/>
    </row>
    <row r="619" spans="1:27" s="55" customFormat="1" ht="21" customHeight="1" x14ac:dyDescent="0.25">
      <c r="A619" s="56"/>
      <c r="B619" s="57"/>
      <c r="C619" s="57"/>
      <c r="D619" s="57"/>
      <c r="E619" s="57"/>
      <c r="F619" s="57"/>
      <c r="G619" s="57"/>
      <c r="H619" s="74"/>
      <c r="L619" s="61"/>
      <c r="M619" s="57"/>
      <c r="N619" s="100"/>
      <c r="O619" s="101" t="s">
        <v>63</v>
      </c>
      <c r="P619" s="101">
        <v>22</v>
      </c>
      <c r="Q619" s="101">
        <v>8</v>
      </c>
      <c r="R619" s="101">
        <v>0</v>
      </c>
      <c r="S619" s="105"/>
      <c r="T619" s="101" t="s">
        <v>63</v>
      </c>
      <c r="U619" s="177"/>
      <c r="V619" s="103"/>
      <c r="W619" s="177" t="str">
        <f t="shared" si="110"/>
        <v/>
      </c>
      <c r="X619" s="103"/>
      <c r="Y619" s="177" t="str">
        <f t="shared" si="111"/>
        <v/>
      </c>
      <c r="Z619" s="106"/>
      <c r="AA619" s="57"/>
    </row>
    <row r="620" spans="1:27" s="55" customFormat="1" ht="21" customHeight="1" x14ac:dyDescent="0.25">
      <c r="A620" s="56"/>
      <c r="B620" s="291" t="s">
        <v>58</v>
      </c>
      <c r="C620" s="292"/>
      <c r="D620" s="57"/>
      <c r="E620" s="57"/>
      <c r="F620" s="75" t="s">
        <v>80</v>
      </c>
      <c r="G620" s="70" t="str">
        <f>IF($J$1="January",U616,IF($J$1="February",U617,IF($J$1="March",U618,IF($J$1="April",U619,IF($J$1="May",U620,IF($J$1="June",U621,IF($J$1="July",U622,IF($J$1="August",U623,IF($J$1="August",U623,IF($J$1="September",U624,IF($J$1="October",U625,IF($J$1="November",U626,IF($J$1="December",U627)))))))))))))</f>
        <v/>
      </c>
      <c r="H620" s="74"/>
      <c r="I620" s="76">
        <f>IF(C624&gt;0,$K$2,C622)</f>
        <v>30</v>
      </c>
      <c r="J620" s="77" t="s">
        <v>77</v>
      </c>
      <c r="K620" s="78">
        <f>K616/$K$2*I620</f>
        <v>16000.000000000002</v>
      </c>
      <c r="L620" s="79"/>
      <c r="M620" s="57"/>
      <c r="N620" s="100"/>
      <c r="O620" s="101" t="s">
        <v>64</v>
      </c>
      <c r="P620" s="101">
        <v>31</v>
      </c>
      <c r="Q620" s="101">
        <v>0</v>
      </c>
      <c r="R620" s="101">
        <f t="shared" si="109"/>
        <v>0</v>
      </c>
      <c r="S620" s="105"/>
      <c r="T620" s="101" t="s">
        <v>64</v>
      </c>
      <c r="U620" s="177" t="str">
        <f>Y619</f>
        <v/>
      </c>
      <c r="V620" s="103"/>
      <c r="W620" s="177" t="str">
        <f t="shared" si="110"/>
        <v/>
      </c>
      <c r="X620" s="103"/>
      <c r="Y620" s="177" t="str">
        <f t="shared" si="111"/>
        <v/>
      </c>
      <c r="Z620" s="106"/>
      <c r="AA620" s="57"/>
    </row>
    <row r="621" spans="1:27" s="55" customFormat="1" ht="21" customHeight="1" x14ac:dyDescent="0.25">
      <c r="A621" s="56"/>
      <c r="B621" s="66"/>
      <c r="C621" s="66"/>
      <c r="D621" s="57"/>
      <c r="E621" s="57"/>
      <c r="F621" s="75" t="s">
        <v>29</v>
      </c>
      <c r="G621" s="196">
        <f>IF($J$1="January",V616,IF($J$1="February",V617,IF($J$1="March",V618,IF($J$1="April",V619,IF($J$1="May",V620,IF($J$1="June",V621,IF($J$1="July",V622,IF($J$1="August",V623,IF($J$1="August",V623,IF($J$1="September",V624,IF($J$1="October",V625,IF($J$1="November",V626,IF($J$1="December",V627)))))))))))))</f>
        <v>275</v>
      </c>
      <c r="H621" s="74"/>
      <c r="I621" s="120">
        <v>49.87</v>
      </c>
      <c r="J621" s="77" t="s">
        <v>78</v>
      </c>
      <c r="K621" s="80">
        <f>K616/$K$2/8*I621</f>
        <v>3324.6666666666665</v>
      </c>
      <c r="L621" s="81"/>
      <c r="M621" s="57"/>
      <c r="N621" s="100"/>
      <c r="O621" s="101" t="s">
        <v>65</v>
      </c>
      <c r="P621" s="101">
        <v>30</v>
      </c>
      <c r="Q621" s="101">
        <v>0</v>
      </c>
      <c r="R621" s="101">
        <f t="shared" si="109"/>
        <v>0</v>
      </c>
      <c r="S621" s="105"/>
      <c r="T621" s="101" t="s">
        <v>65</v>
      </c>
      <c r="U621" s="177" t="str">
        <f>Y620</f>
        <v/>
      </c>
      <c r="V621" s="103">
        <v>275</v>
      </c>
      <c r="W621" s="177">
        <f>V621</f>
        <v>275</v>
      </c>
      <c r="X621" s="103">
        <v>275</v>
      </c>
      <c r="Y621" s="177">
        <f t="shared" si="111"/>
        <v>0</v>
      </c>
      <c r="Z621" s="106"/>
      <c r="AA621" s="57"/>
    </row>
    <row r="622" spans="1:27" s="55" customFormat="1" ht="21" customHeight="1" x14ac:dyDescent="0.25">
      <c r="A622" s="56"/>
      <c r="B622" s="75" t="s">
        <v>7</v>
      </c>
      <c r="C622" s="66">
        <f>IF($J$1="January",P616,IF($J$1="February",P617,IF($J$1="March",P618,IF($J$1="April",P619,IF($J$1="May",P620,IF($J$1="June",P621,IF($J$1="July",P622,IF($J$1="August",P623,IF($J$1="August",P623,IF($J$1="September",P624,IF($J$1="October",P625,IF($J$1="November",P626,IF($J$1="December",P627)))))))))))))</f>
        <v>30</v>
      </c>
      <c r="D622" s="57"/>
      <c r="E622" s="57"/>
      <c r="F622" s="75" t="s">
        <v>81</v>
      </c>
      <c r="G622" s="196">
        <f>IF($J$1="January",W616,IF($J$1="February",W617,IF($J$1="March",W618,IF($J$1="April",W619,IF($J$1="May",W620,IF($J$1="June",W621,IF($J$1="July",W622,IF($J$1="August",W623,IF($J$1="August",W623,IF($J$1="September",W624,IF($J$1="October",W625,IF($J$1="November",W626,IF($J$1="December",W627)))))))))))))</f>
        <v>275</v>
      </c>
      <c r="H622" s="74"/>
      <c r="I622" s="293" t="s">
        <v>85</v>
      </c>
      <c r="J622" s="294"/>
      <c r="K622" s="80">
        <f>K620+K621</f>
        <v>19324.666666666668</v>
      </c>
      <c r="L622" s="81"/>
      <c r="M622" s="57"/>
      <c r="N622" s="100"/>
      <c r="O622" s="101" t="s">
        <v>66</v>
      </c>
      <c r="P622" s="101"/>
      <c r="Q622" s="101"/>
      <c r="R622" s="101">
        <v>0</v>
      </c>
      <c r="S622" s="105"/>
      <c r="T622" s="101" t="s">
        <v>66</v>
      </c>
      <c r="U622" s="177"/>
      <c r="V622" s="103"/>
      <c r="W622" s="103">
        <f>V622+U622</f>
        <v>0</v>
      </c>
      <c r="X622" s="103"/>
      <c r="Y622" s="177">
        <f t="shared" si="111"/>
        <v>0</v>
      </c>
      <c r="Z622" s="106"/>
      <c r="AA622" s="57"/>
    </row>
    <row r="623" spans="1:27" s="55" customFormat="1" ht="21" customHeight="1" x14ac:dyDescent="0.25">
      <c r="A623" s="56"/>
      <c r="B623" s="75" t="s">
        <v>6</v>
      </c>
      <c r="C623" s="66">
        <f>IF($J$1="January",Q616,IF($J$1="February",Q617,IF($J$1="March",Q618,IF($J$1="April",Q619,IF($J$1="May",Q620,IF($J$1="June",Q621,IF($J$1="July",Q622,IF($J$1="August",Q623,IF($J$1="August",Q623,IF($J$1="September",Q624,IF($J$1="October",Q625,IF($J$1="November",Q626,IF($J$1="December",Q627)))))))))))))</f>
        <v>0</v>
      </c>
      <c r="D623" s="57"/>
      <c r="E623" s="57"/>
      <c r="F623" s="75" t="s">
        <v>30</v>
      </c>
      <c r="G623" s="196">
        <f>IF($J$1="January",X616,IF($J$1="February",X617,IF($J$1="March",X618,IF($J$1="April",X619,IF($J$1="May",X620,IF($J$1="June",X621,IF($J$1="July",X622,IF($J$1="August",X623,IF($J$1="August",X623,IF($J$1="September",X624,IF($J$1="October",X625,IF($J$1="November",X626,IF($J$1="December",X627)))))))))))))</f>
        <v>275</v>
      </c>
      <c r="H623" s="74"/>
      <c r="I623" s="293" t="s">
        <v>86</v>
      </c>
      <c r="J623" s="294"/>
      <c r="K623" s="70">
        <f>G623</f>
        <v>275</v>
      </c>
      <c r="L623" s="82"/>
      <c r="M623" s="57"/>
      <c r="N623" s="100"/>
      <c r="O623" s="101" t="s">
        <v>67</v>
      </c>
      <c r="P623" s="101"/>
      <c r="Q623" s="101"/>
      <c r="R623" s="101">
        <v>0</v>
      </c>
      <c r="S623" s="105"/>
      <c r="T623" s="101" t="s">
        <v>67</v>
      </c>
      <c r="U623" s="177">
        <f>IF($J$1="May",Y622,Y622)</f>
        <v>0</v>
      </c>
      <c r="V623" s="103"/>
      <c r="W623" s="177">
        <f t="shared" si="110"/>
        <v>0</v>
      </c>
      <c r="X623" s="103"/>
      <c r="Y623" s="177">
        <f t="shared" si="111"/>
        <v>0</v>
      </c>
      <c r="Z623" s="106"/>
      <c r="AA623" s="57"/>
    </row>
    <row r="624" spans="1:27" s="55" customFormat="1" ht="21" customHeight="1" x14ac:dyDescent="0.25">
      <c r="A624" s="56"/>
      <c r="B624" s="83" t="s">
        <v>84</v>
      </c>
      <c r="C624" s="66">
        <f>IF($J$1="January",R616,IF($J$1="February",R617,IF($J$1="March",R618,IF($J$1="April",R619,IF($J$1="May",R620,IF($J$1="June",R621,IF($J$1="July",R622,IF($J$1="August",R623,IF($J$1="August",R623,IF($J$1="September",R624,IF($J$1="October",R625,IF($J$1="November",R626,IF($J$1="December",R627)))))))))))))</f>
        <v>0</v>
      </c>
      <c r="D624" s="57"/>
      <c r="E624" s="57"/>
      <c r="F624" s="75" t="s">
        <v>83</v>
      </c>
      <c r="G624" s="196">
        <f>IF($J$1="January",Y616,IF($J$1="February",Y617,IF($J$1="March",Y618,IF($J$1="April",Y619,IF($J$1="May",Y620,IF($J$1="June",Y621,IF($J$1="July",Y622,IF($J$1="August",Y623,IF($J$1="August",Y623,IF($J$1="September",Y624,IF($J$1="October",Y625,IF($J$1="November",Y626,IF($J$1="December",Y627)))))))))))))</f>
        <v>0</v>
      </c>
      <c r="H624" s="57"/>
      <c r="I624" s="295" t="s">
        <v>79</v>
      </c>
      <c r="J624" s="296"/>
      <c r="K624" s="84">
        <f>K622-K623</f>
        <v>19049.666666666668</v>
      </c>
      <c r="L624" s="85"/>
      <c r="M624" s="57"/>
      <c r="N624" s="100"/>
      <c r="O624" s="101" t="s">
        <v>72</v>
      </c>
      <c r="P624" s="101"/>
      <c r="Q624" s="101"/>
      <c r="R624" s="101">
        <v>0</v>
      </c>
      <c r="S624" s="105"/>
      <c r="T624" s="101" t="s">
        <v>72</v>
      </c>
      <c r="U624" s="177"/>
      <c r="V624" s="103"/>
      <c r="W624" s="177" t="str">
        <f t="shared" si="110"/>
        <v/>
      </c>
      <c r="X624" s="103"/>
      <c r="Y624" s="177" t="str">
        <f t="shared" si="111"/>
        <v/>
      </c>
      <c r="Z624" s="106"/>
      <c r="AA624" s="57"/>
    </row>
    <row r="625" spans="1:27" s="55" customFormat="1" ht="21" customHeight="1" x14ac:dyDescent="0.25">
      <c r="A625" s="56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73"/>
      <c r="M625" s="57"/>
      <c r="N625" s="100"/>
      <c r="O625" s="101" t="s">
        <v>68</v>
      </c>
      <c r="P625" s="101"/>
      <c r="Q625" s="101"/>
      <c r="R625" s="101" t="str">
        <f t="shared" si="109"/>
        <v/>
      </c>
      <c r="S625" s="105"/>
      <c r="T625" s="101" t="s">
        <v>68</v>
      </c>
      <c r="U625" s="177" t="str">
        <f>IF($J$1="October",Y624,"")</f>
        <v/>
      </c>
      <c r="V625" s="103"/>
      <c r="W625" s="177" t="str">
        <f t="shared" si="110"/>
        <v/>
      </c>
      <c r="X625" s="103"/>
      <c r="Y625" s="177" t="str">
        <f t="shared" si="111"/>
        <v/>
      </c>
      <c r="Z625" s="106"/>
      <c r="AA625" s="57"/>
    </row>
    <row r="626" spans="1:27" s="55" customFormat="1" ht="21" customHeight="1" x14ac:dyDescent="0.25">
      <c r="A626" s="56"/>
      <c r="B626" s="284" t="s">
        <v>116</v>
      </c>
      <c r="C626" s="284"/>
      <c r="D626" s="284"/>
      <c r="E626" s="284"/>
      <c r="F626" s="284"/>
      <c r="G626" s="284"/>
      <c r="H626" s="284"/>
      <c r="I626" s="284"/>
      <c r="J626" s="284"/>
      <c r="K626" s="284"/>
      <c r="L626" s="73"/>
      <c r="M626" s="57"/>
      <c r="N626" s="100"/>
      <c r="O626" s="101" t="s">
        <v>73</v>
      </c>
      <c r="P626" s="101"/>
      <c r="Q626" s="101"/>
      <c r="R626" s="101">
        <v>0</v>
      </c>
      <c r="S626" s="105"/>
      <c r="T626" s="101" t="s">
        <v>73</v>
      </c>
      <c r="U626" s="177" t="str">
        <f>IF($J$1="November",Y625,"")</f>
        <v/>
      </c>
      <c r="V626" s="103"/>
      <c r="W626" s="177" t="str">
        <f t="shared" si="110"/>
        <v/>
      </c>
      <c r="X626" s="103"/>
      <c r="Y626" s="177" t="str">
        <f t="shared" si="111"/>
        <v/>
      </c>
      <c r="Z626" s="106"/>
      <c r="AA626" s="57"/>
    </row>
    <row r="627" spans="1:27" s="55" customFormat="1" ht="21" customHeight="1" x14ac:dyDescent="0.25">
      <c r="A627" s="56"/>
      <c r="B627" s="284"/>
      <c r="C627" s="284"/>
      <c r="D627" s="284"/>
      <c r="E627" s="284"/>
      <c r="F627" s="284"/>
      <c r="G627" s="284"/>
      <c r="H627" s="284"/>
      <c r="I627" s="284"/>
      <c r="J627" s="284"/>
      <c r="K627" s="284"/>
      <c r="L627" s="73"/>
      <c r="M627" s="57"/>
      <c r="N627" s="100"/>
      <c r="O627" s="101" t="s">
        <v>74</v>
      </c>
      <c r="P627" s="101"/>
      <c r="Q627" s="101"/>
      <c r="R627" s="101" t="str">
        <f t="shared" si="109"/>
        <v/>
      </c>
      <c r="S627" s="105"/>
      <c r="T627" s="101" t="s">
        <v>74</v>
      </c>
      <c r="U627" s="177" t="str">
        <f>IF($J$1="Dec",Y626,"")</f>
        <v/>
      </c>
      <c r="V627" s="103"/>
      <c r="W627" s="177" t="str">
        <f t="shared" si="110"/>
        <v/>
      </c>
      <c r="X627" s="103"/>
      <c r="Y627" s="177" t="str">
        <f t="shared" si="111"/>
        <v/>
      </c>
      <c r="Z627" s="106"/>
      <c r="AA627" s="57"/>
    </row>
    <row r="628" spans="1:27" s="55" customFormat="1" ht="21" customHeight="1" thickBot="1" x14ac:dyDescent="0.3">
      <c r="A628" s="86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8"/>
      <c r="N628" s="107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9"/>
    </row>
    <row r="629" spans="1:27" s="57" customFormat="1" ht="21" customHeight="1" thickBot="1" x14ac:dyDescent="0.3"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  <c r="Z629" s="105"/>
    </row>
    <row r="630" spans="1:27" s="55" customFormat="1" ht="21" customHeight="1" x14ac:dyDescent="0.25">
      <c r="A630" s="297" t="s">
        <v>56</v>
      </c>
      <c r="B630" s="298"/>
      <c r="C630" s="298"/>
      <c r="D630" s="298"/>
      <c r="E630" s="298"/>
      <c r="F630" s="298"/>
      <c r="G630" s="298"/>
      <c r="H630" s="298"/>
      <c r="I630" s="298"/>
      <c r="J630" s="298"/>
      <c r="K630" s="298"/>
      <c r="L630" s="299"/>
      <c r="M630" s="54"/>
      <c r="N630" s="93"/>
      <c r="O630" s="285" t="s">
        <v>58</v>
      </c>
      <c r="P630" s="286"/>
      <c r="Q630" s="286"/>
      <c r="R630" s="287"/>
      <c r="S630" s="94"/>
      <c r="T630" s="285" t="s">
        <v>59</v>
      </c>
      <c r="U630" s="286"/>
      <c r="V630" s="286"/>
      <c r="W630" s="286"/>
      <c r="X630" s="286"/>
      <c r="Y630" s="287"/>
      <c r="Z630" s="95"/>
      <c r="AA630" s="54"/>
    </row>
    <row r="631" spans="1:27" s="55" customFormat="1" ht="21" customHeight="1" x14ac:dyDescent="0.25">
      <c r="A631" s="56"/>
      <c r="B631" s="57"/>
      <c r="C631" s="288" t="s">
        <v>114</v>
      </c>
      <c r="D631" s="288"/>
      <c r="E631" s="288"/>
      <c r="F631" s="288"/>
      <c r="G631" s="58" t="str">
        <f>$J$1</f>
        <v>June</v>
      </c>
      <c r="H631" s="289">
        <f>$K$1</f>
        <v>2019</v>
      </c>
      <c r="I631" s="289"/>
      <c r="J631" s="57"/>
      <c r="K631" s="59"/>
      <c r="L631" s="60"/>
      <c r="M631" s="59"/>
      <c r="N631" s="96"/>
      <c r="O631" s="97" t="s">
        <v>69</v>
      </c>
      <c r="P631" s="97" t="s">
        <v>7</v>
      </c>
      <c r="Q631" s="97" t="s">
        <v>6</v>
      </c>
      <c r="R631" s="97" t="s">
        <v>70</v>
      </c>
      <c r="S631" s="98"/>
      <c r="T631" s="97" t="s">
        <v>69</v>
      </c>
      <c r="U631" s="97" t="s">
        <v>71</v>
      </c>
      <c r="V631" s="97" t="s">
        <v>29</v>
      </c>
      <c r="W631" s="97" t="s">
        <v>28</v>
      </c>
      <c r="X631" s="97" t="s">
        <v>30</v>
      </c>
      <c r="Y631" s="97" t="s">
        <v>75</v>
      </c>
      <c r="Z631" s="99"/>
      <c r="AA631" s="59"/>
    </row>
    <row r="632" spans="1:27" s="55" customFormat="1" ht="21" customHeight="1" x14ac:dyDescent="0.25">
      <c r="A632" s="56"/>
      <c r="B632" s="57"/>
      <c r="C632" s="57"/>
      <c r="D632" s="62"/>
      <c r="E632" s="62"/>
      <c r="F632" s="62"/>
      <c r="G632" s="62"/>
      <c r="H632" s="62"/>
      <c r="I632" s="57"/>
      <c r="J632" s="63" t="s">
        <v>1</v>
      </c>
      <c r="K632" s="64">
        <f>18500+1500</f>
        <v>20000</v>
      </c>
      <c r="L632" s="65"/>
      <c r="M632" s="57"/>
      <c r="N632" s="100"/>
      <c r="O632" s="101" t="s">
        <v>61</v>
      </c>
      <c r="P632" s="101">
        <v>31</v>
      </c>
      <c r="Q632" s="101">
        <v>0</v>
      </c>
      <c r="R632" s="101">
        <v>15</v>
      </c>
      <c r="S632" s="102"/>
      <c r="T632" s="101" t="s">
        <v>61</v>
      </c>
      <c r="U632" s="103">
        <v>40000</v>
      </c>
      <c r="V632" s="103"/>
      <c r="W632" s="103">
        <f>V632+U632</f>
        <v>40000</v>
      </c>
      <c r="X632" s="103"/>
      <c r="Y632" s="103">
        <f>W632-X632</f>
        <v>40000</v>
      </c>
      <c r="Z632" s="99"/>
      <c r="AA632" s="57"/>
    </row>
    <row r="633" spans="1:27" s="55" customFormat="1" ht="21" customHeight="1" x14ac:dyDescent="0.25">
      <c r="A633" s="56"/>
      <c r="B633" s="57" t="s">
        <v>0</v>
      </c>
      <c r="C633" s="67" t="s">
        <v>98</v>
      </c>
      <c r="D633" s="57"/>
      <c r="E633" s="57"/>
      <c r="F633" s="57"/>
      <c r="G633" s="57"/>
      <c r="H633" s="68"/>
      <c r="I633" s="62"/>
      <c r="J633" s="57"/>
      <c r="K633" s="57"/>
      <c r="L633" s="69"/>
      <c r="M633" s="54"/>
      <c r="N633" s="104"/>
      <c r="O633" s="101" t="s">
        <v>87</v>
      </c>
      <c r="P633" s="101">
        <v>26</v>
      </c>
      <c r="Q633" s="101">
        <v>2</v>
      </c>
      <c r="R633" s="101">
        <f>R632-Q633</f>
        <v>13</v>
      </c>
      <c r="S633" s="105"/>
      <c r="T633" s="101" t="s">
        <v>87</v>
      </c>
      <c r="U633" s="177">
        <f>Y632</f>
        <v>40000</v>
      </c>
      <c r="V633" s="103"/>
      <c r="W633" s="177">
        <f>IF(U633="","",U633+V633)</f>
        <v>40000</v>
      </c>
      <c r="X633" s="103"/>
      <c r="Y633" s="177">
        <f>IF(W633="","",W633-X633)</f>
        <v>40000</v>
      </c>
      <c r="Z633" s="106"/>
      <c r="AA633" s="54"/>
    </row>
    <row r="634" spans="1:27" s="55" customFormat="1" ht="21" customHeight="1" x14ac:dyDescent="0.25">
      <c r="A634" s="56"/>
      <c r="B634" s="71" t="s">
        <v>57</v>
      </c>
      <c r="C634" s="72"/>
      <c r="D634" s="57"/>
      <c r="E634" s="57"/>
      <c r="F634" s="290" t="s">
        <v>59</v>
      </c>
      <c r="G634" s="290"/>
      <c r="H634" s="57"/>
      <c r="I634" s="290" t="s">
        <v>60</v>
      </c>
      <c r="J634" s="290"/>
      <c r="K634" s="290"/>
      <c r="L634" s="73"/>
      <c r="M634" s="57"/>
      <c r="N634" s="100"/>
      <c r="O634" s="101" t="s">
        <v>62</v>
      </c>
      <c r="P634" s="101">
        <v>31</v>
      </c>
      <c r="Q634" s="101">
        <v>0</v>
      </c>
      <c r="R634" s="101">
        <f t="shared" ref="R634:R643" si="112">IF(Q634="","",R633-Q634)</f>
        <v>13</v>
      </c>
      <c r="S634" s="105"/>
      <c r="T634" s="101" t="s">
        <v>62</v>
      </c>
      <c r="U634" s="177">
        <f>Y633</f>
        <v>40000</v>
      </c>
      <c r="V634" s="103"/>
      <c r="W634" s="177">
        <f t="shared" ref="W634:W643" si="113">IF(U634="","",U634+V634)</f>
        <v>40000</v>
      </c>
      <c r="X634" s="103"/>
      <c r="Y634" s="177">
        <f t="shared" ref="Y634:Y643" si="114">IF(W634="","",W634-X634)</f>
        <v>40000</v>
      </c>
      <c r="Z634" s="106"/>
      <c r="AA634" s="57"/>
    </row>
    <row r="635" spans="1:27" s="55" customFormat="1" ht="21" customHeight="1" x14ac:dyDescent="0.25">
      <c r="A635" s="56"/>
      <c r="B635" s="57"/>
      <c r="C635" s="57"/>
      <c r="D635" s="57"/>
      <c r="E635" s="57"/>
      <c r="F635" s="57"/>
      <c r="G635" s="57"/>
      <c r="H635" s="74"/>
      <c r="L635" s="61"/>
      <c r="M635" s="57"/>
      <c r="N635" s="100"/>
      <c r="O635" s="101" t="s">
        <v>63</v>
      </c>
      <c r="P635" s="101">
        <v>30</v>
      </c>
      <c r="Q635" s="101">
        <v>0</v>
      </c>
      <c r="R635" s="101">
        <f t="shared" si="112"/>
        <v>13</v>
      </c>
      <c r="S635" s="105"/>
      <c r="T635" s="101" t="s">
        <v>63</v>
      </c>
      <c r="U635" s="177">
        <f>Y634</f>
        <v>40000</v>
      </c>
      <c r="V635" s="103">
        <f>2000+2000</f>
        <v>4000</v>
      </c>
      <c r="W635" s="177">
        <f t="shared" si="113"/>
        <v>44000</v>
      </c>
      <c r="X635" s="103">
        <v>4000</v>
      </c>
      <c r="Y635" s="177">
        <f t="shared" si="114"/>
        <v>40000</v>
      </c>
      <c r="Z635" s="106"/>
      <c r="AA635" s="57"/>
    </row>
    <row r="636" spans="1:27" s="55" customFormat="1" ht="21" customHeight="1" x14ac:dyDescent="0.25">
      <c r="A636" s="56"/>
      <c r="B636" s="291" t="s">
        <v>58</v>
      </c>
      <c r="C636" s="292"/>
      <c r="D636" s="57"/>
      <c r="E636" s="57"/>
      <c r="F636" s="75" t="s">
        <v>80</v>
      </c>
      <c r="G636" s="196">
        <f>IF($J$1="January",U632,IF($J$1="February",U633,IF($J$1="March",U634,IF($J$1="April",U635,IF($J$1="May",U636,IF($J$1="June",U637,IF($J$1="July",U638,IF($J$1="August",U639,IF($J$1="August",U639,IF($J$1="September",U640,IF($J$1="October",U641,IF($J$1="November",U642,IF($J$1="December",U643)))))))))))))</f>
        <v>40000</v>
      </c>
      <c r="H636" s="74"/>
      <c r="I636" s="76">
        <f>IF(C640&gt;0,$K$2,C638)</f>
        <v>30</v>
      </c>
      <c r="J636" s="77" t="s">
        <v>77</v>
      </c>
      <c r="K636" s="78">
        <f>K632/$K$2*I636</f>
        <v>20000</v>
      </c>
      <c r="L636" s="79"/>
      <c r="M636" s="57"/>
      <c r="N636" s="100"/>
      <c r="O636" s="101" t="s">
        <v>64</v>
      </c>
      <c r="P636" s="101">
        <v>26</v>
      </c>
      <c r="Q636" s="101">
        <v>5</v>
      </c>
      <c r="R636" s="101">
        <f t="shared" si="112"/>
        <v>8</v>
      </c>
      <c r="S636" s="105"/>
      <c r="T636" s="101" t="s">
        <v>64</v>
      </c>
      <c r="U636" s="177">
        <f>Y635</f>
        <v>40000</v>
      </c>
      <c r="V636" s="103"/>
      <c r="W636" s="177">
        <f t="shared" si="113"/>
        <v>40000</v>
      </c>
      <c r="X636" s="103"/>
      <c r="Y636" s="177">
        <f t="shared" si="114"/>
        <v>40000</v>
      </c>
      <c r="Z636" s="106"/>
      <c r="AA636" s="57"/>
    </row>
    <row r="637" spans="1:27" s="55" customFormat="1" ht="21" customHeight="1" x14ac:dyDescent="0.25">
      <c r="A637" s="56"/>
      <c r="B637" s="66"/>
      <c r="C637" s="66"/>
      <c r="D637" s="57"/>
      <c r="E637" s="57"/>
      <c r="F637" s="75" t="s">
        <v>29</v>
      </c>
      <c r="G637" s="196">
        <f>IF($J$1="January",V632,IF($J$1="February",V633,IF($J$1="March",V634,IF($J$1="April",V635,IF($J$1="May",V636,IF($J$1="June",V637,IF($J$1="July",V638,IF($J$1="August",V639,IF($J$1="August",V639,IF($J$1="September",V640,IF($J$1="October",V641,IF($J$1="November",V642,IF($J$1="December",V643)))))))))))))</f>
        <v>0</v>
      </c>
      <c r="H637" s="74"/>
      <c r="I637" s="120">
        <v>4</v>
      </c>
      <c r="J637" s="77" t="s">
        <v>78</v>
      </c>
      <c r="K637" s="80">
        <f>K632/$K$2/8*I637</f>
        <v>333.33333333333331</v>
      </c>
      <c r="L637" s="81"/>
      <c r="M637" s="57"/>
      <c r="N637" s="100"/>
      <c r="O637" s="101" t="s">
        <v>65</v>
      </c>
      <c r="P637" s="101">
        <v>30</v>
      </c>
      <c r="Q637" s="101">
        <v>0</v>
      </c>
      <c r="R637" s="101">
        <f t="shared" si="112"/>
        <v>8</v>
      </c>
      <c r="S637" s="105"/>
      <c r="T637" s="101" t="s">
        <v>65</v>
      </c>
      <c r="U637" s="177">
        <f>Y636</f>
        <v>40000</v>
      </c>
      <c r="V637" s="103"/>
      <c r="W637" s="177">
        <f t="shared" si="113"/>
        <v>40000</v>
      </c>
      <c r="X637" s="103">
        <v>2000</v>
      </c>
      <c r="Y637" s="177">
        <f t="shared" si="114"/>
        <v>38000</v>
      </c>
      <c r="Z637" s="106"/>
      <c r="AA637" s="57"/>
    </row>
    <row r="638" spans="1:27" s="55" customFormat="1" ht="21" customHeight="1" x14ac:dyDescent="0.25">
      <c r="A638" s="56"/>
      <c r="B638" s="75" t="s">
        <v>7</v>
      </c>
      <c r="C638" s="66">
        <f>IF($J$1="January",P632,IF($J$1="February",P633,IF($J$1="March",P634,IF($J$1="April",P635,IF($J$1="May",P636,IF($J$1="June",P637,IF($J$1="July",P638,IF($J$1="August",P639,IF($J$1="August",P639,IF($J$1="September",P640,IF($J$1="October",P641,IF($J$1="November",P642,IF($J$1="December",P643)))))))))))))</f>
        <v>30</v>
      </c>
      <c r="D638" s="57"/>
      <c r="E638" s="57"/>
      <c r="F638" s="75" t="s">
        <v>81</v>
      </c>
      <c r="G638" s="196">
        <f>IF($J$1="January",W632,IF($J$1="February",W633,IF($J$1="March",W634,IF($J$1="April",W635,IF($J$1="May",W636,IF($J$1="June",W637,IF($J$1="July",W638,IF($J$1="August",W639,IF($J$1="August",W639,IF($J$1="September",W640,IF($J$1="October",W641,IF($J$1="November",W642,IF($J$1="December",W643)))))))))))))</f>
        <v>40000</v>
      </c>
      <c r="H638" s="74"/>
      <c r="I638" s="293" t="s">
        <v>85</v>
      </c>
      <c r="J638" s="294"/>
      <c r="K638" s="80">
        <f>K636+K637</f>
        <v>20333.333333333332</v>
      </c>
      <c r="L638" s="81"/>
      <c r="M638" s="57"/>
      <c r="N638" s="100"/>
      <c r="O638" s="101" t="s">
        <v>66</v>
      </c>
      <c r="P638" s="101"/>
      <c r="Q638" s="101"/>
      <c r="R638" s="101" t="str">
        <f t="shared" si="112"/>
        <v/>
      </c>
      <c r="S638" s="105"/>
      <c r="T638" s="101" t="s">
        <v>66</v>
      </c>
      <c r="U638" s="177"/>
      <c r="V638" s="103"/>
      <c r="W638" s="177" t="str">
        <f t="shared" si="113"/>
        <v/>
      </c>
      <c r="X638" s="103"/>
      <c r="Y638" s="177" t="str">
        <f t="shared" si="114"/>
        <v/>
      </c>
      <c r="Z638" s="106"/>
      <c r="AA638" s="57"/>
    </row>
    <row r="639" spans="1:27" s="55" customFormat="1" ht="21" customHeight="1" x14ac:dyDescent="0.25">
      <c r="A639" s="56"/>
      <c r="B639" s="75" t="s">
        <v>6</v>
      </c>
      <c r="C639" s="66">
        <f>IF($J$1="January",Q632,IF($J$1="February",Q633,IF($J$1="March",Q634,IF($J$1="April",Q635,IF($J$1="May",Q636,IF($J$1="June",Q637,IF($J$1="July",Q638,IF($J$1="August",Q639,IF($J$1="August",Q639,IF($J$1="September",Q640,IF($J$1="October",Q641,IF($J$1="November",Q642,IF($J$1="December",Q643)))))))))))))</f>
        <v>0</v>
      </c>
      <c r="D639" s="57"/>
      <c r="E639" s="57"/>
      <c r="F639" s="75" t="s">
        <v>30</v>
      </c>
      <c r="G639" s="196">
        <f>IF($J$1="January",X632,IF($J$1="February",X633,IF($J$1="March",X634,IF($J$1="April",X635,IF($J$1="May",X636,IF($J$1="June",X637,IF($J$1="July",X638,IF($J$1="August",X639,IF($J$1="August",X639,IF($J$1="September",X640,IF($J$1="October",X641,IF($J$1="November",X642,IF($J$1="December",X643)))))))))))))</f>
        <v>2000</v>
      </c>
      <c r="H639" s="74"/>
      <c r="I639" s="293" t="s">
        <v>86</v>
      </c>
      <c r="J639" s="294"/>
      <c r="K639" s="70">
        <f>G639</f>
        <v>2000</v>
      </c>
      <c r="L639" s="82"/>
      <c r="M639" s="57"/>
      <c r="N639" s="100"/>
      <c r="O639" s="101" t="s">
        <v>67</v>
      </c>
      <c r="P639" s="101"/>
      <c r="Q639" s="101"/>
      <c r="R639" s="101" t="str">
        <f t="shared" si="112"/>
        <v/>
      </c>
      <c r="S639" s="105"/>
      <c r="T639" s="101" t="s">
        <v>67</v>
      </c>
      <c r="U639" s="177"/>
      <c r="V639" s="103"/>
      <c r="W639" s="177" t="str">
        <f t="shared" si="113"/>
        <v/>
      </c>
      <c r="X639" s="103"/>
      <c r="Y639" s="177" t="str">
        <f t="shared" si="114"/>
        <v/>
      </c>
      <c r="Z639" s="106"/>
      <c r="AA639" s="57"/>
    </row>
    <row r="640" spans="1:27" s="55" customFormat="1" ht="21" customHeight="1" x14ac:dyDescent="0.25">
      <c r="A640" s="56"/>
      <c r="B640" s="83" t="s">
        <v>84</v>
      </c>
      <c r="C640" s="66">
        <f>IF($J$1="January",R632,IF($J$1="February",R633,IF($J$1="March",R634,IF($J$1="April",R635,IF($J$1="May",R636,IF($J$1="June",R637,IF($J$1="July",R638,IF($J$1="August",R639,IF($J$1="August",R639,IF($J$1="September",R640,IF($J$1="October",R641,IF($J$1="November",R642,IF($J$1="December",R643)))))))))))))</f>
        <v>8</v>
      </c>
      <c r="D640" s="57"/>
      <c r="E640" s="57"/>
      <c r="F640" s="75" t="s">
        <v>83</v>
      </c>
      <c r="G640" s="196">
        <f>IF($J$1="January",Y632,IF($J$1="February",Y633,IF($J$1="March",Y634,IF($J$1="April",Y635,IF($J$1="May",Y636,IF($J$1="June",Y637,IF($J$1="July",Y638,IF($J$1="August",Y639,IF($J$1="August",Y639,IF($J$1="September",Y640,IF($J$1="October",Y641,IF($J$1="November",Y642,IF($J$1="December",Y643)))))))))))))</f>
        <v>38000</v>
      </c>
      <c r="H640" s="57"/>
      <c r="I640" s="295" t="s">
        <v>79</v>
      </c>
      <c r="J640" s="296"/>
      <c r="K640" s="84">
        <f>K638-K639</f>
        <v>18333.333333333332</v>
      </c>
      <c r="L640" s="85"/>
      <c r="M640" s="57"/>
      <c r="N640" s="100"/>
      <c r="O640" s="101" t="s">
        <v>72</v>
      </c>
      <c r="P640" s="101"/>
      <c r="Q640" s="101"/>
      <c r="R640" s="101" t="str">
        <f t="shared" si="112"/>
        <v/>
      </c>
      <c r="S640" s="105"/>
      <c r="T640" s="101" t="s">
        <v>72</v>
      </c>
      <c r="U640" s="177"/>
      <c r="V640" s="103"/>
      <c r="W640" s="177" t="str">
        <f t="shared" si="113"/>
        <v/>
      </c>
      <c r="X640" s="103"/>
      <c r="Y640" s="177" t="str">
        <f t="shared" si="114"/>
        <v/>
      </c>
      <c r="Z640" s="106"/>
      <c r="AA640" s="57"/>
    </row>
    <row r="641" spans="1:27" s="55" customFormat="1" ht="21" customHeight="1" x14ac:dyDescent="0.25">
      <c r="A641" s="56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73"/>
      <c r="M641" s="57"/>
      <c r="N641" s="100"/>
      <c r="O641" s="101" t="s">
        <v>68</v>
      </c>
      <c r="P641" s="101"/>
      <c r="Q641" s="101"/>
      <c r="R641" s="101" t="str">
        <f t="shared" si="112"/>
        <v/>
      </c>
      <c r="S641" s="105"/>
      <c r="T641" s="101" t="s">
        <v>68</v>
      </c>
      <c r="U641" s="177"/>
      <c r="V641" s="103"/>
      <c r="W641" s="177" t="str">
        <f t="shared" si="113"/>
        <v/>
      </c>
      <c r="X641" s="103"/>
      <c r="Y641" s="177" t="str">
        <f t="shared" si="114"/>
        <v/>
      </c>
      <c r="Z641" s="106"/>
      <c r="AA641" s="57"/>
    </row>
    <row r="642" spans="1:27" s="55" customFormat="1" ht="21" customHeight="1" x14ac:dyDescent="0.25">
      <c r="A642" s="56"/>
      <c r="B642" s="284" t="s">
        <v>116</v>
      </c>
      <c r="C642" s="284"/>
      <c r="D642" s="284"/>
      <c r="E642" s="284"/>
      <c r="F642" s="284"/>
      <c r="G642" s="284"/>
      <c r="H642" s="284"/>
      <c r="I642" s="284"/>
      <c r="J642" s="284"/>
      <c r="K642" s="284"/>
      <c r="L642" s="73"/>
      <c r="M642" s="57"/>
      <c r="N642" s="100"/>
      <c r="O642" s="101" t="s">
        <v>73</v>
      </c>
      <c r="P642" s="101"/>
      <c r="Q642" s="101"/>
      <c r="R642" s="101">
        <v>0</v>
      </c>
      <c r="S642" s="105"/>
      <c r="T642" s="101" t="s">
        <v>73</v>
      </c>
      <c r="U642" s="177"/>
      <c r="V642" s="103"/>
      <c r="W642" s="177" t="str">
        <f t="shared" si="113"/>
        <v/>
      </c>
      <c r="X642" s="103"/>
      <c r="Y642" s="177" t="str">
        <f t="shared" si="114"/>
        <v/>
      </c>
      <c r="Z642" s="106"/>
      <c r="AA642" s="57"/>
    </row>
    <row r="643" spans="1:27" s="55" customFormat="1" ht="21" customHeight="1" x14ac:dyDescent="0.25">
      <c r="A643" s="56"/>
      <c r="B643" s="284"/>
      <c r="C643" s="284"/>
      <c r="D643" s="284"/>
      <c r="E643" s="284"/>
      <c r="F643" s="284"/>
      <c r="G643" s="284"/>
      <c r="H643" s="284"/>
      <c r="I643" s="284"/>
      <c r="J643" s="284"/>
      <c r="K643" s="284"/>
      <c r="L643" s="73"/>
      <c r="M643" s="57"/>
      <c r="N643" s="100"/>
      <c r="O643" s="101" t="s">
        <v>74</v>
      </c>
      <c r="P643" s="101"/>
      <c r="Q643" s="101"/>
      <c r="R643" s="101" t="str">
        <f t="shared" si="112"/>
        <v/>
      </c>
      <c r="S643" s="105"/>
      <c r="T643" s="101" t="s">
        <v>74</v>
      </c>
      <c r="U643" s="177"/>
      <c r="V643" s="103"/>
      <c r="W643" s="177" t="str">
        <f t="shared" si="113"/>
        <v/>
      </c>
      <c r="X643" s="103"/>
      <c r="Y643" s="177" t="str">
        <f t="shared" si="114"/>
        <v/>
      </c>
      <c r="Z643" s="106"/>
      <c r="AA643" s="57"/>
    </row>
    <row r="644" spans="1:27" s="55" customFormat="1" ht="21" customHeight="1" thickBot="1" x14ac:dyDescent="0.3">
      <c r="A644" s="86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8"/>
      <c r="N644" s="107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9"/>
    </row>
    <row r="645" spans="1:27" s="57" customFormat="1" ht="21" customHeight="1" thickBot="1" x14ac:dyDescent="0.3"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  <c r="Z645" s="105"/>
    </row>
    <row r="646" spans="1:27" s="55" customFormat="1" ht="21" customHeight="1" x14ac:dyDescent="0.25">
      <c r="A646" s="297" t="s">
        <v>56</v>
      </c>
      <c r="B646" s="298"/>
      <c r="C646" s="298"/>
      <c r="D646" s="298"/>
      <c r="E646" s="298"/>
      <c r="F646" s="298"/>
      <c r="G646" s="298"/>
      <c r="H646" s="298"/>
      <c r="I646" s="298"/>
      <c r="J646" s="298"/>
      <c r="K646" s="298"/>
      <c r="L646" s="299"/>
      <c r="M646" s="54"/>
      <c r="N646" s="93"/>
      <c r="O646" s="285" t="s">
        <v>58</v>
      </c>
      <c r="P646" s="286"/>
      <c r="Q646" s="286"/>
      <c r="R646" s="287"/>
      <c r="S646" s="94"/>
      <c r="T646" s="285" t="s">
        <v>59</v>
      </c>
      <c r="U646" s="286"/>
      <c r="V646" s="286"/>
      <c r="W646" s="286"/>
      <c r="X646" s="286"/>
      <c r="Y646" s="287"/>
      <c r="Z646" s="95"/>
      <c r="AA646" s="54"/>
    </row>
    <row r="647" spans="1:27" s="55" customFormat="1" ht="21" customHeight="1" x14ac:dyDescent="0.25">
      <c r="A647" s="56"/>
      <c r="B647" s="57"/>
      <c r="C647" s="288" t="s">
        <v>114</v>
      </c>
      <c r="D647" s="288"/>
      <c r="E647" s="288"/>
      <c r="F647" s="288"/>
      <c r="G647" s="58" t="str">
        <f>$J$1</f>
        <v>June</v>
      </c>
      <c r="H647" s="289">
        <f>$K$1</f>
        <v>2019</v>
      </c>
      <c r="I647" s="289"/>
      <c r="J647" s="57"/>
      <c r="K647" s="59"/>
      <c r="L647" s="60"/>
      <c r="M647" s="59"/>
      <c r="N647" s="96"/>
      <c r="O647" s="97" t="s">
        <v>69</v>
      </c>
      <c r="P647" s="97" t="s">
        <v>7</v>
      </c>
      <c r="Q647" s="97" t="s">
        <v>6</v>
      </c>
      <c r="R647" s="97" t="s">
        <v>70</v>
      </c>
      <c r="S647" s="98"/>
      <c r="T647" s="97" t="s">
        <v>69</v>
      </c>
      <c r="U647" s="97" t="s">
        <v>71</v>
      </c>
      <c r="V647" s="97" t="s">
        <v>29</v>
      </c>
      <c r="W647" s="97" t="s">
        <v>28</v>
      </c>
      <c r="X647" s="97" t="s">
        <v>30</v>
      </c>
      <c r="Y647" s="97" t="s">
        <v>75</v>
      </c>
      <c r="Z647" s="99"/>
      <c r="AA647" s="59"/>
    </row>
    <row r="648" spans="1:27" s="55" customFormat="1" ht="21" customHeight="1" x14ac:dyDescent="0.25">
      <c r="A648" s="56"/>
      <c r="B648" s="57"/>
      <c r="C648" s="57"/>
      <c r="D648" s="62"/>
      <c r="E648" s="62"/>
      <c r="F648" s="62"/>
      <c r="G648" s="62"/>
      <c r="H648" s="62"/>
      <c r="I648" s="57"/>
      <c r="J648" s="63" t="s">
        <v>1</v>
      </c>
      <c r="K648" s="64">
        <v>800</v>
      </c>
      <c r="L648" s="65"/>
      <c r="M648" s="57"/>
      <c r="N648" s="100"/>
      <c r="O648" s="101" t="s">
        <v>61</v>
      </c>
      <c r="P648" s="101"/>
      <c r="Q648" s="101"/>
      <c r="R648" s="101">
        <v>0</v>
      </c>
      <c r="S648" s="102"/>
      <c r="T648" s="101" t="s">
        <v>61</v>
      </c>
      <c r="U648" s="103"/>
      <c r="V648" s="103"/>
      <c r="W648" s="103">
        <f>V648+U648</f>
        <v>0</v>
      </c>
      <c r="X648" s="103"/>
      <c r="Y648" s="103">
        <f>W648-X648</f>
        <v>0</v>
      </c>
      <c r="Z648" s="99"/>
      <c r="AA648" s="57"/>
    </row>
    <row r="649" spans="1:27" s="55" customFormat="1" ht="21" customHeight="1" x14ac:dyDescent="0.25">
      <c r="A649" s="56"/>
      <c r="B649" s="57" t="s">
        <v>0</v>
      </c>
      <c r="C649" s="67" t="s">
        <v>177</v>
      </c>
      <c r="D649" s="57"/>
      <c r="E649" s="57"/>
      <c r="F649" s="57"/>
      <c r="G649" s="57"/>
      <c r="H649" s="68"/>
      <c r="I649" s="62"/>
      <c r="J649" s="57"/>
      <c r="K649" s="57"/>
      <c r="L649" s="69"/>
      <c r="M649" s="54"/>
      <c r="N649" s="104"/>
      <c r="O649" s="101" t="s">
        <v>87</v>
      </c>
      <c r="P649" s="101">
        <v>5</v>
      </c>
      <c r="Q649" s="101"/>
      <c r="R649" s="101">
        <v>0</v>
      </c>
      <c r="S649" s="105"/>
      <c r="T649" s="101" t="s">
        <v>87</v>
      </c>
      <c r="U649" s="177">
        <f>Y648</f>
        <v>0</v>
      </c>
      <c r="V649" s="103"/>
      <c r="W649" s="177">
        <f>IF(U649="","",U649+V649)</f>
        <v>0</v>
      </c>
      <c r="X649" s="103"/>
      <c r="Y649" s="177">
        <f>IF(W649="","",W649-X649)</f>
        <v>0</v>
      </c>
      <c r="Z649" s="106"/>
      <c r="AA649" s="54"/>
    </row>
    <row r="650" spans="1:27" s="55" customFormat="1" ht="21" customHeight="1" x14ac:dyDescent="0.25">
      <c r="A650" s="56"/>
      <c r="B650" s="71" t="s">
        <v>57</v>
      </c>
      <c r="C650" s="72"/>
      <c r="D650" s="57"/>
      <c r="E650" s="57"/>
      <c r="F650" s="290" t="s">
        <v>59</v>
      </c>
      <c r="G650" s="290"/>
      <c r="H650" s="57"/>
      <c r="I650" s="290" t="s">
        <v>60</v>
      </c>
      <c r="J650" s="290"/>
      <c r="K650" s="290"/>
      <c r="L650" s="73"/>
      <c r="M650" s="57"/>
      <c r="N650" s="100"/>
      <c r="O650" s="101" t="s">
        <v>62</v>
      </c>
      <c r="P650" s="101"/>
      <c r="Q650" s="101"/>
      <c r="R650" s="101">
        <v>0</v>
      </c>
      <c r="S650" s="105"/>
      <c r="T650" s="101" t="s">
        <v>62</v>
      </c>
      <c r="U650" s="177">
        <f>IF($J$1="April",Y649,Y649)</f>
        <v>0</v>
      </c>
      <c r="V650" s="103"/>
      <c r="W650" s="177">
        <f t="shared" ref="W650:W659" si="115">IF(U650="","",U650+V650)</f>
        <v>0</v>
      </c>
      <c r="X650" s="103"/>
      <c r="Y650" s="177">
        <f t="shared" ref="Y650:Y659" si="116">IF(W650="","",W650-X650)</f>
        <v>0</v>
      </c>
      <c r="Z650" s="106"/>
      <c r="AA650" s="57"/>
    </row>
    <row r="651" spans="1:27" s="55" customFormat="1" ht="21" customHeight="1" x14ac:dyDescent="0.25">
      <c r="A651" s="56"/>
      <c r="B651" s="57"/>
      <c r="C651" s="57"/>
      <c r="D651" s="57"/>
      <c r="E651" s="57"/>
      <c r="F651" s="57"/>
      <c r="G651" s="57"/>
      <c r="H651" s="74"/>
      <c r="L651" s="61"/>
      <c r="M651" s="57"/>
      <c r="N651" s="100"/>
      <c r="O651" s="101" t="s">
        <v>63</v>
      </c>
      <c r="P651" s="101">
        <v>29</v>
      </c>
      <c r="Q651" s="101">
        <v>0</v>
      </c>
      <c r="R651" s="101">
        <v>0</v>
      </c>
      <c r="S651" s="105"/>
      <c r="T651" s="101" t="s">
        <v>63</v>
      </c>
      <c r="U651" s="177">
        <f>IF($J$1="April",Y650,Y650)</f>
        <v>0</v>
      </c>
      <c r="V651" s="103"/>
      <c r="W651" s="177">
        <f t="shared" si="115"/>
        <v>0</v>
      </c>
      <c r="X651" s="103"/>
      <c r="Y651" s="177">
        <f t="shared" si="116"/>
        <v>0</v>
      </c>
      <c r="Z651" s="106"/>
      <c r="AA651" s="57"/>
    </row>
    <row r="652" spans="1:27" s="55" customFormat="1" ht="21" customHeight="1" x14ac:dyDescent="0.25">
      <c r="A652" s="56"/>
      <c r="B652" s="291" t="s">
        <v>58</v>
      </c>
      <c r="C652" s="292"/>
      <c r="D652" s="57"/>
      <c r="E652" s="57"/>
      <c r="F652" s="75" t="s">
        <v>80</v>
      </c>
      <c r="G652" s="70">
        <f>IF($J$1="January",U648,IF($J$1="February",U649,IF($J$1="March",U650,IF($J$1="April",U651,IF($J$1="May",U652,IF($J$1="June",U653,IF($J$1="July",U654,IF($J$1="August",U655,IF($J$1="August",U655,IF($J$1="September",U656,IF($J$1="October",U657,IF($J$1="November",U658,IF($J$1="December",U659)))))))))))))</f>
        <v>0</v>
      </c>
      <c r="H652" s="74"/>
      <c r="I652" s="76">
        <v>22</v>
      </c>
      <c r="J652" s="77" t="s">
        <v>77</v>
      </c>
      <c r="K652" s="78">
        <f>K648*I652</f>
        <v>17600</v>
      </c>
      <c r="L652" s="79"/>
      <c r="M652" s="57"/>
      <c r="N652" s="100"/>
      <c r="O652" s="101" t="s">
        <v>64</v>
      </c>
      <c r="P652" s="101">
        <v>29</v>
      </c>
      <c r="Q652" s="101">
        <v>0</v>
      </c>
      <c r="R652" s="101">
        <f t="shared" ref="R652:R659" si="117">IF(Q652="","",R651-Q652)</f>
        <v>0</v>
      </c>
      <c r="S652" s="105"/>
      <c r="T652" s="101" t="s">
        <v>64</v>
      </c>
      <c r="U652" s="177">
        <f>IF($J$1="May",Y651,Y651)</f>
        <v>0</v>
      </c>
      <c r="V652" s="103"/>
      <c r="W652" s="177">
        <f t="shared" si="115"/>
        <v>0</v>
      </c>
      <c r="X652" s="103"/>
      <c r="Y652" s="177">
        <f t="shared" si="116"/>
        <v>0</v>
      </c>
      <c r="Z652" s="106"/>
      <c r="AA652" s="57"/>
    </row>
    <row r="653" spans="1:27" s="55" customFormat="1" ht="21" customHeight="1" x14ac:dyDescent="0.25">
      <c r="A653" s="56"/>
      <c r="B653" s="66"/>
      <c r="C653" s="66"/>
      <c r="D653" s="57"/>
      <c r="E653" s="57"/>
      <c r="F653" s="75" t="s">
        <v>29</v>
      </c>
      <c r="G653" s="70">
        <f>IF($J$1="January",V648,IF($J$1="February",V649,IF($J$1="March",V650,IF($J$1="April",V651,IF($J$1="May",V652,IF($J$1="June",V653,IF($J$1="July",V654,IF($J$1="August",V655,IF($J$1="August",V655,IF($J$1="September",V656,IF($J$1="October",V657,IF($J$1="November",V658,IF($J$1="December",V659)))))))))))))</f>
        <v>0</v>
      </c>
      <c r="H653" s="74"/>
      <c r="I653" s="120"/>
      <c r="J653" s="77" t="s">
        <v>78</v>
      </c>
      <c r="K653" s="80">
        <f>K648/8*I653</f>
        <v>0</v>
      </c>
      <c r="L653" s="81"/>
      <c r="M653" s="57"/>
      <c r="N653" s="100"/>
      <c r="O653" s="101" t="s">
        <v>65</v>
      </c>
      <c r="P653" s="101"/>
      <c r="Q653" s="101"/>
      <c r="R653" s="101">
        <v>0</v>
      </c>
      <c r="S653" s="105"/>
      <c r="T653" s="101" t="s">
        <v>65</v>
      </c>
      <c r="U653" s="177">
        <f>IF($J$1="May",Y652,Y652)</f>
        <v>0</v>
      </c>
      <c r="V653" s="103"/>
      <c r="W653" s="177">
        <f t="shared" si="115"/>
        <v>0</v>
      </c>
      <c r="X653" s="103"/>
      <c r="Y653" s="177">
        <f t="shared" si="116"/>
        <v>0</v>
      </c>
      <c r="Z653" s="106"/>
      <c r="AA653" s="57"/>
    </row>
    <row r="654" spans="1:27" s="55" customFormat="1" ht="21" customHeight="1" x14ac:dyDescent="0.25">
      <c r="A654" s="56"/>
      <c r="B654" s="75" t="s">
        <v>7</v>
      </c>
      <c r="C654" s="66">
        <f>IF($J$1="January",P648,IF($J$1="February",P649,IF($J$1="March",P650,IF($J$1="April",P651,IF($J$1="May",P652,IF($J$1="June",P653,IF($J$1="July",P654,IF($J$1="August",P655,IF($J$1="August",P655,IF($J$1="September",P656,IF($J$1="October",P657,IF($J$1="November",P658,IF($J$1="December",P659)))))))))))))</f>
        <v>0</v>
      </c>
      <c r="D654" s="57"/>
      <c r="E654" s="57"/>
      <c r="F654" s="75" t="s">
        <v>81</v>
      </c>
      <c r="G654" s="70">
        <f>IF($J$1="January",W648,IF($J$1="February",W649,IF($J$1="March",W650,IF($J$1="April",W651,IF($J$1="May",W652,IF($J$1="June",W653,IF($J$1="July",W654,IF($J$1="August",W655,IF($J$1="August",W655,IF($J$1="September",W656,IF($J$1="October",W657,IF($J$1="November",W658,IF($J$1="December",W659)))))))))))))</f>
        <v>0</v>
      </c>
      <c r="H654" s="74"/>
      <c r="I654" s="293" t="s">
        <v>85</v>
      </c>
      <c r="J654" s="294"/>
      <c r="K654" s="80">
        <f>K652+K653</f>
        <v>17600</v>
      </c>
      <c r="L654" s="81"/>
      <c r="M654" s="57"/>
      <c r="N654" s="100"/>
      <c r="O654" s="101" t="s">
        <v>66</v>
      </c>
      <c r="P654" s="101"/>
      <c r="Q654" s="101"/>
      <c r="R654" s="101" t="str">
        <f t="shared" si="117"/>
        <v/>
      </c>
      <c r="S654" s="105"/>
      <c r="T654" s="101" t="s">
        <v>66</v>
      </c>
      <c r="U654" s="177">
        <f>IF($J$1="May",Y653,Y653)</f>
        <v>0</v>
      </c>
      <c r="V654" s="103"/>
      <c r="W654" s="177">
        <f t="shared" si="115"/>
        <v>0</v>
      </c>
      <c r="X654" s="103"/>
      <c r="Y654" s="177">
        <f t="shared" si="116"/>
        <v>0</v>
      </c>
      <c r="Z654" s="106"/>
      <c r="AA654" s="57"/>
    </row>
    <row r="655" spans="1:27" s="55" customFormat="1" ht="21" customHeight="1" x14ac:dyDescent="0.25">
      <c r="A655" s="56"/>
      <c r="B655" s="75" t="s">
        <v>6</v>
      </c>
      <c r="C655" s="66">
        <f>IF($J$1="January",Q648,IF($J$1="February",Q649,IF($J$1="March",Q650,IF($J$1="April",Q651,IF($J$1="May",Q652,IF($J$1="June",Q653,IF($J$1="July",Q654,IF($J$1="August",Q655,IF($J$1="August",Q655,IF($J$1="September",Q656,IF($J$1="October",Q657,IF($J$1="November",Q658,IF($J$1="December",Q659)))))))))))))</f>
        <v>0</v>
      </c>
      <c r="D655" s="57"/>
      <c r="E655" s="57"/>
      <c r="F655" s="75" t="s">
        <v>30</v>
      </c>
      <c r="G655" s="70">
        <f>IF($J$1="January",X648,IF($J$1="February",X649,IF($J$1="March",X650,IF($J$1="April",X651,IF($J$1="May",X652,IF($J$1="June",X653,IF($J$1="July",X654,IF($J$1="August",X655,IF($J$1="August",X655,IF($J$1="September",X656,IF($J$1="October",X657,IF($J$1="November",X658,IF($J$1="December",X659)))))))))))))</f>
        <v>0</v>
      </c>
      <c r="H655" s="74"/>
      <c r="I655" s="293" t="s">
        <v>86</v>
      </c>
      <c r="J655" s="294"/>
      <c r="K655" s="70">
        <f>G655</f>
        <v>0</v>
      </c>
      <c r="L655" s="82"/>
      <c r="M655" s="57"/>
      <c r="N655" s="100"/>
      <c r="O655" s="101" t="s">
        <v>67</v>
      </c>
      <c r="P655" s="101"/>
      <c r="Q655" s="101"/>
      <c r="R655" s="101">
        <v>15</v>
      </c>
      <c r="S655" s="105"/>
      <c r="T655" s="101" t="s">
        <v>67</v>
      </c>
      <c r="U655" s="177" t="str">
        <f>IF($J$1="September",Y654,"")</f>
        <v/>
      </c>
      <c r="V655" s="103"/>
      <c r="W655" s="177" t="str">
        <f t="shared" si="115"/>
        <v/>
      </c>
      <c r="X655" s="103"/>
      <c r="Y655" s="177" t="str">
        <f t="shared" si="116"/>
        <v/>
      </c>
      <c r="Z655" s="106"/>
      <c r="AA655" s="57"/>
    </row>
    <row r="656" spans="1:27" s="55" customFormat="1" ht="21" customHeight="1" x14ac:dyDescent="0.25">
      <c r="A656" s="56"/>
      <c r="B656" s="83" t="s">
        <v>84</v>
      </c>
      <c r="C656" s="66">
        <f>IF($J$1="January",R648,IF($J$1="February",R649,IF($J$1="March",R650,IF($J$1="April",R651,IF($J$1="May",R652,IF($J$1="June",R653,IF($J$1="July",R654,IF($J$1="August",R655,IF($J$1="August",R655,IF($J$1="September",R656,IF($J$1="October",R657,IF($J$1="November",R658,IF($J$1="December",R659)))))))))))))</f>
        <v>0</v>
      </c>
      <c r="D656" s="57"/>
      <c r="E656" s="57"/>
      <c r="F656" s="75" t="s">
        <v>83</v>
      </c>
      <c r="G656" s="70">
        <f>IF($J$1="January",Y648,IF($J$1="February",Y649,IF($J$1="March",Y650,IF($J$1="April",Y651,IF($J$1="May",Y652,IF($J$1="June",Y653,IF($J$1="July",Y654,IF($J$1="August",Y655,IF($J$1="August",Y655,IF($J$1="September",Y656,IF($J$1="October",Y657,IF($J$1="November",Y658,IF($J$1="December",Y659)))))))))))))</f>
        <v>0</v>
      </c>
      <c r="H656" s="57"/>
      <c r="I656" s="295" t="s">
        <v>79</v>
      </c>
      <c r="J656" s="296"/>
      <c r="K656" s="84">
        <f>K654-K655</f>
        <v>17600</v>
      </c>
      <c r="L656" s="85"/>
      <c r="M656" s="57"/>
      <c r="N656" s="100"/>
      <c r="O656" s="101" t="s">
        <v>72</v>
      </c>
      <c r="P656" s="101"/>
      <c r="Q656" s="101"/>
      <c r="R656" s="101" t="str">
        <f t="shared" si="117"/>
        <v/>
      </c>
      <c r="S656" s="105"/>
      <c r="T656" s="101" t="s">
        <v>72</v>
      </c>
      <c r="U656" s="177" t="str">
        <f>IF($J$1="September",Y655,"")</f>
        <v/>
      </c>
      <c r="V656" s="103"/>
      <c r="W656" s="177" t="str">
        <f t="shared" si="115"/>
        <v/>
      </c>
      <c r="X656" s="103"/>
      <c r="Y656" s="177" t="str">
        <f t="shared" si="116"/>
        <v/>
      </c>
      <c r="Z656" s="106"/>
      <c r="AA656" s="57"/>
    </row>
    <row r="657" spans="1:27" s="55" customFormat="1" ht="21" customHeight="1" x14ac:dyDescent="0.25">
      <c r="A657" s="56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73"/>
      <c r="M657" s="57"/>
      <c r="N657" s="100"/>
      <c r="O657" s="101" t="s">
        <v>68</v>
      </c>
      <c r="P657" s="101"/>
      <c r="Q657" s="101"/>
      <c r="R657" s="101" t="str">
        <f t="shared" si="117"/>
        <v/>
      </c>
      <c r="S657" s="105"/>
      <c r="T657" s="101" t="s">
        <v>68</v>
      </c>
      <c r="U657" s="177" t="str">
        <f>IF($J$1="October",Y656,"")</f>
        <v/>
      </c>
      <c r="V657" s="103"/>
      <c r="W657" s="177" t="str">
        <f t="shared" si="115"/>
        <v/>
      </c>
      <c r="X657" s="103"/>
      <c r="Y657" s="177" t="str">
        <f t="shared" si="116"/>
        <v/>
      </c>
      <c r="Z657" s="106"/>
      <c r="AA657" s="57"/>
    </row>
    <row r="658" spans="1:27" s="55" customFormat="1" ht="21" customHeight="1" x14ac:dyDescent="0.25">
      <c r="A658" s="56"/>
      <c r="B658" s="284" t="s">
        <v>116</v>
      </c>
      <c r="C658" s="284"/>
      <c r="D658" s="284"/>
      <c r="E658" s="284"/>
      <c r="F658" s="284"/>
      <c r="G658" s="284"/>
      <c r="H658" s="284"/>
      <c r="I658" s="284"/>
      <c r="J658" s="284"/>
      <c r="K658" s="284"/>
      <c r="L658" s="73"/>
      <c r="M658" s="57"/>
      <c r="N658" s="100"/>
      <c r="O658" s="101" t="s">
        <v>73</v>
      </c>
      <c r="P658" s="101"/>
      <c r="Q658" s="101"/>
      <c r="R658" s="101" t="str">
        <f t="shared" si="117"/>
        <v/>
      </c>
      <c r="S658" s="105"/>
      <c r="T658" s="101" t="s">
        <v>73</v>
      </c>
      <c r="U658" s="177" t="str">
        <f>IF($J$1="November",Y657,"")</f>
        <v/>
      </c>
      <c r="V658" s="103"/>
      <c r="W658" s="177" t="str">
        <f t="shared" si="115"/>
        <v/>
      </c>
      <c r="X658" s="103"/>
      <c r="Y658" s="177" t="str">
        <f t="shared" si="116"/>
        <v/>
      </c>
      <c r="Z658" s="106"/>
      <c r="AA658" s="57"/>
    </row>
    <row r="659" spans="1:27" s="55" customFormat="1" ht="21" customHeight="1" x14ac:dyDescent="0.25">
      <c r="A659" s="56"/>
      <c r="B659" s="284"/>
      <c r="C659" s="284"/>
      <c r="D659" s="284"/>
      <c r="E659" s="284"/>
      <c r="F659" s="284"/>
      <c r="G659" s="284"/>
      <c r="H659" s="284"/>
      <c r="I659" s="284"/>
      <c r="J659" s="284"/>
      <c r="K659" s="284"/>
      <c r="L659" s="73"/>
      <c r="M659" s="57"/>
      <c r="N659" s="100"/>
      <c r="O659" s="101" t="s">
        <v>74</v>
      </c>
      <c r="P659" s="101"/>
      <c r="Q659" s="101"/>
      <c r="R659" s="101" t="str">
        <f t="shared" si="117"/>
        <v/>
      </c>
      <c r="S659" s="105"/>
      <c r="T659" s="101" t="s">
        <v>74</v>
      </c>
      <c r="U659" s="177" t="str">
        <f>IF($J$1="Dec",Y658,"")</f>
        <v/>
      </c>
      <c r="V659" s="103"/>
      <c r="W659" s="177" t="str">
        <f t="shared" si="115"/>
        <v/>
      </c>
      <c r="X659" s="103"/>
      <c r="Y659" s="177" t="str">
        <f t="shared" si="116"/>
        <v/>
      </c>
      <c r="Z659" s="106"/>
      <c r="AA659" s="57"/>
    </row>
    <row r="660" spans="1:27" s="55" customFormat="1" ht="21" customHeight="1" thickBot="1" x14ac:dyDescent="0.3">
      <c r="A660" s="86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8"/>
      <c r="N660" s="107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9"/>
    </row>
    <row r="661" spans="1:27" s="57" customFormat="1" ht="21" customHeight="1" thickBot="1" x14ac:dyDescent="0.3"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  <c r="Z661" s="105"/>
    </row>
    <row r="662" spans="1:27" s="55" customFormat="1" ht="21" customHeight="1" x14ac:dyDescent="0.25">
      <c r="A662" s="297" t="s">
        <v>56</v>
      </c>
      <c r="B662" s="298"/>
      <c r="C662" s="298"/>
      <c r="D662" s="298"/>
      <c r="E662" s="298"/>
      <c r="F662" s="298"/>
      <c r="G662" s="298"/>
      <c r="H662" s="298"/>
      <c r="I662" s="298"/>
      <c r="J662" s="298"/>
      <c r="K662" s="298"/>
      <c r="L662" s="299"/>
      <c r="M662" s="54"/>
      <c r="N662" s="93"/>
      <c r="O662" s="285" t="s">
        <v>58</v>
      </c>
      <c r="P662" s="286"/>
      <c r="Q662" s="286"/>
      <c r="R662" s="287"/>
      <c r="S662" s="94"/>
      <c r="T662" s="285" t="s">
        <v>59</v>
      </c>
      <c r="U662" s="286"/>
      <c r="V662" s="286"/>
      <c r="W662" s="286"/>
      <c r="X662" s="286"/>
      <c r="Y662" s="287"/>
      <c r="Z662" s="95"/>
      <c r="AA662" s="54"/>
    </row>
    <row r="663" spans="1:27" s="55" customFormat="1" ht="21" customHeight="1" x14ac:dyDescent="0.25">
      <c r="A663" s="56"/>
      <c r="B663" s="57"/>
      <c r="C663" s="288" t="s">
        <v>114</v>
      </c>
      <c r="D663" s="288"/>
      <c r="E663" s="288"/>
      <c r="F663" s="288"/>
      <c r="G663" s="58" t="str">
        <f>$J$1</f>
        <v>June</v>
      </c>
      <c r="H663" s="289">
        <f>$K$1</f>
        <v>2019</v>
      </c>
      <c r="I663" s="289"/>
      <c r="J663" s="57"/>
      <c r="K663" s="59"/>
      <c r="L663" s="60"/>
      <c r="M663" s="59"/>
      <c r="N663" s="96"/>
      <c r="O663" s="97" t="s">
        <v>69</v>
      </c>
      <c r="P663" s="97" t="s">
        <v>7</v>
      </c>
      <c r="Q663" s="97" t="s">
        <v>6</v>
      </c>
      <c r="R663" s="97" t="s">
        <v>70</v>
      </c>
      <c r="S663" s="98"/>
      <c r="T663" s="97" t="s">
        <v>69</v>
      </c>
      <c r="U663" s="97" t="s">
        <v>71</v>
      </c>
      <c r="V663" s="97" t="s">
        <v>29</v>
      </c>
      <c r="W663" s="97" t="s">
        <v>28</v>
      </c>
      <c r="X663" s="97" t="s">
        <v>30</v>
      </c>
      <c r="Y663" s="97" t="s">
        <v>75</v>
      </c>
      <c r="Z663" s="99"/>
      <c r="AA663" s="59"/>
    </row>
    <row r="664" spans="1:27" s="55" customFormat="1" ht="21" customHeight="1" x14ac:dyDescent="0.25">
      <c r="A664" s="56"/>
      <c r="B664" s="57"/>
      <c r="C664" s="57"/>
      <c r="D664" s="62"/>
      <c r="E664" s="62"/>
      <c r="F664" s="62"/>
      <c r="G664" s="62"/>
      <c r="H664" s="62"/>
      <c r="I664" s="57"/>
      <c r="J664" s="63" t="s">
        <v>1</v>
      </c>
      <c r="K664" s="64">
        <v>16000</v>
      </c>
      <c r="L664" s="65"/>
      <c r="M664" s="57"/>
      <c r="N664" s="100"/>
      <c r="O664" s="101" t="s">
        <v>61</v>
      </c>
      <c r="P664" s="101">
        <v>31</v>
      </c>
      <c r="Q664" s="101">
        <v>0</v>
      </c>
      <c r="R664" s="101">
        <v>0</v>
      </c>
      <c r="S664" s="102"/>
      <c r="T664" s="101" t="s">
        <v>61</v>
      </c>
      <c r="U664" s="103"/>
      <c r="V664" s="103"/>
      <c r="W664" s="103">
        <f>V664+U664</f>
        <v>0</v>
      </c>
      <c r="X664" s="103"/>
      <c r="Y664" s="103">
        <f>W664-X664</f>
        <v>0</v>
      </c>
      <c r="Z664" s="99"/>
      <c r="AA664" s="57"/>
    </row>
    <row r="665" spans="1:27" s="55" customFormat="1" ht="21" customHeight="1" x14ac:dyDescent="0.25">
      <c r="A665" s="56"/>
      <c r="B665" s="57" t="s">
        <v>0</v>
      </c>
      <c r="C665" s="67" t="s">
        <v>132</v>
      </c>
      <c r="D665" s="57"/>
      <c r="E665" s="57"/>
      <c r="F665" s="57"/>
      <c r="G665" s="57"/>
      <c r="H665" s="68"/>
      <c r="I665" s="62"/>
      <c r="J665" s="57"/>
      <c r="K665" s="57"/>
      <c r="L665" s="69"/>
      <c r="M665" s="54"/>
      <c r="N665" s="104"/>
      <c r="O665" s="101" t="s">
        <v>87</v>
      </c>
      <c r="P665" s="101">
        <v>28</v>
      </c>
      <c r="Q665" s="101">
        <v>0</v>
      </c>
      <c r="R665" s="101">
        <f>IF(Q665="","",R664-Q665)</f>
        <v>0</v>
      </c>
      <c r="S665" s="105"/>
      <c r="T665" s="101" t="s">
        <v>87</v>
      </c>
      <c r="U665" s="177">
        <v>0</v>
      </c>
      <c r="V665" s="103">
        <v>20000</v>
      </c>
      <c r="W665" s="177">
        <f>IF(U665="","",U665+V665)</f>
        <v>20000</v>
      </c>
      <c r="X665" s="103">
        <v>2000</v>
      </c>
      <c r="Y665" s="103">
        <f>W665-X665</f>
        <v>18000</v>
      </c>
      <c r="Z665" s="106"/>
      <c r="AA665" s="54"/>
    </row>
    <row r="666" spans="1:27" s="55" customFormat="1" ht="21" customHeight="1" x14ac:dyDescent="0.25">
      <c r="A666" s="56"/>
      <c r="B666" s="71" t="s">
        <v>57</v>
      </c>
      <c r="C666" s="72"/>
      <c r="D666" s="57"/>
      <c r="E666" s="57"/>
      <c r="F666" s="290" t="s">
        <v>59</v>
      </c>
      <c r="G666" s="290"/>
      <c r="H666" s="57"/>
      <c r="I666" s="290" t="s">
        <v>60</v>
      </c>
      <c r="J666" s="290"/>
      <c r="K666" s="290"/>
      <c r="L666" s="73"/>
      <c r="M666" s="57"/>
      <c r="N666" s="100"/>
      <c r="O666" s="101" t="s">
        <v>62</v>
      </c>
      <c r="P666" s="101">
        <v>31</v>
      </c>
      <c r="Q666" s="101">
        <v>0</v>
      </c>
      <c r="R666" s="101">
        <f t="shared" ref="R666:R674" si="118">IF(Q666="","",R665-Q666)</f>
        <v>0</v>
      </c>
      <c r="S666" s="105"/>
      <c r="T666" s="101" t="s">
        <v>62</v>
      </c>
      <c r="U666" s="177">
        <f>Y665</f>
        <v>18000</v>
      </c>
      <c r="V666" s="103"/>
      <c r="W666" s="177">
        <f t="shared" ref="W666:W675" si="119">IF(U666="","",U666+V666)</f>
        <v>18000</v>
      </c>
      <c r="X666" s="103">
        <v>2000</v>
      </c>
      <c r="Y666" s="177">
        <f t="shared" ref="Y666:Y675" si="120">IF(W666="","",W666-X666)</f>
        <v>16000</v>
      </c>
      <c r="Z666" s="106"/>
      <c r="AA666" s="57"/>
    </row>
    <row r="667" spans="1:27" s="55" customFormat="1" ht="21" customHeight="1" x14ac:dyDescent="0.25">
      <c r="A667" s="56"/>
      <c r="B667" s="57"/>
      <c r="C667" s="57"/>
      <c r="D667" s="57"/>
      <c r="E667" s="57"/>
      <c r="F667" s="57"/>
      <c r="G667" s="57"/>
      <c r="H667" s="74"/>
      <c r="L667" s="61"/>
      <c r="M667" s="57"/>
      <c r="N667" s="100"/>
      <c r="O667" s="101" t="s">
        <v>63</v>
      </c>
      <c r="P667" s="101">
        <v>30</v>
      </c>
      <c r="Q667" s="101">
        <v>0</v>
      </c>
      <c r="R667" s="101">
        <f t="shared" si="118"/>
        <v>0</v>
      </c>
      <c r="S667" s="105"/>
      <c r="T667" s="101" t="s">
        <v>63</v>
      </c>
      <c r="U667" s="177">
        <f>Y666</f>
        <v>16000</v>
      </c>
      <c r="V667" s="103"/>
      <c r="W667" s="177">
        <f t="shared" si="119"/>
        <v>16000</v>
      </c>
      <c r="X667" s="103">
        <v>2000</v>
      </c>
      <c r="Y667" s="177">
        <f t="shared" si="120"/>
        <v>14000</v>
      </c>
      <c r="Z667" s="106"/>
      <c r="AA667" s="57"/>
    </row>
    <row r="668" spans="1:27" s="55" customFormat="1" ht="21" customHeight="1" x14ac:dyDescent="0.25">
      <c r="A668" s="56"/>
      <c r="B668" s="291" t="s">
        <v>58</v>
      </c>
      <c r="C668" s="292"/>
      <c r="D668" s="57"/>
      <c r="E668" s="57"/>
      <c r="F668" s="75" t="s">
        <v>80</v>
      </c>
      <c r="G668" s="70">
        <f>IF($J$1="January",U664,IF($J$1="February",U665,IF($J$1="March",U666,IF($J$1="April",U667,IF($J$1="May",U668,IF($J$1="June",U669,IF($J$1="July",U670,IF($J$1="August",U671,IF($J$1="August",U671,IF($J$1="September",U672,IF($J$1="October",U673,IF($J$1="November",U674,IF($J$1="December",U675)))))))))))))</f>
        <v>14000</v>
      </c>
      <c r="H668" s="74"/>
      <c r="I668" s="76">
        <f>IF(C672&gt;0,$K$2,C670)</f>
        <v>30</v>
      </c>
      <c r="J668" s="77" t="s">
        <v>77</v>
      </c>
      <c r="K668" s="78">
        <f>K664/$K$2*I668</f>
        <v>16000.000000000002</v>
      </c>
      <c r="L668" s="79"/>
      <c r="M668" s="57"/>
      <c r="N668" s="100"/>
      <c r="O668" s="101" t="s">
        <v>64</v>
      </c>
      <c r="P668" s="101">
        <v>30</v>
      </c>
      <c r="Q668" s="101">
        <v>1</v>
      </c>
      <c r="R668" s="101">
        <f>15-1</f>
        <v>14</v>
      </c>
      <c r="S668" s="105"/>
      <c r="T668" s="101" t="s">
        <v>64</v>
      </c>
      <c r="U668" s="177">
        <f>Y667</f>
        <v>14000</v>
      </c>
      <c r="V668" s="103"/>
      <c r="W668" s="177">
        <f t="shared" si="119"/>
        <v>14000</v>
      </c>
      <c r="X668" s="103"/>
      <c r="Y668" s="177">
        <f t="shared" si="120"/>
        <v>14000</v>
      </c>
      <c r="Z668" s="106"/>
      <c r="AA668" s="57"/>
    </row>
    <row r="669" spans="1:27" s="55" customFormat="1" ht="21" customHeight="1" x14ac:dyDescent="0.25">
      <c r="A669" s="56"/>
      <c r="B669" s="66"/>
      <c r="C669" s="66"/>
      <c r="D669" s="57"/>
      <c r="E669" s="57"/>
      <c r="F669" s="75" t="s">
        <v>29</v>
      </c>
      <c r="G669" s="70">
        <f>IF($J$1="January",V664,IF($J$1="February",V665,IF($J$1="March",V666,IF($J$1="April",V667,IF($J$1="May",V668,IF($J$1="June",V669,IF($J$1="July",V670,IF($J$1="August",V671,IF($J$1="August",V671,IF($J$1="September",V672,IF($J$1="October",V673,IF($J$1="November",V674,IF($J$1="December",V675)))))))))))))</f>
        <v>0</v>
      </c>
      <c r="H669" s="74"/>
      <c r="I669" s="120">
        <v>102</v>
      </c>
      <c r="J669" s="77" t="s">
        <v>78</v>
      </c>
      <c r="K669" s="80">
        <f>K664/$K$2/8*I669</f>
        <v>6800.0000000000009</v>
      </c>
      <c r="L669" s="81"/>
      <c r="M669" s="57"/>
      <c r="N669" s="100"/>
      <c r="O669" s="101" t="s">
        <v>65</v>
      </c>
      <c r="P669" s="101">
        <v>30</v>
      </c>
      <c r="Q669" s="101">
        <v>0</v>
      </c>
      <c r="R669" s="101">
        <f t="shared" si="118"/>
        <v>14</v>
      </c>
      <c r="S669" s="105"/>
      <c r="T669" s="101" t="s">
        <v>65</v>
      </c>
      <c r="U669" s="177">
        <f>Y668</f>
        <v>14000</v>
      </c>
      <c r="V669" s="103"/>
      <c r="W669" s="177">
        <f t="shared" si="119"/>
        <v>14000</v>
      </c>
      <c r="X669" s="103">
        <v>2000</v>
      </c>
      <c r="Y669" s="177">
        <f t="shared" si="120"/>
        <v>12000</v>
      </c>
      <c r="Z669" s="106"/>
      <c r="AA669" s="57"/>
    </row>
    <row r="670" spans="1:27" s="55" customFormat="1" ht="21" customHeight="1" x14ac:dyDescent="0.25">
      <c r="A670" s="56"/>
      <c r="B670" s="75" t="s">
        <v>7</v>
      </c>
      <c r="C670" s="66">
        <f>IF($J$1="January",P664,IF($J$1="February",P665,IF($J$1="March",P666,IF($J$1="April",P667,IF($J$1="May",P668,IF($J$1="June",P669,IF($J$1="July",P670,IF($J$1="August",P671,IF($J$1="August",P671,IF($J$1="September",P672,IF($J$1="October",P673,IF($J$1="November",P674,IF($J$1="December",P675)))))))))))))</f>
        <v>30</v>
      </c>
      <c r="D670" s="57"/>
      <c r="E670" s="57"/>
      <c r="F670" s="75" t="s">
        <v>81</v>
      </c>
      <c r="G670" s="70">
        <f>IF($J$1="January",W664,IF($J$1="February",W665,IF($J$1="March",W666,IF($J$1="April",W667,IF($J$1="May",W668,IF($J$1="June",W669,IF($J$1="July",W670,IF($J$1="August",W671,IF($J$1="August",W671,IF($J$1="September",W672,IF($J$1="October",W673,IF($J$1="November",W674,IF($J$1="December",W675)))))))))))))</f>
        <v>14000</v>
      </c>
      <c r="H670" s="74"/>
      <c r="I670" s="293" t="s">
        <v>85</v>
      </c>
      <c r="J670" s="294"/>
      <c r="K670" s="80">
        <f>K668+K669</f>
        <v>22800.000000000004</v>
      </c>
      <c r="L670" s="81"/>
      <c r="M670" s="57"/>
      <c r="N670" s="100"/>
      <c r="O670" s="101" t="s">
        <v>66</v>
      </c>
      <c r="P670" s="101"/>
      <c r="Q670" s="101"/>
      <c r="R670" s="101" t="str">
        <f t="shared" si="118"/>
        <v/>
      </c>
      <c r="S670" s="105"/>
      <c r="T670" s="101" t="s">
        <v>66</v>
      </c>
      <c r="U670" s="177" t="str">
        <f>IF($J$1="September",Y669,"")</f>
        <v/>
      </c>
      <c r="V670" s="103"/>
      <c r="W670" s="177" t="str">
        <f t="shared" si="119"/>
        <v/>
      </c>
      <c r="X670" s="103"/>
      <c r="Y670" s="177" t="str">
        <f t="shared" si="120"/>
        <v/>
      </c>
      <c r="Z670" s="106"/>
      <c r="AA670" s="57"/>
    </row>
    <row r="671" spans="1:27" s="55" customFormat="1" ht="21" customHeight="1" x14ac:dyDescent="0.25">
      <c r="A671" s="56"/>
      <c r="B671" s="75" t="s">
        <v>6</v>
      </c>
      <c r="C671" s="66">
        <f>IF($J$1="January",Q664,IF($J$1="February",Q665,IF($J$1="March",Q666,IF($J$1="April",Q667,IF($J$1="May",Q668,IF($J$1="June",Q669,IF($J$1="July",Q670,IF($J$1="August",Q671,IF($J$1="August",Q671,IF($J$1="September",Q672,IF($J$1="October",Q673,IF($J$1="November",Q674,IF($J$1="December",Q675)))))))))))))</f>
        <v>0</v>
      </c>
      <c r="D671" s="57"/>
      <c r="E671" s="57"/>
      <c r="F671" s="75" t="s">
        <v>30</v>
      </c>
      <c r="G671" s="70">
        <f>IF($J$1="January",X664,IF($J$1="February",X665,IF($J$1="March",X666,IF($J$1="April",X667,IF($J$1="May",X668,IF($J$1="June",X669,IF($J$1="July",X670,IF($J$1="August",X671,IF($J$1="August",X671,IF($J$1="September",X672,IF($J$1="October",X673,IF($J$1="November",X674,IF($J$1="December",X675)))))))))))))</f>
        <v>2000</v>
      </c>
      <c r="H671" s="74"/>
      <c r="I671" s="293" t="s">
        <v>86</v>
      </c>
      <c r="J671" s="294"/>
      <c r="K671" s="70">
        <f>G671</f>
        <v>2000</v>
      </c>
      <c r="L671" s="82"/>
      <c r="M671" s="57"/>
      <c r="N671" s="100"/>
      <c r="O671" s="101" t="s">
        <v>67</v>
      </c>
      <c r="P671" s="101"/>
      <c r="Q671" s="101"/>
      <c r="R671" s="101" t="str">
        <f t="shared" si="118"/>
        <v/>
      </c>
      <c r="S671" s="105"/>
      <c r="T671" s="101" t="s">
        <v>67</v>
      </c>
      <c r="U671" s="177" t="str">
        <f>IF($J$1="September",Y670,"")</f>
        <v/>
      </c>
      <c r="V671" s="103"/>
      <c r="W671" s="177" t="str">
        <f t="shared" si="119"/>
        <v/>
      </c>
      <c r="X671" s="103"/>
      <c r="Y671" s="177" t="str">
        <f t="shared" si="120"/>
        <v/>
      </c>
      <c r="Z671" s="106"/>
      <c r="AA671" s="57"/>
    </row>
    <row r="672" spans="1:27" s="55" customFormat="1" ht="21" customHeight="1" x14ac:dyDescent="0.25">
      <c r="A672" s="56"/>
      <c r="B672" s="83" t="s">
        <v>84</v>
      </c>
      <c r="C672" s="66">
        <f>IF($J$1="January",R664,IF($J$1="February",R665,IF($J$1="March",R666,IF($J$1="April",R667,IF($J$1="May",R668,IF($J$1="June",R669,IF($J$1="July",R670,IF($J$1="August",R671,IF($J$1="August",R671,IF($J$1="September",R672,IF($J$1="October",R673,IF($J$1="November",R674,IF($J$1="December",R675)))))))))))))</f>
        <v>14</v>
      </c>
      <c r="D672" s="57"/>
      <c r="E672" s="57"/>
      <c r="F672" s="75" t="s">
        <v>83</v>
      </c>
      <c r="G672" s="70">
        <f>IF($J$1="January",Y664,IF($J$1="February",Y665,IF($J$1="March",Y666,IF($J$1="April",Y667,IF($J$1="May",Y668,IF($J$1="June",Y669,IF($J$1="July",Y670,IF($J$1="August",Y671,IF($J$1="August",Y671,IF($J$1="September",Y672,IF($J$1="October",Y673,IF($J$1="November",Y674,IF($J$1="December",Y675)))))))))))))</f>
        <v>12000</v>
      </c>
      <c r="H672" s="57"/>
      <c r="I672" s="295" t="s">
        <v>79</v>
      </c>
      <c r="J672" s="296"/>
      <c r="K672" s="84">
        <f>K670-K671</f>
        <v>20800.000000000004</v>
      </c>
      <c r="L672" s="85"/>
      <c r="M672" s="57"/>
      <c r="N672" s="100"/>
      <c r="O672" s="101" t="s">
        <v>72</v>
      </c>
      <c r="P672" s="101"/>
      <c r="Q672" s="101"/>
      <c r="R672" s="101" t="str">
        <f t="shared" si="118"/>
        <v/>
      </c>
      <c r="S672" s="105"/>
      <c r="T672" s="101" t="s">
        <v>72</v>
      </c>
      <c r="U672" s="177" t="str">
        <f>IF($J$1="Sept",Y671,"")</f>
        <v/>
      </c>
      <c r="V672" s="103"/>
      <c r="W672" s="177" t="str">
        <f t="shared" si="119"/>
        <v/>
      </c>
      <c r="X672" s="103"/>
      <c r="Y672" s="177" t="str">
        <f t="shared" si="120"/>
        <v/>
      </c>
      <c r="Z672" s="106"/>
      <c r="AA672" s="57"/>
    </row>
    <row r="673" spans="1:27" s="55" customFormat="1" ht="21" customHeight="1" x14ac:dyDescent="0.25">
      <c r="A673" s="56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73"/>
      <c r="M673" s="57"/>
      <c r="N673" s="100"/>
      <c r="O673" s="101" t="s">
        <v>68</v>
      </c>
      <c r="P673" s="101"/>
      <c r="Q673" s="101"/>
      <c r="R673" s="101" t="str">
        <f t="shared" si="118"/>
        <v/>
      </c>
      <c r="S673" s="105"/>
      <c r="T673" s="101" t="s">
        <v>68</v>
      </c>
      <c r="U673" s="177" t="str">
        <f>IF($J$1="October",Y672,"")</f>
        <v/>
      </c>
      <c r="V673" s="103"/>
      <c r="W673" s="177" t="str">
        <f t="shared" si="119"/>
        <v/>
      </c>
      <c r="X673" s="103"/>
      <c r="Y673" s="177" t="str">
        <f t="shared" si="120"/>
        <v/>
      </c>
      <c r="Z673" s="106"/>
      <c r="AA673" s="57"/>
    </row>
    <row r="674" spans="1:27" s="55" customFormat="1" ht="21" customHeight="1" x14ac:dyDescent="0.25">
      <c r="A674" s="56"/>
      <c r="B674" s="284" t="s">
        <v>116</v>
      </c>
      <c r="C674" s="284"/>
      <c r="D674" s="284"/>
      <c r="E674" s="284"/>
      <c r="F674" s="284"/>
      <c r="G674" s="284"/>
      <c r="H674" s="284"/>
      <c r="I674" s="284"/>
      <c r="J674" s="284"/>
      <c r="K674" s="284"/>
      <c r="L674" s="73"/>
      <c r="M674" s="57"/>
      <c r="N674" s="100"/>
      <c r="O674" s="101" t="s">
        <v>73</v>
      </c>
      <c r="P674" s="101"/>
      <c r="Q674" s="101"/>
      <c r="R674" s="101" t="str">
        <f t="shared" si="118"/>
        <v/>
      </c>
      <c r="S674" s="105"/>
      <c r="T674" s="101" t="s">
        <v>73</v>
      </c>
      <c r="U674" s="177" t="str">
        <f>IF($J$1="November",Y673,"")</f>
        <v/>
      </c>
      <c r="V674" s="103"/>
      <c r="W674" s="177" t="str">
        <f t="shared" si="119"/>
        <v/>
      </c>
      <c r="X674" s="103"/>
      <c r="Y674" s="177" t="str">
        <f t="shared" si="120"/>
        <v/>
      </c>
      <c r="Z674" s="106"/>
      <c r="AA674" s="57"/>
    </row>
    <row r="675" spans="1:27" s="55" customFormat="1" ht="21" customHeight="1" x14ac:dyDescent="0.25">
      <c r="A675" s="56"/>
      <c r="B675" s="284"/>
      <c r="C675" s="284"/>
      <c r="D675" s="284"/>
      <c r="E675" s="284"/>
      <c r="F675" s="284"/>
      <c r="G675" s="284"/>
      <c r="H675" s="284"/>
      <c r="I675" s="284"/>
      <c r="J675" s="284"/>
      <c r="K675" s="284"/>
      <c r="L675" s="73"/>
      <c r="M675" s="57"/>
      <c r="N675" s="100"/>
      <c r="O675" s="101" t="s">
        <v>74</v>
      </c>
      <c r="P675" s="101"/>
      <c r="Q675" s="101"/>
      <c r="R675" s="101">
        <v>0</v>
      </c>
      <c r="S675" s="105"/>
      <c r="T675" s="101" t="s">
        <v>74</v>
      </c>
      <c r="U675" s="177" t="str">
        <f>IF($J$1="Dec",Y674,"")</f>
        <v/>
      </c>
      <c r="V675" s="103"/>
      <c r="W675" s="177" t="str">
        <f t="shared" si="119"/>
        <v/>
      </c>
      <c r="X675" s="103"/>
      <c r="Y675" s="177" t="str">
        <f t="shared" si="120"/>
        <v/>
      </c>
      <c r="Z675" s="106"/>
      <c r="AA675" s="57"/>
    </row>
    <row r="676" spans="1:27" s="55" customFormat="1" ht="21" customHeight="1" thickBot="1" x14ac:dyDescent="0.3">
      <c r="A676" s="86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8"/>
      <c r="N676" s="107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9"/>
    </row>
    <row r="677" spans="1:27" s="57" customFormat="1" ht="21" customHeight="1" thickBot="1" x14ac:dyDescent="0.3"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  <c r="Z677" s="105"/>
    </row>
    <row r="678" spans="1:27" s="55" customFormat="1" ht="21" customHeight="1" x14ac:dyDescent="0.25">
      <c r="A678" s="297" t="s">
        <v>56</v>
      </c>
      <c r="B678" s="298"/>
      <c r="C678" s="298"/>
      <c r="D678" s="298"/>
      <c r="E678" s="298"/>
      <c r="F678" s="298"/>
      <c r="G678" s="298"/>
      <c r="H678" s="298"/>
      <c r="I678" s="298"/>
      <c r="J678" s="298"/>
      <c r="K678" s="298"/>
      <c r="L678" s="299"/>
      <c r="M678" s="54"/>
      <c r="N678" s="93"/>
      <c r="O678" s="285" t="s">
        <v>58</v>
      </c>
      <c r="P678" s="286"/>
      <c r="Q678" s="286"/>
      <c r="R678" s="287"/>
      <c r="S678" s="94"/>
      <c r="T678" s="285" t="s">
        <v>59</v>
      </c>
      <c r="U678" s="286"/>
      <c r="V678" s="286"/>
      <c r="W678" s="286"/>
      <c r="X678" s="286"/>
      <c r="Y678" s="287"/>
      <c r="Z678" s="95"/>
      <c r="AA678" s="54"/>
    </row>
    <row r="679" spans="1:27" s="55" customFormat="1" ht="21" customHeight="1" x14ac:dyDescent="0.25">
      <c r="A679" s="56"/>
      <c r="B679" s="57"/>
      <c r="C679" s="288" t="s">
        <v>114</v>
      </c>
      <c r="D679" s="288"/>
      <c r="E679" s="288"/>
      <c r="F679" s="288"/>
      <c r="G679" s="58" t="str">
        <f>$J$1</f>
        <v>June</v>
      </c>
      <c r="H679" s="289">
        <f>$K$1</f>
        <v>2019</v>
      </c>
      <c r="I679" s="289"/>
      <c r="J679" s="57"/>
      <c r="K679" s="59"/>
      <c r="L679" s="60"/>
      <c r="M679" s="59"/>
      <c r="N679" s="96"/>
      <c r="O679" s="97" t="s">
        <v>69</v>
      </c>
      <c r="P679" s="97" t="s">
        <v>7</v>
      </c>
      <c r="Q679" s="97" t="s">
        <v>6</v>
      </c>
      <c r="R679" s="97" t="s">
        <v>70</v>
      </c>
      <c r="S679" s="98"/>
      <c r="T679" s="97" t="s">
        <v>69</v>
      </c>
      <c r="U679" s="97" t="s">
        <v>71</v>
      </c>
      <c r="V679" s="97" t="s">
        <v>29</v>
      </c>
      <c r="W679" s="97" t="s">
        <v>28</v>
      </c>
      <c r="X679" s="97" t="s">
        <v>30</v>
      </c>
      <c r="Y679" s="97" t="s">
        <v>75</v>
      </c>
      <c r="Z679" s="99"/>
      <c r="AA679" s="59"/>
    </row>
    <row r="680" spans="1:27" s="55" customFormat="1" ht="21" customHeight="1" x14ac:dyDescent="0.25">
      <c r="A680" s="56"/>
      <c r="B680" s="57"/>
      <c r="C680" s="57"/>
      <c r="D680" s="62"/>
      <c r="E680" s="62"/>
      <c r="F680" s="62"/>
      <c r="G680" s="62"/>
      <c r="H680" s="62"/>
      <c r="I680" s="57"/>
      <c r="J680" s="63" t="s">
        <v>1</v>
      </c>
      <c r="K680" s="64">
        <v>15000</v>
      </c>
      <c r="L680" s="65"/>
      <c r="M680" s="57"/>
      <c r="N680" s="100"/>
      <c r="O680" s="101" t="s">
        <v>61</v>
      </c>
      <c r="P680" s="101">
        <v>30</v>
      </c>
      <c r="Q680" s="101">
        <v>1</v>
      </c>
      <c r="R680" s="101">
        <f>15-Q680</f>
        <v>14</v>
      </c>
      <c r="S680" s="102"/>
      <c r="T680" s="101" t="s">
        <v>61</v>
      </c>
      <c r="U680" s="103">
        <v>7000</v>
      </c>
      <c r="V680" s="103"/>
      <c r="W680" s="103">
        <f>V680+U680</f>
        <v>7000</v>
      </c>
      <c r="X680" s="103">
        <v>500</v>
      </c>
      <c r="Y680" s="103">
        <f>W680-X680</f>
        <v>6500</v>
      </c>
      <c r="Z680" s="99"/>
      <c r="AA680" s="57"/>
    </row>
    <row r="681" spans="1:27" s="55" customFormat="1" ht="21" customHeight="1" x14ac:dyDescent="0.25">
      <c r="A681" s="56"/>
      <c r="B681" s="57" t="s">
        <v>0</v>
      </c>
      <c r="C681" s="67" t="s">
        <v>99</v>
      </c>
      <c r="D681" s="57"/>
      <c r="E681" s="57"/>
      <c r="F681" s="57"/>
      <c r="G681" s="57"/>
      <c r="H681" s="68"/>
      <c r="I681" s="62"/>
      <c r="J681" s="57"/>
      <c r="K681" s="57"/>
      <c r="L681" s="69"/>
      <c r="M681" s="54"/>
      <c r="N681" s="104"/>
      <c r="O681" s="101" t="s">
        <v>87</v>
      </c>
      <c r="P681" s="101">
        <v>27</v>
      </c>
      <c r="Q681" s="101">
        <v>1</v>
      </c>
      <c r="R681" s="101">
        <f>IF(Q681="","",R680-Q681)</f>
        <v>13</v>
      </c>
      <c r="S681" s="105"/>
      <c r="T681" s="101" t="s">
        <v>87</v>
      </c>
      <c r="U681" s="177">
        <f>Y680</f>
        <v>6500</v>
      </c>
      <c r="V681" s="103"/>
      <c r="W681" s="177">
        <f>IF(U681="","",U681+V681)</f>
        <v>6500</v>
      </c>
      <c r="X681" s="103">
        <v>500</v>
      </c>
      <c r="Y681" s="177">
        <f>IF(W681="","",W681-X681)</f>
        <v>6000</v>
      </c>
      <c r="Z681" s="106"/>
      <c r="AA681" s="54"/>
    </row>
    <row r="682" spans="1:27" s="55" customFormat="1" ht="21" customHeight="1" x14ac:dyDescent="0.25">
      <c r="A682" s="56"/>
      <c r="B682" s="71" t="s">
        <v>57</v>
      </c>
      <c r="C682" s="72"/>
      <c r="D682" s="57"/>
      <c r="E682" s="57"/>
      <c r="F682" s="290" t="s">
        <v>59</v>
      </c>
      <c r="G682" s="290"/>
      <c r="H682" s="57"/>
      <c r="I682" s="290" t="s">
        <v>60</v>
      </c>
      <c r="J682" s="290"/>
      <c r="K682" s="290"/>
      <c r="L682" s="73"/>
      <c r="M682" s="57"/>
      <c r="N682" s="100"/>
      <c r="O682" s="101" t="s">
        <v>62</v>
      </c>
      <c r="P682" s="101">
        <v>29</v>
      </c>
      <c r="Q682" s="101">
        <v>2</v>
      </c>
      <c r="R682" s="101">
        <f t="shared" ref="R682:R691" si="121">IF(Q682="","",R681-Q682)</f>
        <v>11</v>
      </c>
      <c r="S682" s="105"/>
      <c r="T682" s="101" t="s">
        <v>62</v>
      </c>
      <c r="U682" s="177">
        <f>Y681</f>
        <v>6000</v>
      </c>
      <c r="V682" s="103"/>
      <c r="W682" s="177">
        <f t="shared" ref="W682:W691" si="122">IF(U682="","",U682+V682)</f>
        <v>6000</v>
      </c>
      <c r="X682" s="103">
        <v>500</v>
      </c>
      <c r="Y682" s="177">
        <f t="shared" ref="Y682:Y691" si="123">IF(W682="","",W682-X682)</f>
        <v>5500</v>
      </c>
      <c r="Z682" s="106"/>
      <c r="AA682" s="57"/>
    </row>
    <row r="683" spans="1:27" s="55" customFormat="1" ht="21" customHeight="1" x14ac:dyDescent="0.25">
      <c r="A683" s="56"/>
      <c r="B683" s="57"/>
      <c r="C683" s="57"/>
      <c r="D683" s="57"/>
      <c r="E683" s="57"/>
      <c r="F683" s="57"/>
      <c r="G683" s="57"/>
      <c r="H683" s="74"/>
      <c r="L683" s="61"/>
      <c r="M683" s="57"/>
      <c r="N683" s="100"/>
      <c r="O683" s="101" t="s">
        <v>63</v>
      </c>
      <c r="P683" s="101">
        <v>26</v>
      </c>
      <c r="Q683" s="101">
        <v>4</v>
      </c>
      <c r="R683" s="101">
        <f t="shared" si="121"/>
        <v>7</v>
      </c>
      <c r="S683" s="105"/>
      <c r="T683" s="101" t="s">
        <v>63</v>
      </c>
      <c r="U683" s="177">
        <f>Y682</f>
        <v>5500</v>
      </c>
      <c r="V683" s="103"/>
      <c r="W683" s="177">
        <f t="shared" si="122"/>
        <v>5500</v>
      </c>
      <c r="X683" s="103">
        <v>500</v>
      </c>
      <c r="Y683" s="177">
        <f t="shared" si="123"/>
        <v>5000</v>
      </c>
      <c r="Z683" s="106"/>
      <c r="AA683" s="57"/>
    </row>
    <row r="684" spans="1:27" s="55" customFormat="1" ht="21" customHeight="1" x14ac:dyDescent="0.25">
      <c r="A684" s="56"/>
      <c r="B684" s="291" t="s">
        <v>58</v>
      </c>
      <c r="C684" s="292"/>
      <c r="D684" s="57"/>
      <c r="E684" s="57"/>
      <c r="F684" s="75" t="s">
        <v>80</v>
      </c>
      <c r="G684" s="196">
        <f>IF($J$1="January",U680,IF($J$1="February",U681,IF($J$1="March",U682,IF($J$1="April",U683,IF($J$1="May",U684,IF($J$1="June",U685,IF($J$1="July",U686,IF($J$1="August",U687,IF($J$1="August",U687,IF($J$1="September",U688,IF($J$1="October",U689,IF($J$1="November",U690,IF($J$1="December",U691)))))))))))))</f>
        <v>15000</v>
      </c>
      <c r="H684" s="74"/>
      <c r="I684" s="76">
        <f>IF(C688&gt;0,$K$2,C686+C688)</f>
        <v>30</v>
      </c>
      <c r="J684" s="77" t="s">
        <v>77</v>
      </c>
      <c r="K684" s="78">
        <f>K680/$K$2*I684</f>
        <v>15000</v>
      </c>
      <c r="L684" s="79"/>
      <c r="M684" s="57"/>
      <c r="N684" s="100"/>
      <c r="O684" s="101" t="s">
        <v>64</v>
      </c>
      <c r="P684" s="101">
        <v>27</v>
      </c>
      <c r="Q684" s="101">
        <v>4</v>
      </c>
      <c r="R684" s="101">
        <f t="shared" si="121"/>
        <v>3</v>
      </c>
      <c r="S684" s="105"/>
      <c r="T684" s="101" t="s">
        <v>64</v>
      </c>
      <c r="U684" s="177">
        <f>Y683</f>
        <v>5000</v>
      </c>
      <c r="V684" s="103">
        <v>10000</v>
      </c>
      <c r="W684" s="177">
        <f t="shared" si="122"/>
        <v>15000</v>
      </c>
      <c r="X684" s="103"/>
      <c r="Y684" s="177">
        <f t="shared" si="123"/>
        <v>15000</v>
      </c>
      <c r="Z684" s="106"/>
      <c r="AA684" s="57"/>
    </row>
    <row r="685" spans="1:27" s="55" customFormat="1" ht="21" customHeight="1" x14ac:dyDescent="0.25">
      <c r="A685" s="56"/>
      <c r="B685" s="66"/>
      <c r="C685" s="66"/>
      <c r="D685" s="57"/>
      <c r="E685" s="57"/>
      <c r="F685" s="75" t="s">
        <v>29</v>
      </c>
      <c r="G685" s="196">
        <f>IF($J$1="January",V680,IF($J$1="February",V681,IF($J$1="March",V682,IF($J$1="April",V683,IF($J$1="May",V684,IF($J$1="June",V685,IF($J$1="July",V686,IF($J$1="August",V687,IF($J$1="August",V687,IF($J$1="September",V688,IF($J$1="October",V689,IF($J$1="November",V690,IF($J$1="December",V691)))))))))))))</f>
        <v>0</v>
      </c>
      <c r="H685" s="74"/>
      <c r="I685" s="120"/>
      <c r="J685" s="77" t="s">
        <v>78</v>
      </c>
      <c r="K685" s="80">
        <f>K680/$K$2/8*I685</f>
        <v>0</v>
      </c>
      <c r="L685" s="81"/>
      <c r="M685" s="57"/>
      <c r="N685" s="100"/>
      <c r="O685" s="101" t="s">
        <v>65</v>
      </c>
      <c r="P685" s="101">
        <v>29</v>
      </c>
      <c r="Q685" s="101">
        <v>1</v>
      </c>
      <c r="R685" s="101">
        <f t="shared" si="121"/>
        <v>2</v>
      </c>
      <c r="S685" s="105"/>
      <c r="T685" s="101" t="s">
        <v>65</v>
      </c>
      <c r="U685" s="177">
        <f>Y684</f>
        <v>15000</v>
      </c>
      <c r="V685" s="103"/>
      <c r="W685" s="177">
        <f t="shared" si="122"/>
        <v>15000</v>
      </c>
      <c r="X685" s="103">
        <v>1000</v>
      </c>
      <c r="Y685" s="177">
        <f t="shared" si="123"/>
        <v>14000</v>
      </c>
      <c r="Z685" s="106"/>
      <c r="AA685" s="57"/>
    </row>
    <row r="686" spans="1:27" s="55" customFormat="1" ht="21" customHeight="1" x14ac:dyDescent="0.25">
      <c r="A686" s="56"/>
      <c r="B686" s="75" t="s">
        <v>7</v>
      </c>
      <c r="C686" s="66">
        <f>IF($J$1="January",P680,IF($J$1="February",P681,IF($J$1="March",P682,IF($J$1="April",P683,IF($J$1="May",P684,IF($J$1="June",P685,IF($J$1="July",P686,IF($J$1="August",P687,IF($J$1="August",P687,IF($J$1="September",P688,IF($J$1="October",P689,IF($J$1="November",P690,IF($J$1="December",P691)))))))))))))</f>
        <v>29</v>
      </c>
      <c r="D686" s="57"/>
      <c r="E686" s="57"/>
      <c r="F686" s="75" t="s">
        <v>81</v>
      </c>
      <c r="G686" s="196">
        <f>IF($J$1="January",W680,IF($J$1="February",W681,IF($J$1="March",W682,IF($J$1="April",W683,IF($J$1="May",W684,IF($J$1="June",W685,IF($J$1="July",W686,IF($J$1="August",W687,IF($J$1="August",W687,IF($J$1="September",W688,IF($J$1="October",W689,IF($J$1="November",W690,IF($J$1="December",W691)))))))))))))</f>
        <v>15000</v>
      </c>
      <c r="H686" s="74"/>
      <c r="I686" s="293" t="s">
        <v>85</v>
      </c>
      <c r="J686" s="294"/>
      <c r="K686" s="80">
        <f>K684+K685</f>
        <v>15000</v>
      </c>
      <c r="L686" s="81"/>
      <c r="M686" s="57"/>
      <c r="N686" s="100"/>
      <c r="O686" s="101" t="s">
        <v>66</v>
      </c>
      <c r="P686" s="101"/>
      <c r="Q686" s="101"/>
      <c r="R686" s="101" t="str">
        <f t="shared" si="121"/>
        <v/>
      </c>
      <c r="S686" s="105"/>
      <c r="T686" s="101" t="s">
        <v>66</v>
      </c>
      <c r="U686" s="177"/>
      <c r="V686" s="103"/>
      <c r="W686" s="177" t="str">
        <f t="shared" si="122"/>
        <v/>
      </c>
      <c r="X686" s="103"/>
      <c r="Y686" s="177" t="str">
        <f t="shared" si="123"/>
        <v/>
      </c>
      <c r="Z686" s="106"/>
      <c r="AA686" s="57"/>
    </row>
    <row r="687" spans="1:27" s="55" customFormat="1" ht="21" customHeight="1" x14ac:dyDescent="0.25">
      <c r="A687" s="56"/>
      <c r="B687" s="75" t="s">
        <v>6</v>
      </c>
      <c r="C687" s="66">
        <f>IF($J$1="January",Q680,IF($J$1="February",Q681,IF($J$1="March",Q682,IF($J$1="April",Q683,IF($J$1="May",Q684,IF($J$1="June",Q685,IF($J$1="July",Q686,IF($J$1="August",Q687,IF($J$1="August",Q687,IF($J$1="September",Q688,IF($J$1="October",Q689,IF($J$1="November",Q690,IF($J$1="December",Q691)))))))))))))</f>
        <v>1</v>
      </c>
      <c r="D687" s="57"/>
      <c r="E687" s="57"/>
      <c r="F687" s="75" t="s">
        <v>30</v>
      </c>
      <c r="G687" s="196">
        <f>IF($J$1="January",X680,IF($J$1="February",X681,IF($J$1="March",X682,IF($J$1="April",X683,IF($J$1="May",X684,IF($J$1="June",X685,IF($J$1="July",X686,IF($J$1="August",X687,IF($J$1="August",X687,IF($J$1="September",X688,IF($J$1="October",X689,IF($J$1="November",X690,IF($J$1="December",X691)))))))))))))</f>
        <v>1000</v>
      </c>
      <c r="H687" s="74"/>
      <c r="I687" s="293" t="s">
        <v>86</v>
      </c>
      <c r="J687" s="294"/>
      <c r="K687" s="70">
        <f>G687</f>
        <v>1000</v>
      </c>
      <c r="L687" s="82"/>
      <c r="M687" s="57"/>
      <c r="N687" s="100"/>
      <c r="O687" s="101" t="s">
        <v>67</v>
      </c>
      <c r="P687" s="101"/>
      <c r="Q687" s="101"/>
      <c r="R687" s="101" t="str">
        <f t="shared" si="121"/>
        <v/>
      </c>
      <c r="S687" s="105"/>
      <c r="T687" s="101" t="s">
        <v>67</v>
      </c>
      <c r="U687" s="177"/>
      <c r="V687" s="103"/>
      <c r="W687" s="177" t="str">
        <f t="shared" si="122"/>
        <v/>
      </c>
      <c r="X687" s="103"/>
      <c r="Y687" s="177" t="str">
        <f t="shared" si="123"/>
        <v/>
      </c>
      <c r="Z687" s="106"/>
      <c r="AA687" s="57"/>
    </row>
    <row r="688" spans="1:27" s="55" customFormat="1" ht="21" customHeight="1" x14ac:dyDescent="0.25">
      <c r="A688" s="56"/>
      <c r="B688" s="83" t="s">
        <v>84</v>
      </c>
      <c r="C688" s="66">
        <f>IF($J$1="January",R680,IF($J$1="February",R681,IF($J$1="March",R682,IF($J$1="April",R683,IF($J$1="May",R684,IF($J$1="June",R685,IF($J$1="July",R686,IF($J$1="August",R687,IF($J$1="August",R687,IF($J$1="September",R688,IF($J$1="October",R689,IF($J$1="November",R690,IF($J$1="December",R691)))))))))))))</f>
        <v>2</v>
      </c>
      <c r="D688" s="57"/>
      <c r="E688" s="57"/>
      <c r="F688" s="75" t="s">
        <v>83</v>
      </c>
      <c r="G688" s="196">
        <f>IF($J$1="January",Y680,IF($J$1="February",Y681,IF($J$1="March",Y682,IF($J$1="April",Y683,IF($J$1="May",Y684,IF($J$1="June",Y685,IF($J$1="July",Y686,IF($J$1="August",Y687,IF($J$1="August",Y687,IF($J$1="September",Y688,IF($J$1="October",Y689,IF($J$1="November",Y690,IF($J$1="December",Y691)))))))))))))</f>
        <v>14000</v>
      </c>
      <c r="H688" s="57"/>
      <c r="I688" s="295" t="s">
        <v>79</v>
      </c>
      <c r="J688" s="296"/>
      <c r="K688" s="84">
        <f>K686-K687</f>
        <v>14000</v>
      </c>
      <c r="L688" s="85"/>
      <c r="M688" s="57"/>
      <c r="N688" s="100"/>
      <c r="O688" s="101" t="s">
        <v>72</v>
      </c>
      <c r="P688" s="101"/>
      <c r="Q688" s="101"/>
      <c r="R688" s="101" t="str">
        <f t="shared" si="121"/>
        <v/>
      </c>
      <c r="S688" s="105"/>
      <c r="T688" s="101" t="s">
        <v>72</v>
      </c>
      <c r="U688" s="177"/>
      <c r="V688" s="103"/>
      <c r="W688" s="177" t="str">
        <f t="shared" si="122"/>
        <v/>
      </c>
      <c r="X688" s="103"/>
      <c r="Y688" s="177" t="str">
        <f t="shared" si="123"/>
        <v/>
      </c>
      <c r="Z688" s="106"/>
      <c r="AA688" s="57"/>
    </row>
    <row r="689" spans="1:27" s="55" customFormat="1" ht="21" customHeight="1" x14ac:dyDescent="0.25">
      <c r="A689" s="56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73"/>
      <c r="M689" s="57"/>
      <c r="N689" s="100"/>
      <c r="O689" s="101" t="s">
        <v>68</v>
      </c>
      <c r="P689" s="101"/>
      <c r="Q689" s="101"/>
      <c r="R689" s="101" t="str">
        <f t="shared" si="121"/>
        <v/>
      </c>
      <c r="S689" s="105"/>
      <c r="T689" s="101" t="s">
        <v>68</v>
      </c>
      <c r="U689" s="177"/>
      <c r="V689" s="103"/>
      <c r="W689" s="177" t="str">
        <f t="shared" si="122"/>
        <v/>
      </c>
      <c r="X689" s="103"/>
      <c r="Y689" s="177" t="str">
        <f t="shared" si="123"/>
        <v/>
      </c>
      <c r="Z689" s="106"/>
      <c r="AA689" s="57"/>
    </row>
    <row r="690" spans="1:27" s="55" customFormat="1" ht="21" customHeight="1" x14ac:dyDescent="0.25">
      <c r="A690" s="56"/>
      <c r="B690" s="284" t="s">
        <v>116</v>
      </c>
      <c r="C690" s="284"/>
      <c r="D690" s="284"/>
      <c r="E690" s="284"/>
      <c r="F690" s="284"/>
      <c r="G690" s="284"/>
      <c r="H690" s="284"/>
      <c r="I690" s="284"/>
      <c r="J690" s="284"/>
      <c r="K690" s="284"/>
      <c r="L690" s="73"/>
      <c r="M690" s="57"/>
      <c r="N690" s="100"/>
      <c r="O690" s="101" t="s">
        <v>73</v>
      </c>
      <c r="P690" s="101"/>
      <c r="Q690" s="101"/>
      <c r="R690" s="101" t="str">
        <f t="shared" si="121"/>
        <v/>
      </c>
      <c r="S690" s="105"/>
      <c r="T690" s="101" t="s">
        <v>73</v>
      </c>
      <c r="U690" s="177"/>
      <c r="V690" s="103"/>
      <c r="W690" s="177" t="str">
        <f t="shared" si="122"/>
        <v/>
      </c>
      <c r="X690" s="103"/>
      <c r="Y690" s="177" t="str">
        <f t="shared" si="123"/>
        <v/>
      </c>
      <c r="Z690" s="106"/>
      <c r="AA690" s="57"/>
    </row>
    <row r="691" spans="1:27" s="55" customFormat="1" ht="21" customHeight="1" x14ac:dyDescent="0.25">
      <c r="A691" s="56"/>
      <c r="B691" s="284"/>
      <c r="C691" s="284"/>
      <c r="D691" s="284"/>
      <c r="E691" s="284"/>
      <c r="F691" s="284"/>
      <c r="G691" s="284"/>
      <c r="H691" s="284"/>
      <c r="I691" s="284"/>
      <c r="J691" s="284"/>
      <c r="K691" s="284"/>
      <c r="L691" s="73"/>
      <c r="M691" s="57"/>
      <c r="N691" s="100"/>
      <c r="O691" s="101" t="s">
        <v>74</v>
      </c>
      <c r="P691" s="101"/>
      <c r="Q691" s="101"/>
      <c r="R691" s="101" t="str">
        <f t="shared" si="121"/>
        <v/>
      </c>
      <c r="S691" s="105"/>
      <c r="T691" s="101" t="s">
        <v>74</v>
      </c>
      <c r="U691" s="177"/>
      <c r="V691" s="103"/>
      <c r="W691" s="177" t="str">
        <f t="shared" si="122"/>
        <v/>
      </c>
      <c r="X691" s="103"/>
      <c r="Y691" s="177" t="str">
        <f t="shared" si="123"/>
        <v/>
      </c>
      <c r="Z691" s="106"/>
      <c r="AA691" s="57"/>
    </row>
    <row r="692" spans="1:27" s="55" customFormat="1" ht="21" customHeight="1" thickBot="1" x14ac:dyDescent="0.3">
      <c r="A692" s="86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8"/>
      <c r="N692" s="107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9"/>
    </row>
    <row r="693" spans="1:27" s="57" customFormat="1" ht="21" customHeight="1" thickBot="1" x14ac:dyDescent="0.3"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  <c r="Z693" s="105"/>
    </row>
    <row r="694" spans="1:27" s="55" customFormat="1" ht="21" customHeight="1" x14ac:dyDescent="0.25">
      <c r="A694" s="297" t="s">
        <v>56</v>
      </c>
      <c r="B694" s="298"/>
      <c r="C694" s="298"/>
      <c r="D694" s="298"/>
      <c r="E694" s="298"/>
      <c r="F694" s="298"/>
      <c r="G694" s="298"/>
      <c r="H694" s="298"/>
      <c r="I694" s="298"/>
      <c r="J694" s="298"/>
      <c r="K694" s="298"/>
      <c r="L694" s="299"/>
      <c r="M694" s="54"/>
      <c r="N694" s="93"/>
      <c r="O694" s="285" t="s">
        <v>58</v>
      </c>
      <c r="P694" s="286"/>
      <c r="Q694" s="286"/>
      <c r="R694" s="287"/>
      <c r="S694" s="94"/>
      <c r="T694" s="285" t="s">
        <v>59</v>
      </c>
      <c r="U694" s="286"/>
      <c r="V694" s="286"/>
      <c r="W694" s="286"/>
      <c r="X694" s="286"/>
      <c r="Y694" s="287"/>
      <c r="Z694" s="95"/>
      <c r="AA694" s="54"/>
    </row>
    <row r="695" spans="1:27" s="55" customFormat="1" ht="21" customHeight="1" x14ac:dyDescent="0.25">
      <c r="A695" s="56"/>
      <c r="B695" s="57"/>
      <c r="C695" s="288" t="s">
        <v>114</v>
      </c>
      <c r="D695" s="288"/>
      <c r="E695" s="288"/>
      <c r="F695" s="288"/>
      <c r="G695" s="58" t="str">
        <f>$J$1</f>
        <v>June</v>
      </c>
      <c r="H695" s="289">
        <f>$K$1</f>
        <v>2019</v>
      </c>
      <c r="I695" s="289"/>
      <c r="J695" s="57"/>
      <c r="K695" s="59"/>
      <c r="L695" s="60"/>
      <c r="M695" s="59"/>
      <c r="N695" s="96"/>
      <c r="O695" s="97" t="s">
        <v>69</v>
      </c>
      <c r="P695" s="97" t="s">
        <v>7</v>
      </c>
      <c r="Q695" s="97" t="s">
        <v>6</v>
      </c>
      <c r="R695" s="97" t="s">
        <v>70</v>
      </c>
      <c r="S695" s="98"/>
      <c r="T695" s="97" t="s">
        <v>69</v>
      </c>
      <c r="U695" s="97" t="s">
        <v>71</v>
      </c>
      <c r="V695" s="97" t="s">
        <v>29</v>
      </c>
      <c r="W695" s="97" t="s">
        <v>28</v>
      </c>
      <c r="X695" s="97" t="s">
        <v>30</v>
      </c>
      <c r="Y695" s="97" t="s">
        <v>75</v>
      </c>
      <c r="Z695" s="99"/>
      <c r="AA695" s="59"/>
    </row>
    <row r="696" spans="1:27" s="55" customFormat="1" ht="21" customHeight="1" x14ac:dyDescent="0.25">
      <c r="A696" s="56"/>
      <c r="B696" s="57"/>
      <c r="C696" s="57"/>
      <c r="D696" s="62"/>
      <c r="E696" s="62"/>
      <c r="F696" s="62"/>
      <c r="G696" s="62"/>
      <c r="H696" s="62"/>
      <c r="I696" s="57"/>
      <c r="J696" s="63" t="s">
        <v>1</v>
      </c>
      <c r="K696" s="64">
        <v>16000</v>
      </c>
      <c r="L696" s="65"/>
      <c r="M696" s="57"/>
      <c r="N696" s="100"/>
      <c r="O696" s="101" t="s">
        <v>61</v>
      </c>
      <c r="P696" s="101"/>
      <c r="Q696" s="101"/>
      <c r="R696" s="101"/>
      <c r="S696" s="102"/>
      <c r="T696" s="101" t="s">
        <v>61</v>
      </c>
      <c r="U696" s="103"/>
      <c r="V696" s="103"/>
      <c r="W696" s="103">
        <f>V696+U696</f>
        <v>0</v>
      </c>
      <c r="X696" s="103"/>
      <c r="Y696" s="103">
        <f>W696-X696</f>
        <v>0</v>
      </c>
      <c r="Z696" s="99"/>
      <c r="AA696" s="57"/>
    </row>
    <row r="697" spans="1:27" s="55" customFormat="1" ht="21" customHeight="1" x14ac:dyDescent="0.25">
      <c r="A697" s="56"/>
      <c r="B697" s="57" t="s">
        <v>0</v>
      </c>
      <c r="C697" s="67" t="s">
        <v>179</v>
      </c>
      <c r="D697" s="57"/>
      <c r="E697" s="57"/>
      <c r="F697" s="57"/>
      <c r="G697" s="57"/>
      <c r="H697" s="68"/>
      <c r="I697" s="62"/>
      <c r="J697" s="57"/>
      <c r="K697" s="57"/>
      <c r="L697" s="69"/>
      <c r="M697" s="54"/>
      <c r="N697" s="104"/>
      <c r="O697" s="101" t="s">
        <v>87</v>
      </c>
      <c r="P697" s="101"/>
      <c r="Q697" s="101"/>
      <c r="R697" s="101">
        <v>0</v>
      </c>
      <c r="S697" s="105"/>
      <c r="T697" s="101" t="s">
        <v>87</v>
      </c>
      <c r="U697" s="177"/>
      <c r="V697" s="103"/>
      <c r="W697" s="177" t="str">
        <f>IF(U697="","",U697+V697)</f>
        <v/>
      </c>
      <c r="X697" s="103"/>
      <c r="Y697" s="177" t="str">
        <f>IF(W697="","",W697-X697)</f>
        <v/>
      </c>
      <c r="Z697" s="106"/>
      <c r="AA697" s="54"/>
    </row>
    <row r="698" spans="1:27" s="55" customFormat="1" ht="21" customHeight="1" x14ac:dyDescent="0.25">
      <c r="A698" s="56"/>
      <c r="B698" s="71" t="s">
        <v>57</v>
      </c>
      <c r="C698" s="72"/>
      <c r="D698" s="57"/>
      <c r="E698" s="57"/>
      <c r="F698" s="290" t="s">
        <v>59</v>
      </c>
      <c r="G698" s="290"/>
      <c r="H698" s="57"/>
      <c r="I698" s="290" t="s">
        <v>60</v>
      </c>
      <c r="J698" s="290"/>
      <c r="K698" s="290"/>
      <c r="L698" s="73"/>
      <c r="M698" s="57"/>
      <c r="N698" s="100"/>
      <c r="O698" s="101" t="s">
        <v>62</v>
      </c>
      <c r="P698" s="101"/>
      <c r="Q698" s="101"/>
      <c r="R698" s="101">
        <v>0</v>
      </c>
      <c r="S698" s="105"/>
      <c r="T698" s="101" t="s">
        <v>62</v>
      </c>
      <c r="U698" s="177"/>
      <c r="V698" s="103"/>
      <c r="W698" s="177" t="str">
        <f t="shared" ref="W698:W707" si="124">IF(U698="","",U698+V698)</f>
        <v/>
      </c>
      <c r="X698" s="103"/>
      <c r="Y698" s="177" t="str">
        <f t="shared" ref="Y698:Y707" si="125">IF(W698="","",W698-X698)</f>
        <v/>
      </c>
      <c r="Z698" s="106"/>
      <c r="AA698" s="57"/>
    </row>
    <row r="699" spans="1:27" s="55" customFormat="1" ht="21" customHeight="1" x14ac:dyDescent="0.25">
      <c r="A699" s="56"/>
      <c r="B699" s="57"/>
      <c r="C699" s="57"/>
      <c r="D699" s="57"/>
      <c r="E699" s="57"/>
      <c r="F699" s="57"/>
      <c r="G699" s="57"/>
      <c r="H699" s="74"/>
      <c r="L699" s="61"/>
      <c r="M699" s="57"/>
      <c r="N699" s="100"/>
      <c r="O699" s="101" t="s">
        <v>63</v>
      </c>
      <c r="P699" s="101">
        <v>6</v>
      </c>
      <c r="Q699" s="101">
        <v>24</v>
      </c>
      <c r="R699" s="101">
        <v>0</v>
      </c>
      <c r="S699" s="105"/>
      <c r="T699" s="101" t="s">
        <v>63</v>
      </c>
      <c r="U699" s="177"/>
      <c r="V699" s="103"/>
      <c r="W699" s="177" t="str">
        <f t="shared" si="124"/>
        <v/>
      </c>
      <c r="X699" s="103"/>
      <c r="Y699" s="177" t="str">
        <f t="shared" si="125"/>
        <v/>
      </c>
      <c r="Z699" s="106"/>
      <c r="AA699" s="57"/>
    </row>
    <row r="700" spans="1:27" s="55" customFormat="1" ht="21" customHeight="1" x14ac:dyDescent="0.25">
      <c r="A700" s="56"/>
      <c r="B700" s="291" t="s">
        <v>58</v>
      </c>
      <c r="C700" s="292"/>
      <c r="D700" s="57"/>
      <c r="E700" s="57"/>
      <c r="F700" s="75" t="s">
        <v>80</v>
      </c>
      <c r="G700" s="70">
        <f>IF($J$1="January",U696,IF($J$1="February",U697,IF($J$1="March",U698,IF($J$1="April",U699,IF($J$1="May",U700,IF($J$1="June",U701,IF($J$1="July",U702,IF($J$1="August",U703,IF($J$1="August",U703,IF($J$1="September",U704,IF($J$1="October",U705,IF($J$1="November",U706,IF($J$1="December",U707)))))))))))))</f>
        <v>0</v>
      </c>
      <c r="H700" s="74"/>
      <c r="I700" s="76">
        <f>IF(C704&gt;0,$K$2,C702)</f>
        <v>26</v>
      </c>
      <c r="J700" s="77" t="s">
        <v>77</v>
      </c>
      <c r="K700" s="78">
        <f>K696/$K$2*I700</f>
        <v>13866.666666666668</v>
      </c>
      <c r="L700" s="79"/>
      <c r="M700" s="57"/>
      <c r="N700" s="100"/>
      <c r="O700" s="101" t="s">
        <v>64</v>
      </c>
      <c r="P700" s="101">
        <v>31</v>
      </c>
      <c r="Q700" s="101">
        <v>0</v>
      </c>
      <c r="R700" s="101">
        <v>0</v>
      </c>
      <c r="S700" s="105"/>
      <c r="T700" s="101" t="s">
        <v>64</v>
      </c>
      <c r="U700" s="177"/>
      <c r="V700" s="103"/>
      <c r="W700" s="177" t="str">
        <f t="shared" si="124"/>
        <v/>
      </c>
      <c r="X700" s="103"/>
      <c r="Y700" s="177" t="str">
        <f t="shared" si="125"/>
        <v/>
      </c>
      <c r="Z700" s="106"/>
      <c r="AA700" s="57"/>
    </row>
    <row r="701" spans="1:27" s="55" customFormat="1" ht="21" customHeight="1" x14ac:dyDescent="0.25">
      <c r="A701" s="56"/>
      <c r="B701" s="66"/>
      <c r="C701" s="66"/>
      <c r="D701" s="57"/>
      <c r="E701" s="57"/>
      <c r="F701" s="75" t="s">
        <v>29</v>
      </c>
      <c r="G701" s="70">
        <f>IF($J$1="January",V696,IF($J$1="February",V697,IF($J$1="March",V698,IF($J$1="April",V699,IF($J$1="May",V700,IF($J$1="June",V701,IF($J$1="July",V702,IF($J$1="August",V703,IF($J$1="August",V703,IF($J$1="September",V704,IF($J$1="October",V705,IF($J$1="November",V706,IF($J$1="December",V707)))))))))))))</f>
        <v>0</v>
      </c>
      <c r="H701" s="74"/>
      <c r="I701" s="120">
        <v>85</v>
      </c>
      <c r="J701" s="77" t="s">
        <v>78</v>
      </c>
      <c r="K701" s="80">
        <f>K696/$K$2/8*I701</f>
        <v>5666.666666666667</v>
      </c>
      <c r="L701" s="81"/>
      <c r="M701" s="57"/>
      <c r="N701" s="100"/>
      <c r="O701" s="101" t="s">
        <v>65</v>
      </c>
      <c r="P701" s="101">
        <v>26</v>
      </c>
      <c r="Q701" s="101">
        <v>4</v>
      </c>
      <c r="R701" s="101">
        <v>0</v>
      </c>
      <c r="S701" s="105"/>
      <c r="T701" s="101" t="s">
        <v>65</v>
      </c>
      <c r="U701" s="177"/>
      <c r="V701" s="103"/>
      <c r="W701" s="177" t="str">
        <f t="shared" si="124"/>
        <v/>
      </c>
      <c r="X701" s="103"/>
      <c r="Y701" s="177" t="str">
        <f t="shared" si="125"/>
        <v/>
      </c>
      <c r="Z701" s="106"/>
      <c r="AA701" s="57"/>
    </row>
    <row r="702" spans="1:27" s="55" customFormat="1" ht="21" customHeight="1" x14ac:dyDescent="0.25">
      <c r="A702" s="56"/>
      <c r="B702" s="75" t="s">
        <v>7</v>
      </c>
      <c r="C702" s="66">
        <f>IF($J$1="January",P696,IF($J$1="February",P697,IF($J$1="March",P698,IF($J$1="April",P699,IF($J$1="May",P700,IF($J$1="June",P701,IF($J$1="July",P702,IF($J$1="August",P703,IF($J$1="August",P703,IF($J$1="September",P704,IF($J$1="October",P705,IF($J$1="November",P706,IF($J$1="December",P707)))))))))))))</f>
        <v>26</v>
      </c>
      <c r="D702" s="57"/>
      <c r="E702" s="57"/>
      <c r="F702" s="75" t="s">
        <v>81</v>
      </c>
      <c r="G702" s="70" t="str">
        <f>IF($J$1="January",W696,IF($J$1="February",W697,IF($J$1="March",W698,IF($J$1="April",W699,IF($J$1="May",W700,IF($J$1="June",W701,IF($J$1="July",W702,IF($J$1="August",W703,IF($J$1="August",W703,IF($J$1="September",W704,IF($J$1="October",W705,IF($J$1="November",W706,IF($J$1="December",W707)))))))))))))</f>
        <v/>
      </c>
      <c r="H702" s="74"/>
      <c r="I702" s="293" t="s">
        <v>85</v>
      </c>
      <c r="J702" s="294"/>
      <c r="K702" s="80">
        <f>K700+K701</f>
        <v>19533.333333333336</v>
      </c>
      <c r="L702" s="81"/>
      <c r="M702" s="57"/>
      <c r="N702" s="100"/>
      <c r="O702" s="101" t="s">
        <v>66</v>
      </c>
      <c r="P702" s="101"/>
      <c r="Q702" s="101"/>
      <c r="R702" s="101">
        <v>0</v>
      </c>
      <c r="S702" s="105"/>
      <c r="T702" s="101" t="s">
        <v>66</v>
      </c>
      <c r="U702" s="177"/>
      <c r="V702" s="103"/>
      <c r="W702" s="177" t="str">
        <f t="shared" si="124"/>
        <v/>
      </c>
      <c r="X702" s="103"/>
      <c r="Y702" s="177" t="str">
        <f t="shared" si="125"/>
        <v/>
      </c>
      <c r="Z702" s="106"/>
      <c r="AA702" s="57"/>
    </row>
    <row r="703" spans="1:27" s="55" customFormat="1" ht="21" customHeight="1" x14ac:dyDescent="0.25">
      <c r="A703" s="56"/>
      <c r="B703" s="75" t="s">
        <v>6</v>
      </c>
      <c r="C703" s="66">
        <f>IF($J$1="January",Q696,IF($J$1="February",Q697,IF($J$1="March",Q698,IF($J$1="April",Q699,IF($J$1="May",Q700,IF($J$1="June",Q701,IF($J$1="July",Q702,IF($J$1="August",Q703,IF($J$1="August",Q703,IF($J$1="September",Q704,IF($J$1="October",Q705,IF($J$1="November",Q706,IF($J$1="December",Q707)))))))))))))</f>
        <v>4</v>
      </c>
      <c r="D703" s="57"/>
      <c r="E703" s="57"/>
      <c r="F703" s="75" t="s">
        <v>30</v>
      </c>
      <c r="G703" s="70">
        <f>IF($J$1="January",X696,IF($J$1="February",X697,IF($J$1="March",X698,IF($J$1="April",X699,IF($J$1="May",X700,IF($J$1="June",X701,IF($J$1="July",X702,IF($J$1="August",X703,IF($J$1="August",X703,IF($J$1="September",X704,IF($J$1="October",X705,IF($J$1="November",X706,IF($J$1="December",X707)))))))))))))</f>
        <v>0</v>
      </c>
      <c r="H703" s="74"/>
      <c r="I703" s="293" t="s">
        <v>86</v>
      </c>
      <c r="J703" s="294"/>
      <c r="K703" s="70">
        <f>G703</f>
        <v>0</v>
      </c>
      <c r="L703" s="82"/>
      <c r="M703" s="57"/>
      <c r="N703" s="100"/>
      <c r="O703" s="101" t="s">
        <v>67</v>
      </c>
      <c r="P703" s="101"/>
      <c r="Q703" s="101"/>
      <c r="R703" s="101">
        <v>0</v>
      </c>
      <c r="S703" s="105"/>
      <c r="T703" s="101" t="s">
        <v>67</v>
      </c>
      <c r="U703" s="177"/>
      <c r="V703" s="103"/>
      <c r="W703" s="177" t="str">
        <f t="shared" si="124"/>
        <v/>
      </c>
      <c r="X703" s="103"/>
      <c r="Y703" s="177" t="str">
        <f t="shared" si="125"/>
        <v/>
      </c>
      <c r="Z703" s="106"/>
      <c r="AA703" s="57"/>
    </row>
    <row r="704" spans="1:27" s="55" customFormat="1" ht="21" customHeight="1" x14ac:dyDescent="0.25">
      <c r="A704" s="56"/>
      <c r="B704" s="83" t="s">
        <v>84</v>
      </c>
      <c r="C704" s="66">
        <f>IF($J$1="January",R696,IF($J$1="February",R697,IF($J$1="March",R698,IF($J$1="April",R699,IF($J$1="May",R700,IF($J$1="June",R701,IF($J$1="July",R702,IF($J$1="August",R703,IF($J$1="August",R703,IF($J$1="September",R704,IF($J$1="October",R705,IF($J$1="November",R706,IF($J$1="December",R707)))))))))))))</f>
        <v>0</v>
      </c>
      <c r="D704" s="57"/>
      <c r="E704" s="57"/>
      <c r="F704" s="75" t="s">
        <v>83</v>
      </c>
      <c r="G704" s="70" t="str">
        <f>IF($J$1="January",Y696,IF($J$1="February",Y697,IF($J$1="March",Y698,IF($J$1="April",Y699,IF($J$1="May",Y700,IF($J$1="June",Y701,IF($J$1="July",Y702,IF($J$1="August",Y703,IF($J$1="August",Y703,IF($J$1="September",Y704,IF($J$1="October",Y705,IF($J$1="November",Y706,IF($J$1="December",Y707)))))))))))))</f>
        <v/>
      </c>
      <c r="H704" s="57"/>
      <c r="I704" s="295" t="s">
        <v>79</v>
      </c>
      <c r="J704" s="296"/>
      <c r="K704" s="84">
        <f>K702-K703</f>
        <v>19533.333333333336</v>
      </c>
      <c r="L704" s="85"/>
      <c r="M704" s="57"/>
      <c r="N704" s="100"/>
      <c r="O704" s="101" t="s">
        <v>72</v>
      </c>
      <c r="P704" s="101"/>
      <c r="Q704" s="101"/>
      <c r="R704" s="101">
        <v>0</v>
      </c>
      <c r="S704" s="105"/>
      <c r="T704" s="101" t="s">
        <v>72</v>
      </c>
      <c r="U704" s="177"/>
      <c r="V704" s="103"/>
      <c r="W704" s="177" t="str">
        <f t="shared" si="124"/>
        <v/>
      </c>
      <c r="X704" s="103"/>
      <c r="Y704" s="177" t="str">
        <f t="shared" si="125"/>
        <v/>
      </c>
      <c r="Z704" s="106"/>
      <c r="AA704" s="57"/>
    </row>
    <row r="705" spans="1:27" s="55" customFormat="1" ht="21" customHeight="1" x14ac:dyDescent="0.25">
      <c r="A705" s="56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73"/>
      <c r="M705" s="57"/>
      <c r="N705" s="100"/>
      <c r="O705" s="101" t="s">
        <v>68</v>
      </c>
      <c r="P705" s="101"/>
      <c r="Q705" s="101"/>
      <c r="R705" s="101">
        <v>0</v>
      </c>
      <c r="S705" s="105"/>
      <c r="T705" s="101" t="s">
        <v>68</v>
      </c>
      <c r="U705" s="177"/>
      <c r="V705" s="103"/>
      <c r="W705" s="177" t="str">
        <f t="shared" si="124"/>
        <v/>
      </c>
      <c r="X705" s="103"/>
      <c r="Y705" s="177" t="str">
        <f t="shared" si="125"/>
        <v/>
      </c>
      <c r="Z705" s="106"/>
      <c r="AA705" s="57"/>
    </row>
    <row r="706" spans="1:27" s="55" customFormat="1" ht="21" customHeight="1" x14ac:dyDescent="0.25">
      <c r="A706" s="56"/>
      <c r="B706" s="284" t="s">
        <v>116</v>
      </c>
      <c r="C706" s="284"/>
      <c r="D706" s="284"/>
      <c r="E706" s="284"/>
      <c r="F706" s="284"/>
      <c r="G706" s="284"/>
      <c r="H706" s="284"/>
      <c r="I706" s="284"/>
      <c r="J706" s="284"/>
      <c r="K706" s="284"/>
      <c r="L706" s="73"/>
      <c r="M706" s="57"/>
      <c r="N706" s="100"/>
      <c r="O706" s="101" t="s">
        <v>73</v>
      </c>
      <c r="P706" s="101"/>
      <c r="Q706" s="101"/>
      <c r="R706" s="101">
        <v>0</v>
      </c>
      <c r="S706" s="105"/>
      <c r="T706" s="101" t="s">
        <v>73</v>
      </c>
      <c r="U706" s="177"/>
      <c r="V706" s="103"/>
      <c r="W706" s="177" t="str">
        <f t="shared" si="124"/>
        <v/>
      </c>
      <c r="X706" s="103"/>
      <c r="Y706" s="177" t="str">
        <f t="shared" si="125"/>
        <v/>
      </c>
      <c r="Z706" s="106"/>
      <c r="AA706" s="57"/>
    </row>
    <row r="707" spans="1:27" s="55" customFormat="1" ht="21" customHeight="1" x14ac:dyDescent="0.25">
      <c r="A707" s="56"/>
      <c r="B707" s="284"/>
      <c r="C707" s="284"/>
      <c r="D707" s="284"/>
      <c r="E707" s="284"/>
      <c r="F707" s="284"/>
      <c r="G707" s="284"/>
      <c r="H707" s="284"/>
      <c r="I707" s="284"/>
      <c r="J707" s="284"/>
      <c r="K707" s="284"/>
      <c r="L707" s="73"/>
      <c r="M707" s="57"/>
      <c r="N707" s="100"/>
      <c r="O707" s="101" t="s">
        <v>74</v>
      </c>
      <c r="P707" s="101"/>
      <c r="Q707" s="101"/>
      <c r="R707" s="101">
        <v>0</v>
      </c>
      <c r="S707" s="105"/>
      <c r="T707" s="101" t="s">
        <v>74</v>
      </c>
      <c r="U707" s="177"/>
      <c r="V707" s="103"/>
      <c r="W707" s="177" t="str">
        <f t="shared" si="124"/>
        <v/>
      </c>
      <c r="X707" s="103"/>
      <c r="Y707" s="177" t="str">
        <f t="shared" si="125"/>
        <v/>
      </c>
      <c r="Z707" s="106"/>
      <c r="AA707" s="57"/>
    </row>
    <row r="708" spans="1:27" s="55" customFormat="1" ht="21" customHeight="1" thickBot="1" x14ac:dyDescent="0.3">
      <c r="A708" s="86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8"/>
      <c r="N708" s="107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9"/>
    </row>
    <row r="709" spans="1:27" s="57" customFormat="1" ht="21" customHeight="1" thickBot="1" x14ac:dyDescent="0.3"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  <c r="Z709" s="105"/>
    </row>
    <row r="710" spans="1:27" s="55" customFormat="1" ht="21" customHeight="1" x14ac:dyDescent="0.25">
      <c r="A710" s="317" t="s">
        <v>56</v>
      </c>
      <c r="B710" s="318"/>
      <c r="C710" s="318"/>
      <c r="D710" s="318"/>
      <c r="E710" s="318"/>
      <c r="F710" s="318"/>
      <c r="G710" s="318"/>
      <c r="H710" s="318"/>
      <c r="I710" s="318"/>
      <c r="J710" s="318"/>
      <c r="K710" s="318"/>
      <c r="L710" s="319"/>
      <c r="M710" s="54"/>
      <c r="N710" s="93"/>
      <c r="O710" s="285" t="s">
        <v>58</v>
      </c>
      <c r="P710" s="286"/>
      <c r="Q710" s="286"/>
      <c r="R710" s="287"/>
      <c r="S710" s="94"/>
      <c r="T710" s="285" t="s">
        <v>59</v>
      </c>
      <c r="U710" s="286"/>
      <c r="V710" s="286"/>
      <c r="W710" s="286"/>
      <c r="X710" s="286"/>
      <c r="Y710" s="287"/>
      <c r="Z710" s="95"/>
      <c r="AA710" s="54"/>
    </row>
    <row r="711" spans="1:27" s="55" customFormat="1" ht="21" customHeight="1" x14ac:dyDescent="0.25">
      <c r="A711" s="56"/>
      <c r="B711" s="57"/>
      <c r="C711" s="288" t="s">
        <v>114</v>
      </c>
      <c r="D711" s="288"/>
      <c r="E711" s="288"/>
      <c r="F711" s="288"/>
      <c r="G711" s="58" t="str">
        <f>$J$1</f>
        <v>June</v>
      </c>
      <c r="H711" s="289">
        <f>$K$1</f>
        <v>2019</v>
      </c>
      <c r="I711" s="289"/>
      <c r="J711" s="57"/>
      <c r="K711" s="59"/>
      <c r="L711" s="60"/>
      <c r="M711" s="59"/>
      <c r="N711" s="96"/>
      <c r="O711" s="97" t="s">
        <v>69</v>
      </c>
      <c r="P711" s="97" t="s">
        <v>7</v>
      </c>
      <c r="Q711" s="97" t="s">
        <v>6</v>
      </c>
      <c r="R711" s="97" t="s">
        <v>70</v>
      </c>
      <c r="S711" s="98"/>
      <c r="T711" s="97" t="s">
        <v>69</v>
      </c>
      <c r="U711" s="97" t="s">
        <v>71</v>
      </c>
      <c r="V711" s="97" t="s">
        <v>29</v>
      </c>
      <c r="W711" s="97" t="s">
        <v>28</v>
      </c>
      <c r="X711" s="97" t="s">
        <v>30</v>
      </c>
      <c r="Y711" s="97" t="s">
        <v>75</v>
      </c>
      <c r="Z711" s="99"/>
      <c r="AA711" s="59"/>
    </row>
    <row r="712" spans="1:27" s="55" customFormat="1" ht="21" customHeight="1" x14ac:dyDescent="0.25">
      <c r="A712" s="56"/>
      <c r="B712" s="57"/>
      <c r="C712" s="57"/>
      <c r="D712" s="62"/>
      <c r="E712" s="62"/>
      <c r="F712" s="62"/>
      <c r="G712" s="62"/>
      <c r="H712" s="62"/>
      <c r="I712" s="57"/>
      <c r="J712" s="63" t="s">
        <v>1</v>
      </c>
      <c r="K712" s="64"/>
      <c r="L712" s="65"/>
      <c r="M712" s="57"/>
      <c r="N712" s="100"/>
      <c r="O712" s="101" t="s">
        <v>61</v>
      </c>
      <c r="P712" s="101"/>
      <c r="Q712" s="101"/>
      <c r="R712" s="101">
        <v>15</v>
      </c>
      <c r="S712" s="102"/>
      <c r="T712" s="101" t="s">
        <v>61</v>
      </c>
      <c r="U712" s="103"/>
      <c r="V712" s="103"/>
      <c r="W712" s="103">
        <f>V712+U712</f>
        <v>0</v>
      </c>
      <c r="X712" s="103"/>
      <c r="Y712" s="103">
        <f>W712-X712</f>
        <v>0</v>
      </c>
      <c r="Z712" s="99"/>
      <c r="AA712" s="57"/>
    </row>
    <row r="713" spans="1:27" s="55" customFormat="1" ht="21" customHeight="1" x14ac:dyDescent="0.25">
      <c r="A713" s="56"/>
      <c r="B713" s="57" t="s">
        <v>0</v>
      </c>
      <c r="C713" s="67"/>
      <c r="D713" s="57"/>
      <c r="E713" s="57"/>
      <c r="F713" s="57"/>
      <c r="G713" s="57"/>
      <c r="H713" s="68"/>
      <c r="I713" s="62"/>
      <c r="J713" s="57"/>
      <c r="K713" s="57"/>
      <c r="L713" s="69"/>
      <c r="M713" s="54"/>
      <c r="N713" s="104"/>
      <c r="O713" s="101" t="s">
        <v>87</v>
      </c>
      <c r="P713" s="101"/>
      <c r="Q713" s="101"/>
      <c r="R713" s="101" t="str">
        <f>IF(Q713="","",R712-Q713)</f>
        <v/>
      </c>
      <c r="S713" s="105"/>
      <c r="T713" s="101" t="s">
        <v>87</v>
      </c>
      <c r="U713" s="177">
        <f>Y712</f>
        <v>0</v>
      </c>
      <c r="V713" s="103"/>
      <c r="W713" s="177">
        <f>IF(U713="","",U713+V713)</f>
        <v>0</v>
      </c>
      <c r="X713" s="103"/>
      <c r="Y713" s="177">
        <f>IF(W713="","",W713-X713)</f>
        <v>0</v>
      </c>
      <c r="Z713" s="106"/>
      <c r="AA713" s="54"/>
    </row>
    <row r="714" spans="1:27" s="55" customFormat="1" ht="21" customHeight="1" x14ac:dyDescent="0.25">
      <c r="A714" s="56"/>
      <c r="B714" s="71" t="s">
        <v>57</v>
      </c>
      <c r="C714" s="72"/>
      <c r="D714" s="57"/>
      <c r="E714" s="57"/>
      <c r="F714" s="290" t="s">
        <v>59</v>
      </c>
      <c r="G714" s="290"/>
      <c r="H714" s="57"/>
      <c r="I714" s="290" t="s">
        <v>60</v>
      </c>
      <c r="J714" s="290"/>
      <c r="K714" s="290"/>
      <c r="L714" s="73"/>
      <c r="M714" s="57"/>
      <c r="N714" s="100"/>
      <c r="O714" s="101" t="s">
        <v>62</v>
      </c>
      <c r="P714" s="101"/>
      <c r="Q714" s="101"/>
      <c r="R714" s="101" t="str">
        <f t="shared" ref="R714:R723" si="126">IF(Q714="","",R713-Q714)</f>
        <v/>
      </c>
      <c r="S714" s="105"/>
      <c r="T714" s="101" t="s">
        <v>62</v>
      </c>
      <c r="U714" s="177">
        <f>IF($J$1="April",Y713,Y713)</f>
        <v>0</v>
      </c>
      <c r="V714" s="103"/>
      <c r="W714" s="177">
        <f t="shared" ref="W714:W723" si="127">IF(U714="","",U714+V714)</f>
        <v>0</v>
      </c>
      <c r="X714" s="103"/>
      <c r="Y714" s="177">
        <f t="shared" ref="Y714:Y723" si="128">IF(W714="","",W714-X714)</f>
        <v>0</v>
      </c>
      <c r="Z714" s="106"/>
      <c r="AA714" s="57"/>
    </row>
    <row r="715" spans="1:27" s="55" customFormat="1" ht="21" customHeight="1" x14ac:dyDescent="0.25">
      <c r="A715" s="56"/>
      <c r="B715" s="57"/>
      <c r="C715" s="57"/>
      <c r="D715" s="57"/>
      <c r="E715" s="57"/>
      <c r="F715" s="57"/>
      <c r="G715" s="57"/>
      <c r="H715" s="74"/>
      <c r="L715" s="61"/>
      <c r="M715" s="57"/>
      <c r="N715" s="100"/>
      <c r="O715" s="101" t="s">
        <v>63</v>
      </c>
      <c r="P715" s="101"/>
      <c r="Q715" s="101"/>
      <c r="R715" s="101" t="str">
        <f t="shared" si="126"/>
        <v/>
      </c>
      <c r="S715" s="105"/>
      <c r="T715" s="101" t="s">
        <v>63</v>
      </c>
      <c r="U715" s="177">
        <f>IF($J$1="April",Y714,Y714)</f>
        <v>0</v>
      </c>
      <c r="V715" s="103"/>
      <c r="W715" s="177">
        <f t="shared" si="127"/>
        <v>0</v>
      </c>
      <c r="X715" s="103"/>
      <c r="Y715" s="177">
        <f t="shared" si="128"/>
        <v>0</v>
      </c>
      <c r="Z715" s="106"/>
      <c r="AA715" s="57"/>
    </row>
    <row r="716" spans="1:27" s="55" customFormat="1" ht="21" customHeight="1" x14ac:dyDescent="0.25">
      <c r="A716" s="56"/>
      <c r="B716" s="291" t="s">
        <v>58</v>
      </c>
      <c r="C716" s="292"/>
      <c r="D716" s="57"/>
      <c r="E716" s="57"/>
      <c r="F716" s="75" t="s">
        <v>80</v>
      </c>
      <c r="G716" s="70">
        <f>IF($J$1="January",U712,IF($J$1="February",U713,IF($J$1="March",U714,IF($J$1="April",U715,IF($J$1="May",U716,IF($J$1="June",U717,IF($J$1="July",U718,IF($J$1="August",U719,IF($J$1="August",U719,IF($J$1="September",U720,IF($J$1="October",U721,IF($J$1="November",U722,IF($J$1="December",U723)))))))))))))</f>
        <v>0</v>
      </c>
      <c r="H716" s="74"/>
      <c r="I716" s="76"/>
      <c r="J716" s="77" t="s">
        <v>77</v>
      </c>
      <c r="K716" s="78">
        <f>K712/$K$2*I716</f>
        <v>0</v>
      </c>
      <c r="L716" s="79"/>
      <c r="M716" s="57"/>
      <c r="N716" s="100"/>
      <c r="O716" s="101" t="s">
        <v>64</v>
      </c>
      <c r="P716" s="101"/>
      <c r="Q716" s="101"/>
      <c r="R716" s="101" t="str">
        <f t="shared" si="126"/>
        <v/>
      </c>
      <c r="S716" s="105"/>
      <c r="T716" s="101" t="s">
        <v>64</v>
      </c>
      <c r="U716" s="177">
        <f>IF($J$1="May",Y715,Y715)</f>
        <v>0</v>
      </c>
      <c r="V716" s="103"/>
      <c r="W716" s="177">
        <f t="shared" si="127"/>
        <v>0</v>
      </c>
      <c r="X716" s="103"/>
      <c r="Y716" s="177">
        <f t="shared" si="128"/>
        <v>0</v>
      </c>
      <c r="Z716" s="106"/>
      <c r="AA716" s="57"/>
    </row>
    <row r="717" spans="1:27" s="55" customFormat="1" ht="21" customHeight="1" x14ac:dyDescent="0.25">
      <c r="A717" s="56"/>
      <c r="B717" s="66"/>
      <c r="C717" s="66"/>
      <c r="D717" s="57"/>
      <c r="E717" s="57"/>
      <c r="F717" s="75" t="s">
        <v>29</v>
      </c>
      <c r="G717" s="70">
        <f>IF($J$1="January",V712,IF($J$1="February",V713,IF($J$1="March",V714,IF($J$1="April",V715,IF($J$1="May",V716,IF($J$1="June",V717,IF($J$1="July",V718,IF($J$1="August",V719,IF($J$1="August",V719,IF($J$1="September",V720,IF($J$1="October",V721,IF($J$1="November",V722,IF($J$1="December",V723)))))))))))))</f>
        <v>0</v>
      </c>
      <c r="H717" s="74"/>
      <c r="I717" s="76"/>
      <c r="J717" s="77" t="s">
        <v>78</v>
      </c>
      <c r="K717" s="80">
        <f>K712/$K$2/8*I717</f>
        <v>0</v>
      </c>
      <c r="L717" s="81"/>
      <c r="M717" s="57"/>
      <c r="N717" s="100"/>
      <c r="O717" s="101" t="s">
        <v>65</v>
      </c>
      <c r="P717" s="101"/>
      <c r="Q717" s="101"/>
      <c r="R717" s="101" t="str">
        <f t="shared" si="126"/>
        <v/>
      </c>
      <c r="S717" s="105"/>
      <c r="T717" s="101" t="s">
        <v>65</v>
      </c>
      <c r="U717" s="177">
        <f>IF($J$1="May",Y716,Y716)</f>
        <v>0</v>
      </c>
      <c r="V717" s="103"/>
      <c r="W717" s="177">
        <f t="shared" si="127"/>
        <v>0</v>
      </c>
      <c r="X717" s="103"/>
      <c r="Y717" s="177">
        <f t="shared" si="128"/>
        <v>0</v>
      </c>
      <c r="Z717" s="106"/>
      <c r="AA717" s="57"/>
    </row>
    <row r="718" spans="1:27" s="55" customFormat="1" ht="21" customHeight="1" x14ac:dyDescent="0.25">
      <c r="A718" s="56"/>
      <c r="B718" s="75" t="s">
        <v>7</v>
      </c>
      <c r="C718" s="66">
        <f>IF($J$1="January",P712,IF($J$1="February",P713,IF($J$1="March",P714,IF($J$1="April",P715,IF($J$1="May",P716,IF($J$1="June",P717,IF($J$1="July",P718,IF($J$1="August",P719,IF($J$1="August",P719,IF($J$1="September",P720,IF($J$1="October",P721,IF($J$1="November",P722,IF($J$1="December",P723)))))))))))))</f>
        <v>0</v>
      </c>
      <c r="D718" s="57"/>
      <c r="E718" s="57"/>
      <c r="F718" s="75" t="s">
        <v>81</v>
      </c>
      <c r="G718" s="70">
        <f>IF($J$1="January",W712,IF($J$1="February",W713,IF($J$1="March",W714,IF($J$1="April",W715,IF($J$1="May",W716,IF($J$1="June",W717,IF($J$1="July",W718,IF($J$1="August",W719,IF($J$1="August",W719,IF($J$1="September",W720,IF($J$1="October",W721,IF($J$1="November",W722,IF($J$1="December",W723)))))))))))))</f>
        <v>0</v>
      </c>
      <c r="H718" s="74"/>
      <c r="I718" s="293" t="s">
        <v>85</v>
      </c>
      <c r="J718" s="294"/>
      <c r="K718" s="80">
        <f>K716+K717</f>
        <v>0</v>
      </c>
      <c r="L718" s="81"/>
      <c r="M718" s="57"/>
      <c r="N718" s="100"/>
      <c r="O718" s="101" t="s">
        <v>66</v>
      </c>
      <c r="P718" s="101"/>
      <c r="Q718" s="101"/>
      <c r="R718" s="101" t="str">
        <f t="shared" si="126"/>
        <v/>
      </c>
      <c r="S718" s="105"/>
      <c r="T718" s="101" t="s">
        <v>66</v>
      </c>
      <c r="U718" s="177" t="str">
        <f>IF($J$1="September",Y717,"")</f>
        <v/>
      </c>
      <c r="V718" s="103"/>
      <c r="W718" s="177" t="str">
        <f t="shared" si="127"/>
        <v/>
      </c>
      <c r="X718" s="103"/>
      <c r="Y718" s="177" t="str">
        <f t="shared" si="128"/>
        <v/>
      </c>
      <c r="Z718" s="106"/>
      <c r="AA718" s="57"/>
    </row>
    <row r="719" spans="1:27" s="55" customFormat="1" ht="21" customHeight="1" x14ac:dyDescent="0.25">
      <c r="A719" s="56"/>
      <c r="B719" s="75" t="s">
        <v>6</v>
      </c>
      <c r="C719" s="66">
        <f>IF($J$1="January",Q712,IF($J$1="February",Q713,IF($J$1="March",Q714,IF($J$1="April",Q715,IF($J$1="May",Q716,IF($J$1="June",Q717,IF($J$1="July",Q718,IF($J$1="August",Q719,IF($J$1="August",Q719,IF($J$1="September",Q720,IF($J$1="October",Q721,IF($J$1="November",Q722,IF($J$1="December",Q723)))))))))))))</f>
        <v>0</v>
      </c>
      <c r="D719" s="57"/>
      <c r="E719" s="57"/>
      <c r="F719" s="75" t="s">
        <v>30</v>
      </c>
      <c r="G719" s="70">
        <f>IF($J$1="January",X712,IF($J$1="February",X713,IF($J$1="March",X714,IF($J$1="April",X715,IF($J$1="May",X716,IF($J$1="June",X717,IF($J$1="July",X718,IF($J$1="August",X719,IF($J$1="August",X719,IF($J$1="September",X720,IF($J$1="October",X721,IF($J$1="November",X722,IF($J$1="December",X723)))))))))))))</f>
        <v>0</v>
      </c>
      <c r="H719" s="74"/>
      <c r="I719" s="293" t="s">
        <v>86</v>
      </c>
      <c r="J719" s="294"/>
      <c r="K719" s="70">
        <f>G719</f>
        <v>0</v>
      </c>
      <c r="L719" s="82"/>
      <c r="M719" s="57"/>
      <c r="N719" s="100"/>
      <c r="O719" s="101" t="s">
        <v>67</v>
      </c>
      <c r="P719" s="101"/>
      <c r="Q719" s="101"/>
      <c r="R719" s="101" t="str">
        <f t="shared" si="126"/>
        <v/>
      </c>
      <c r="S719" s="105"/>
      <c r="T719" s="101" t="s">
        <v>67</v>
      </c>
      <c r="U719" s="177" t="str">
        <f>IF($J$1="September",Y718,"")</f>
        <v/>
      </c>
      <c r="V719" s="103"/>
      <c r="W719" s="177" t="str">
        <f t="shared" si="127"/>
        <v/>
      </c>
      <c r="X719" s="103"/>
      <c r="Y719" s="177" t="str">
        <f t="shared" si="128"/>
        <v/>
      </c>
      <c r="Z719" s="106"/>
      <c r="AA719" s="57"/>
    </row>
    <row r="720" spans="1:27" s="55" customFormat="1" ht="21" customHeight="1" x14ac:dyDescent="0.25">
      <c r="A720" s="56"/>
      <c r="B720" s="83" t="s">
        <v>84</v>
      </c>
      <c r="C720" s="66" t="str">
        <f>IF($J$1="January",R712,IF($J$1="February",R713,IF($J$1="March",R714,IF($J$1="April",R715,IF($J$1="May",R716,IF($J$1="June",R717,IF($J$1="July",R718,IF($J$1="August",R719,IF($J$1="August",R719,IF($J$1="September",R720,IF($J$1="October",R721,IF($J$1="November",R722,IF($J$1="December",R723)))))))))))))</f>
        <v/>
      </c>
      <c r="D720" s="57"/>
      <c r="E720" s="57"/>
      <c r="F720" s="75" t="s">
        <v>83</v>
      </c>
      <c r="G720" s="70">
        <f>IF($J$1="January",Y712,IF($J$1="February",Y713,IF($J$1="March",Y714,IF($J$1="April",Y715,IF($J$1="May",Y716,IF($J$1="June",Y717,IF($J$1="July",Y718,IF($J$1="August",Y719,IF($J$1="August",Y719,IF($J$1="September",Y720,IF($J$1="October",Y721,IF($J$1="November",Y722,IF($J$1="December",Y723)))))))))))))</f>
        <v>0</v>
      </c>
      <c r="H720" s="57"/>
      <c r="I720" s="295" t="s">
        <v>79</v>
      </c>
      <c r="J720" s="296"/>
      <c r="K720" s="84">
        <f>K718-K719</f>
        <v>0</v>
      </c>
      <c r="L720" s="85"/>
      <c r="M720" s="57"/>
      <c r="N720" s="100"/>
      <c r="O720" s="101" t="s">
        <v>72</v>
      </c>
      <c r="P720" s="101"/>
      <c r="Q720" s="101"/>
      <c r="R720" s="101" t="str">
        <f t="shared" si="126"/>
        <v/>
      </c>
      <c r="S720" s="105"/>
      <c r="T720" s="101" t="s">
        <v>72</v>
      </c>
      <c r="U720" s="177" t="str">
        <f>IF($J$1="Sept",Y719,"")</f>
        <v/>
      </c>
      <c r="V720" s="103"/>
      <c r="W720" s="177" t="str">
        <f t="shared" si="127"/>
        <v/>
      </c>
      <c r="X720" s="103"/>
      <c r="Y720" s="177" t="str">
        <f t="shared" si="128"/>
        <v/>
      </c>
      <c r="Z720" s="106"/>
      <c r="AA720" s="57"/>
    </row>
    <row r="721" spans="1:27" s="55" customFormat="1" ht="21" customHeight="1" x14ac:dyDescent="0.25">
      <c r="A721" s="56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73"/>
      <c r="M721" s="57"/>
      <c r="N721" s="100"/>
      <c r="O721" s="101" t="s">
        <v>68</v>
      </c>
      <c r="P721" s="101"/>
      <c r="Q721" s="101"/>
      <c r="R721" s="101" t="str">
        <f t="shared" si="126"/>
        <v/>
      </c>
      <c r="S721" s="105"/>
      <c r="T721" s="101" t="s">
        <v>68</v>
      </c>
      <c r="U721" s="177" t="str">
        <f>IF($J$1="October",Y720,"")</f>
        <v/>
      </c>
      <c r="V721" s="103"/>
      <c r="W721" s="177" t="str">
        <f t="shared" si="127"/>
        <v/>
      </c>
      <c r="X721" s="103"/>
      <c r="Y721" s="177" t="str">
        <f t="shared" si="128"/>
        <v/>
      </c>
      <c r="Z721" s="106"/>
      <c r="AA721" s="57"/>
    </row>
    <row r="722" spans="1:27" s="55" customFormat="1" ht="21" customHeight="1" x14ac:dyDescent="0.25">
      <c r="A722" s="56"/>
      <c r="B722" s="284" t="s">
        <v>116</v>
      </c>
      <c r="C722" s="284"/>
      <c r="D722" s="284"/>
      <c r="E722" s="284"/>
      <c r="F722" s="284"/>
      <c r="G722" s="284"/>
      <c r="H722" s="284"/>
      <c r="I722" s="284"/>
      <c r="J722" s="284"/>
      <c r="K722" s="284"/>
      <c r="L722" s="73"/>
      <c r="M722" s="57"/>
      <c r="N722" s="100"/>
      <c r="O722" s="101" t="s">
        <v>73</v>
      </c>
      <c r="P722" s="101"/>
      <c r="Q722" s="101"/>
      <c r="R722" s="101" t="str">
        <f t="shared" si="126"/>
        <v/>
      </c>
      <c r="S722" s="105"/>
      <c r="T722" s="101" t="s">
        <v>73</v>
      </c>
      <c r="U722" s="177" t="str">
        <f>IF($J$1="November",Y721,"")</f>
        <v/>
      </c>
      <c r="V722" s="103"/>
      <c r="W722" s="177" t="str">
        <f t="shared" si="127"/>
        <v/>
      </c>
      <c r="X722" s="103"/>
      <c r="Y722" s="177" t="str">
        <f t="shared" si="128"/>
        <v/>
      </c>
      <c r="Z722" s="106"/>
      <c r="AA722" s="57"/>
    </row>
    <row r="723" spans="1:27" s="55" customFormat="1" ht="21" customHeight="1" x14ac:dyDescent="0.25">
      <c r="A723" s="56"/>
      <c r="B723" s="284"/>
      <c r="C723" s="284"/>
      <c r="D723" s="284"/>
      <c r="E723" s="284"/>
      <c r="F723" s="284"/>
      <c r="G723" s="284"/>
      <c r="H723" s="284"/>
      <c r="I723" s="284"/>
      <c r="J723" s="284"/>
      <c r="K723" s="284"/>
      <c r="L723" s="73"/>
      <c r="M723" s="57"/>
      <c r="N723" s="100"/>
      <c r="O723" s="101" t="s">
        <v>74</v>
      </c>
      <c r="P723" s="101"/>
      <c r="Q723" s="101"/>
      <c r="R723" s="101" t="str">
        <f t="shared" si="126"/>
        <v/>
      </c>
      <c r="S723" s="105"/>
      <c r="T723" s="101" t="s">
        <v>74</v>
      </c>
      <c r="U723" s="177" t="str">
        <f>IF($J$1="Dec",Y722,"")</f>
        <v/>
      </c>
      <c r="V723" s="103"/>
      <c r="W723" s="177" t="str">
        <f t="shared" si="127"/>
        <v/>
      </c>
      <c r="X723" s="103"/>
      <c r="Y723" s="177" t="str">
        <f t="shared" si="128"/>
        <v/>
      </c>
      <c r="Z723" s="106"/>
      <c r="AA723" s="57"/>
    </row>
    <row r="724" spans="1:27" s="55" customFormat="1" ht="21" customHeight="1" thickBot="1" x14ac:dyDescent="0.3">
      <c r="A724" s="86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8"/>
      <c r="N724" s="107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9"/>
    </row>
    <row r="725" spans="1:27" s="57" customFormat="1" ht="21" customHeight="1" thickBot="1" x14ac:dyDescent="0.3"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  <c r="Z725" s="105"/>
    </row>
    <row r="726" spans="1:27" s="55" customFormat="1" ht="21" customHeight="1" x14ac:dyDescent="0.25">
      <c r="A726" s="297" t="s">
        <v>56</v>
      </c>
      <c r="B726" s="298"/>
      <c r="C726" s="298"/>
      <c r="D726" s="298"/>
      <c r="E726" s="298"/>
      <c r="F726" s="298"/>
      <c r="G726" s="298"/>
      <c r="H726" s="298"/>
      <c r="I726" s="298"/>
      <c r="J726" s="298"/>
      <c r="K726" s="298"/>
      <c r="L726" s="299"/>
      <c r="M726" s="54"/>
      <c r="N726" s="93"/>
      <c r="O726" s="285" t="s">
        <v>58</v>
      </c>
      <c r="P726" s="286"/>
      <c r="Q726" s="286"/>
      <c r="R726" s="287"/>
      <c r="S726" s="94"/>
      <c r="T726" s="285" t="s">
        <v>59</v>
      </c>
      <c r="U726" s="286"/>
      <c r="V726" s="286"/>
      <c r="W726" s="286"/>
      <c r="X726" s="286"/>
      <c r="Y726" s="287"/>
      <c r="Z726" s="95"/>
      <c r="AA726" s="54"/>
    </row>
    <row r="727" spans="1:27" s="55" customFormat="1" ht="21" customHeight="1" x14ac:dyDescent="0.25">
      <c r="A727" s="56"/>
      <c r="B727" s="57"/>
      <c r="C727" s="288" t="s">
        <v>114</v>
      </c>
      <c r="D727" s="288"/>
      <c r="E727" s="288"/>
      <c r="F727" s="288"/>
      <c r="G727" s="58" t="str">
        <f>$J$1</f>
        <v>June</v>
      </c>
      <c r="H727" s="289">
        <f>$K$1</f>
        <v>2019</v>
      </c>
      <c r="I727" s="289"/>
      <c r="J727" s="57"/>
      <c r="K727" s="59"/>
      <c r="L727" s="60"/>
      <c r="M727" s="59"/>
      <c r="N727" s="96"/>
      <c r="O727" s="97" t="s">
        <v>69</v>
      </c>
      <c r="P727" s="97" t="s">
        <v>7</v>
      </c>
      <c r="Q727" s="97" t="s">
        <v>6</v>
      </c>
      <c r="R727" s="97" t="s">
        <v>70</v>
      </c>
      <c r="S727" s="98"/>
      <c r="T727" s="97" t="s">
        <v>69</v>
      </c>
      <c r="U727" s="97" t="s">
        <v>71</v>
      </c>
      <c r="V727" s="97" t="s">
        <v>29</v>
      </c>
      <c r="W727" s="97" t="s">
        <v>28</v>
      </c>
      <c r="X727" s="97" t="s">
        <v>30</v>
      </c>
      <c r="Y727" s="97" t="s">
        <v>75</v>
      </c>
      <c r="Z727" s="99"/>
      <c r="AA727" s="59"/>
    </row>
    <row r="728" spans="1:27" s="55" customFormat="1" ht="21" customHeight="1" x14ac:dyDescent="0.25">
      <c r="A728" s="56"/>
      <c r="B728" s="57"/>
      <c r="C728" s="57"/>
      <c r="D728" s="62"/>
      <c r="E728" s="62"/>
      <c r="F728" s="62"/>
      <c r="G728" s="62"/>
      <c r="H728" s="62"/>
      <c r="I728" s="57"/>
      <c r="J728" s="63" t="s">
        <v>1</v>
      </c>
      <c r="K728" s="64">
        <v>18000</v>
      </c>
      <c r="L728" s="65"/>
      <c r="M728" s="57"/>
      <c r="N728" s="100"/>
      <c r="O728" s="101" t="s">
        <v>61</v>
      </c>
      <c r="P728" s="101"/>
      <c r="Q728" s="101"/>
      <c r="R728" s="101"/>
      <c r="S728" s="102"/>
      <c r="T728" s="101" t="s">
        <v>61</v>
      </c>
      <c r="U728" s="103"/>
      <c r="V728" s="103"/>
      <c r="W728" s="103">
        <f>V728+U728</f>
        <v>0</v>
      </c>
      <c r="X728" s="103"/>
      <c r="Y728" s="103">
        <f>W728-X728</f>
        <v>0</v>
      </c>
      <c r="Z728" s="99"/>
      <c r="AA728" s="57"/>
    </row>
    <row r="729" spans="1:27" s="55" customFormat="1" ht="21" customHeight="1" x14ac:dyDescent="0.25">
      <c r="A729" s="56"/>
      <c r="B729" s="57" t="s">
        <v>0</v>
      </c>
      <c r="C729" s="67" t="s">
        <v>185</v>
      </c>
      <c r="D729" s="57"/>
      <c r="E729" s="57"/>
      <c r="F729" s="57"/>
      <c r="G729" s="57"/>
      <c r="H729" s="68"/>
      <c r="I729" s="62"/>
      <c r="J729" s="57"/>
      <c r="K729" s="57"/>
      <c r="L729" s="69"/>
      <c r="M729" s="54"/>
      <c r="N729" s="104"/>
      <c r="O729" s="101" t="s">
        <v>87</v>
      </c>
      <c r="P729" s="101"/>
      <c r="Q729" s="101"/>
      <c r="R729" s="101"/>
      <c r="S729" s="105"/>
      <c r="T729" s="101" t="s">
        <v>87</v>
      </c>
      <c r="U729" s="177">
        <f>Y728</f>
        <v>0</v>
      </c>
      <c r="V729" s="103"/>
      <c r="W729" s="177">
        <f>IF(U729="","",U729+V729)</f>
        <v>0</v>
      </c>
      <c r="X729" s="103"/>
      <c r="Y729" s="177">
        <f>IF(W729="","",W729-X729)</f>
        <v>0</v>
      </c>
      <c r="Z729" s="106"/>
      <c r="AA729" s="54"/>
    </row>
    <row r="730" spans="1:27" s="55" customFormat="1" ht="21" customHeight="1" x14ac:dyDescent="0.25">
      <c r="A730" s="56"/>
      <c r="B730" s="71" t="s">
        <v>57</v>
      </c>
      <c r="C730" s="72"/>
      <c r="D730" s="57"/>
      <c r="E730" s="57"/>
      <c r="F730" s="290" t="s">
        <v>59</v>
      </c>
      <c r="G730" s="290"/>
      <c r="H730" s="57"/>
      <c r="I730" s="290" t="s">
        <v>60</v>
      </c>
      <c r="J730" s="290"/>
      <c r="K730" s="290"/>
      <c r="L730" s="73"/>
      <c r="M730" s="57"/>
      <c r="N730" s="100"/>
      <c r="O730" s="101" t="s">
        <v>62</v>
      </c>
      <c r="P730" s="101"/>
      <c r="Q730" s="101"/>
      <c r="R730" s="101">
        <v>0</v>
      </c>
      <c r="S730" s="105"/>
      <c r="T730" s="101" t="s">
        <v>62</v>
      </c>
      <c r="U730" s="177">
        <f>IF($J$1="April",Y729,Y729)</f>
        <v>0</v>
      </c>
      <c r="V730" s="103"/>
      <c r="W730" s="177">
        <f t="shared" ref="W730:W739" si="129">IF(U730="","",U730+V730)</f>
        <v>0</v>
      </c>
      <c r="X730" s="103"/>
      <c r="Y730" s="177">
        <f t="shared" ref="Y730:Y739" si="130">IF(W730="","",W730-X730)</f>
        <v>0</v>
      </c>
      <c r="Z730" s="106"/>
      <c r="AA730" s="57"/>
    </row>
    <row r="731" spans="1:27" s="55" customFormat="1" ht="21" customHeight="1" x14ac:dyDescent="0.25">
      <c r="A731" s="56"/>
      <c r="B731" s="57"/>
      <c r="C731" s="57"/>
      <c r="D731" s="57"/>
      <c r="E731" s="57"/>
      <c r="F731" s="57"/>
      <c r="G731" s="57"/>
      <c r="H731" s="74"/>
      <c r="L731" s="61"/>
      <c r="M731" s="57"/>
      <c r="N731" s="100"/>
      <c r="O731" s="101" t="s">
        <v>63</v>
      </c>
      <c r="P731" s="101"/>
      <c r="Q731" s="101"/>
      <c r="R731" s="101" t="str">
        <f t="shared" ref="R731:R737" si="131">IF(Q731="","",R730-Q731)</f>
        <v/>
      </c>
      <c r="S731" s="105"/>
      <c r="T731" s="101" t="s">
        <v>63</v>
      </c>
      <c r="U731" s="177">
        <f>IF($J$1="April",Y730,Y730)</f>
        <v>0</v>
      </c>
      <c r="V731" s="103"/>
      <c r="W731" s="177">
        <f t="shared" si="129"/>
        <v>0</v>
      </c>
      <c r="X731" s="103"/>
      <c r="Y731" s="177">
        <f t="shared" si="130"/>
        <v>0</v>
      </c>
      <c r="Z731" s="106"/>
      <c r="AA731" s="57"/>
    </row>
    <row r="732" spans="1:27" s="55" customFormat="1" ht="21" customHeight="1" x14ac:dyDescent="0.25">
      <c r="A732" s="56"/>
      <c r="B732" s="291" t="s">
        <v>58</v>
      </c>
      <c r="C732" s="292"/>
      <c r="D732" s="57"/>
      <c r="E732" s="57"/>
      <c r="F732" s="75" t="s">
        <v>80</v>
      </c>
      <c r="G732" s="70">
        <f>IF($J$1="January",U728,IF($J$1="February",U729,IF($J$1="March",U730,IF($J$1="April",U731,IF($J$1="May",U732,IF($J$1="June",U733,IF($J$1="July",U734,IF($J$1="August",U735,IF($J$1="August",U735,IF($J$1="September",U736,IF($J$1="October",U737,IF($J$1="November",U738,IF($J$1="December",U739)))))))))))))</f>
        <v>0</v>
      </c>
      <c r="H732" s="74"/>
      <c r="I732" s="76">
        <f>IF(C736&gt;0,$K$2,C734)</f>
        <v>29</v>
      </c>
      <c r="J732" s="77" t="s">
        <v>77</v>
      </c>
      <c r="K732" s="78">
        <f>K728/$K$2*I732</f>
        <v>17400</v>
      </c>
      <c r="L732" s="79"/>
      <c r="M732" s="57"/>
      <c r="N732" s="100"/>
      <c r="O732" s="101" t="s">
        <v>64</v>
      </c>
      <c r="P732" s="101">
        <v>27</v>
      </c>
      <c r="Q732" s="101">
        <v>4</v>
      </c>
      <c r="R732" s="101">
        <v>0</v>
      </c>
      <c r="S732" s="105"/>
      <c r="T732" s="101" t="s">
        <v>64</v>
      </c>
      <c r="U732" s="177">
        <f>Y731</f>
        <v>0</v>
      </c>
      <c r="V732" s="103"/>
      <c r="W732" s="177">
        <f t="shared" si="129"/>
        <v>0</v>
      </c>
      <c r="X732" s="103"/>
      <c r="Y732" s="177">
        <f t="shared" si="130"/>
        <v>0</v>
      </c>
      <c r="Z732" s="106"/>
      <c r="AA732" s="57"/>
    </row>
    <row r="733" spans="1:27" s="55" customFormat="1" ht="21" customHeight="1" x14ac:dyDescent="0.25">
      <c r="A733" s="56"/>
      <c r="B733" s="66"/>
      <c r="C733" s="66"/>
      <c r="D733" s="57"/>
      <c r="E733" s="57"/>
      <c r="F733" s="75" t="s">
        <v>29</v>
      </c>
      <c r="G733" s="70">
        <f>IF($J$1="January",V728,IF($J$1="February",V729,IF($J$1="March",V730,IF($J$1="April",V731,IF($J$1="May",V732,IF($J$1="June",V733,IF($J$1="July",V734,IF($J$1="August",V735,IF($J$1="August",V735,IF($J$1="September",V736,IF($J$1="October",V737,IF($J$1="November",V738,IF($J$1="December",V739)))))))))))))</f>
        <v>0</v>
      </c>
      <c r="H733" s="74"/>
      <c r="I733" s="120">
        <v>36</v>
      </c>
      <c r="J733" s="77" t="s">
        <v>78</v>
      </c>
      <c r="K733" s="80">
        <f>K728/$K$2/8*I733</f>
        <v>2700</v>
      </c>
      <c r="L733" s="81"/>
      <c r="M733" s="57"/>
      <c r="N733" s="100"/>
      <c r="O733" s="101" t="s">
        <v>65</v>
      </c>
      <c r="P733" s="101">
        <v>29</v>
      </c>
      <c r="Q733" s="101">
        <v>1</v>
      </c>
      <c r="R733" s="101">
        <v>0</v>
      </c>
      <c r="S733" s="105"/>
      <c r="T733" s="101" t="s">
        <v>65</v>
      </c>
      <c r="U733" s="177">
        <f>IF($J$1="May",Y732,Y732)</f>
        <v>0</v>
      </c>
      <c r="V733" s="103"/>
      <c r="W733" s="177">
        <f t="shared" si="129"/>
        <v>0</v>
      </c>
      <c r="X733" s="103"/>
      <c r="Y733" s="177">
        <f t="shared" si="130"/>
        <v>0</v>
      </c>
      <c r="Z733" s="106"/>
      <c r="AA733" s="57"/>
    </row>
    <row r="734" spans="1:27" s="55" customFormat="1" ht="21" customHeight="1" x14ac:dyDescent="0.25">
      <c r="A734" s="56"/>
      <c r="B734" s="75" t="s">
        <v>7</v>
      </c>
      <c r="C734" s="66">
        <f>IF($J$1="January",P728,IF($J$1="February",P729,IF($J$1="March",P730,IF($J$1="April",P731,IF($J$1="May",P732,IF($J$1="June",P733,IF($J$1="July",P734,IF($J$1="August",P735,IF($J$1="August",P735,IF($J$1="September",P736,IF($J$1="October",P737,IF($J$1="November",P738,IF($J$1="December",P739)))))))))))))</f>
        <v>29</v>
      </c>
      <c r="D734" s="57"/>
      <c r="E734" s="57"/>
      <c r="F734" s="75" t="s">
        <v>81</v>
      </c>
      <c r="G734" s="70">
        <f>IF($J$1="January",W728,IF($J$1="February",W729,IF($J$1="March",W730,IF($J$1="April",W731,IF($J$1="May",W732,IF($J$1="June",W733,IF($J$1="July",W734,IF($J$1="August",W735,IF($J$1="August",W735,IF($J$1="September",W736,IF($J$1="October",W737,IF($J$1="November",W738,IF($J$1="December",W739)))))))))))))</f>
        <v>0</v>
      </c>
      <c r="H734" s="74"/>
      <c r="I734" s="293" t="s">
        <v>85</v>
      </c>
      <c r="J734" s="294"/>
      <c r="K734" s="80">
        <f>K732+K733</f>
        <v>20100</v>
      </c>
      <c r="L734" s="81"/>
      <c r="M734" s="57"/>
      <c r="N734" s="100"/>
      <c r="O734" s="101" t="s">
        <v>66</v>
      </c>
      <c r="P734" s="101"/>
      <c r="Q734" s="101"/>
      <c r="R734" s="101" t="str">
        <f t="shared" si="131"/>
        <v/>
      </c>
      <c r="S734" s="105"/>
      <c r="T734" s="101" t="s">
        <v>66</v>
      </c>
      <c r="U734" s="177" t="str">
        <f>IF($J$1="September",Y733,"")</f>
        <v/>
      </c>
      <c r="V734" s="103"/>
      <c r="W734" s="177" t="str">
        <f t="shared" si="129"/>
        <v/>
      </c>
      <c r="X734" s="103"/>
      <c r="Y734" s="177" t="str">
        <f t="shared" si="130"/>
        <v/>
      </c>
      <c r="Z734" s="106"/>
      <c r="AA734" s="57"/>
    </row>
    <row r="735" spans="1:27" s="55" customFormat="1" ht="21" customHeight="1" x14ac:dyDescent="0.25">
      <c r="A735" s="56"/>
      <c r="B735" s="75" t="s">
        <v>6</v>
      </c>
      <c r="C735" s="66">
        <f>IF($J$1="January",Q728,IF($J$1="February",Q729,IF($J$1="March",Q730,IF($J$1="April",Q731,IF($J$1="May",Q732,IF($J$1="June",Q733,IF($J$1="July",Q734,IF($J$1="August",Q735,IF($J$1="August",Q735,IF($J$1="September",Q736,IF($J$1="October",Q737,IF($J$1="November",Q738,IF($J$1="December",Q739)))))))))))))</f>
        <v>1</v>
      </c>
      <c r="D735" s="57"/>
      <c r="E735" s="57"/>
      <c r="F735" s="75" t="s">
        <v>30</v>
      </c>
      <c r="G735" s="70">
        <f>IF($J$1="January",X728,IF($J$1="February",X729,IF($J$1="March",X730,IF($J$1="April",X731,IF($J$1="May",X732,IF($J$1="June",X733,IF($J$1="July",X734,IF($J$1="August",X735,IF($J$1="August",X735,IF($J$1="September",X736,IF($J$1="October",X737,IF($J$1="November",X738,IF($J$1="December",X739)))))))))))))</f>
        <v>0</v>
      </c>
      <c r="H735" s="74"/>
      <c r="I735" s="293" t="s">
        <v>86</v>
      </c>
      <c r="J735" s="294"/>
      <c r="K735" s="70">
        <f>G735</f>
        <v>0</v>
      </c>
      <c r="L735" s="82"/>
      <c r="M735" s="57"/>
      <c r="N735" s="100"/>
      <c r="O735" s="101" t="s">
        <v>67</v>
      </c>
      <c r="P735" s="101"/>
      <c r="Q735" s="101"/>
      <c r="R735" s="101">
        <v>0</v>
      </c>
      <c r="S735" s="105"/>
      <c r="T735" s="101" t="s">
        <v>67</v>
      </c>
      <c r="U735" s="177" t="str">
        <f>IF($J$1="September",Y734,"")</f>
        <v/>
      </c>
      <c r="V735" s="103"/>
      <c r="W735" s="177" t="str">
        <f t="shared" si="129"/>
        <v/>
      </c>
      <c r="X735" s="103"/>
      <c r="Y735" s="177" t="str">
        <f t="shared" si="130"/>
        <v/>
      </c>
      <c r="Z735" s="106"/>
      <c r="AA735" s="57"/>
    </row>
    <row r="736" spans="1:27" s="55" customFormat="1" ht="21" customHeight="1" x14ac:dyDescent="0.25">
      <c r="A736" s="56"/>
      <c r="B736" s="83" t="s">
        <v>84</v>
      </c>
      <c r="C736" s="66">
        <f>IF($J$1="January",R728,IF($J$1="February",R729,IF($J$1="March",R730,IF($J$1="April",R731,IF($J$1="May",R732,IF($J$1="June",R733,IF($J$1="July",R734,IF($J$1="August",R735,IF($J$1="August",R735,IF($J$1="September",R736,IF($J$1="October",R737,IF($J$1="November",R738,IF($J$1="December",R739)))))))))))))</f>
        <v>0</v>
      </c>
      <c r="D736" s="57"/>
      <c r="E736" s="57"/>
      <c r="F736" s="75" t="s">
        <v>83</v>
      </c>
      <c r="G736" s="70">
        <f>IF($J$1="January",Y728,IF($J$1="February",Y729,IF($J$1="March",Y730,IF($J$1="April",Y731,IF($J$1="May",Y732,IF($J$1="June",Y733,IF($J$1="July",Y734,IF($J$1="August",Y735,IF($J$1="August",Y735,IF($J$1="September",Y736,IF($J$1="October",Y737,IF($J$1="November",Y738,IF($J$1="December",Y739)))))))))))))</f>
        <v>0</v>
      </c>
      <c r="H736" s="57"/>
      <c r="I736" s="295" t="s">
        <v>79</v>
      </c>
      <c r="J736" s="296"/>
      <c r="K736" s="84">
        <f>K734-K735</f>
        <v>20100</v>
      </c>
      <c r="L736" s="85"/>
      <c r="M736" s="57"/>
      <c r="N736" s="100"/>
      <c r="O736" s="101" t="s">
        <v>72</v>
      </c>
      <c r="P736" s="101"/>
      <c r="Q736" s="101"/>
      <c r="R736" s="101" t="str">
        <f t="shared" si="131"/>
        <v/>
      </c>
      <c r="S736" s="105"/>
      <c r="T736" s="101" t="s">
        <v>72</v>
      </c>
      <c r="U736" s="177" t="str">
        <f>IF($J$1="Sept",Y735,"")</f>
        <v/>
      </c>
      <c r="V736" s="103"/>
      <c r="W736" s="177" t="str">
        <f t="shared" si="129"/>
        <v/>
      </c>
      <c r="X736" s="103"/>
      <c r="Y736" s="177" t="str">
        <f t="shared" si="130"/>
        <v/>
      </c>
      <c r="Z736" s="106"/>
      <c r="AA736" s="57"/>
    </row>
    <row r="737" spans="1:27" s="55" customFormat="1" ht="21" customHeight="1" x14ac:dyDescent="0.25">
      <c r="A737" s="56"/>
      <c r="B737" s="57"/>
      <c r="C737" s="57"/>
      <c r="D737" s="57"/>
      <c r="E737" s="57"/>
      <c r="F737" s="57"/>
      <c r="G737" s="57"/>
      <c r="H737" s="57"/>
      <c r="I737" s="57"/>
      <c r="J737" s="57"/>
      <c r="K737" s="194"/>
      <c r="L737" s="73"/>
      <c r="M737" s="57"/>
      <c r="N737" s="100"/>
      <c r="O737" s="101" t="s">
        <v>68</v>
      </c>
      <c r="P737" s="101"/>
      <c r="Q737" s="101"/>
      <c r="R737" s="101" t="str">
        <f t="shared" si="131"/>
        <v/>
      </c>
      <c r="S737" s="105"/>
      <c r="T737" s="101" t="s">
        <v>68</v>
      </c>
      <c r="U737" s="177" t="str">
        <f>IF($J$1="October",Y736,"")</f>
        <v/>
      </c>
      <c r="V737" s="103"/>
      <c r="W737" s="177" t="str">
        <f t="shared" si="129"/>
        <v/>
      </c>
      <c r="X737" s="103"/>
      <c r="Y737" s="177" t="str">
        <f t="shared" si="130"/>
        <v/>
      </c>
      <c r="Z737" s="106"/>
      <c r="AA737" s="57"/>
    </row>
    <row r="738" spans="1:27" s="55" customFormat="1" ht="21" customHeight="1" x14ac:dyDescent="0.25">
      <c r="A738" s="56"/>
      <c r="B738" s="284" t="s">
        <v>116</v>
      </c>
      <c r="C738" s="284"/>
      <c r="D738" s="284"/>
      <c r="E738" s="284"/>
      <c r="F738" s="284"/>
      <c r="G738" s="284"/>
      <c r="H738" s="284"/>
      <c r="I738" s="284"/>
      <c r="J738" s="284"/>
      <c r="K738" s="284"/>
      <c r="L738" s="73"/>
      <c r="M738" s="57"/>
      <c r="N738" s="100"/>
      <c r="O738" s="101" t="s">
        <v>73</v>
      </c>
      <c r="P738" s="101"/>
      <c r="Q738" s="101"/>
      <c r="R738" s="101">
        <v>0</v>
      </c>
      <c r="S738" s="105"/>
      <c r="T738" s="101" t="s">
        <v>73</v>
      </c>
      <c r="U738" s="177" t="str">
        <f>IF($J$1="November",Y737,"")</f>
        <v/>
      </c>
      <c r="V738" s="103"/>
      <c r="W738" s="177" t="str">
        <f t="shared" si="129"/>
        <v/>
      </c>
      <c r="X738" s="103"/>
      <c r="Y738" s="177" t="str">
        <f t="shared" si="130"/>
        <v/>
      </c>
      <c r="Z738" s="106"/>
      <c r="AA738" s="57"/>
    </row>
    <row r="739" spans="1:27" s="55" customFormat="1" ht="21" customHeight="1" x14ac:dyDescent="0.25">
      <c r="A739" s="56"/>
      <c r="B739" s="284"/>
      <c r="C739" s="284"/>
      <c r="D739" s="284"/>
      <c r="E739" s="284"/>
      <c r="F739" s="284"/>
      <c r="G739" s="284"/>
      <c r="H739" s="284"/>
      <c r="I739" s="284"/>
      <c r="J739" s="284"/>
      <c r="K739" s="284"/>
      <c r="L739" s="73"/>
      <c r="M739" s="57"/>
      <c r="N739" s="100"/>
      <c r="O739" s="101" t="s">
        <v>74</v>
      </c>
      <c r="P739" s="101"/>
      <c r="Q739" s="101"/>
      <c r="R739" s="101">
        <v>0</v>
      </c>
      <c r="S739" s="105"/>
      <c r="T739" s="101" t="s">
        <v>74</v>
      </c>
      <c r="U739" s="177" t="str">
        <f>IF($J$1="Dec",Y738,"")</f>
        <v/>
      </c>
      <c r="V739" s="103"/>
      <c r="W739" s="177" t="str">
        <f t="shared" si="129"/>
        <v/>
      </c>
      <c r="X739" s="103"/>
      <c r="Y739" s="177" t="str">
        <f t="shared" si="130"/>
        <v/>
      </c>
      <c r="Z739" s="106"/>
      <c r="AA739" s="57"/>
    </row>
    <row r="740" spans="1:27" s="55" customFormat="1" ht="21" customHeight="1" thickBot="1" x14ac:dyDescent="0.3">
      <c r="A740" s="86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8"/>
      <c r="N740" s="107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9"/>
    </row>
    <row r="741" spans="1:27" s="57" customFormat="1" ht="21" customHeight="1" thickBot="1" x14ac:dyDescent="0.3"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  <c r="Z741" s="105"/>
    </row>
    <row r="742" spans="1:27" s="55" customFormat="1" ht="21" customHeight="1" x14ac:dyDescent="0.25">
      <c r="A742" s="317" t="s">
        <v>56</v>
      </c>
      <c r="B742" s="318"/>
      <c r="C742" s="318"/>
      <c r="D742" s="318"/>
      <c r="E742" s="318"/>
      <c r="F742" s="318"/>
      <c r="G742" s="318"/>
      <c r="H742" s="318"/>
      <c r="I742" s="318"/>
      <c r="J742" s="318"/>
      <c r="K742" s="318"/>
      <c r="L742" s="319"/>
      <c r="M742" s="54"/>
      <c r="N742" s="93"/>
      <c r="O742" s="285" t="s">
        <v>58</v>
      </c>
      <c r="P742" s="286"/>
      <c r="Q742" s="286"/>
      <c r="R742" s="287"/>
      <c r="S742" s="94"/>
      <c r="T742" s="285" t="s">
        <v>59</v>
      </c>
      <c r="U742" s="286"/>
      <c r="V742" s="286"/>
      <c r="W742" s="286"/>
      <c r="X742" s="286"/>
      <c r="Y742" s="287"/>
      <c r="Z742" s="95"/>
      <c r="AA742" s="54"/>
    </row>
    <row r="743" spans="1:27" s="55" customFormat="1" ht="21" customHeight="1" x14ac:dyDescent="0.25">
      <c r="A743" s="56"/>
      <c r="B743" s="57"/>
      <c r="C743" s="288" t="s">
        <v>114</v>
      </c>
      <c r="D743" s="288"/>
      <c r="E743" s="288"/>
      <c r="F743" s="288"/>
      <c r="G743" s="58" t="str">
        <f>$J$1</f>
        <v>June</v>
      </c>
      <c r="H743" s="289">
        <f>$K$1</f>
        <v>2019</v>
      </c>
      <c r="I743" s="289"/>
      <c r="J743" s="57"/>
      <c r="K743" s="59"/>
      <c r="L743" s="60"/>
      <c r="M743" s="59"/>
      <c r="N743" s="96"/>
      <c r="O743" s="97" t="s">
        <v>69</v>
      </c>
      <c r="P743" s="97" t="s">
        <v>7</v>
      </c>
      <c r="Q743" s="97" t="s">
        <v>6</v>
      </c>
      <c r="R743" s="97" t="s">
        <v>70</v>
      </c>
      <c r="S743" s="98"/>
      <c r="T743" s="97" t="s">
        <v>69</v>
      </c>
      <c r="U743" s="97" t="s">
        <v>71</v>
      </c>
      <c r="V743" s="97" t="s">
        <v>29</v>
      </c>
      <c r="W743" s="97" t="s">
        <v>28</v>
      </c>
      <c r="X743" s="97" t="s">
        <v>30</v>
      </c>
      <c r="Y743" s="97" t="s">
        <v>75</v>
      </c>
      <c r="Z743" s="99"/>
      <c r="AA743" s="59"/>
    </row>
    <row r="744" spans="1:27" s="55" customFormat="1" ht="21" customHeight="1" x14ac:dyDescent="0.25">
      <c r="A744" s="56"/>
      <c r="B744" s="57"/>
      <c r="C744" s="57"/>
      <c r="D744" s="62"/>
      <c r="E744" s="62"/>
      <c r="F744" s="62"/>
      <c r="G744" s="62"/>
      <c r="H744" s="62"/>
      <c r="I744" s="57"/>
      <c r="J744" s="63" t="s">
        <v>1</v>
      </c>
      <c r="K744" s="64"/>
      <c r="L744" s="65"/>
      <c r="M744" s="57"/>
      <c r="N744" s="100"/>
      <c r="O744" s="101" t="s">
        <v>61</v>
      </c>
      <c r="P744" s="101"/>
      <c r="Q744" s="101"/>
      <c r="R744" s="101">
        <v>0</v>
      </c>
      <c r="S744" s="102"/>
      <c r="T744" s="101" t="s">
        <v>61</v>
      </c>
      <c r="U744" s="103"/>
      <c r="V744" s="103"/>
      <c r="W744" s="103">
        <f>V744+U744</f>
        <v>0</v>
      </c>
      <c r="X744" s="103"/>
      <c r="Y744" s="103">
        <f>W744-X744</f>
        <v>0</v>
      </c>
      <c r="Z744" s="99"/>
      <c r="AA744" s="57"/>
    </row>
    <row r="745" spans="1:27" s="55" customFormat="1" ht="21" customHeight="1" x14ac:dyDescent="0.25">
      <c r="A745" s="56"/>
      <c r="B745" s="57" t="s">
        <v>0</v>
      </c>
      <c r="C745" s="67"/>
      <c r="D745" s="57"/>
      <c r="E745" s="57"/>
      <c r="F745" s="57"/>
      <c r="G745" s="57"/>
      <c r="H745" s="68"/>
      <c r="I745" s="62"/>
      <c r="J745" s="57"/>
      <c r="K745" s="57"/>
      <c r="L745" s="69"/>
      <c r="M745" s="54"/>
      <c r="N745" s="104"/>
      <c r="O745" s="101" t="s">
        <v>87</v>
      </c>
      <c r="P745" s="101"/>
      <c r="Q745" s="101"/>
      <c r="R745" s="101">
        <v>0</v>
      </c>
      <c r="S745" s="105"/>
      <c r="T745" s="101" t="s">
        <v>87</v>
      </c>
      <c r="U745" s="177">
        <f>Y744</f>
        <v>0</v>
      </c>
      <c r="V745" s="103"/>
      <c r="W745" s="177">
        <f>IF(U745="","",U745+V745)</f>
        <v>0</v>
      </c>
      <c r="X745" s="103"/>
      <c r="Y745" s="177">
        <f>IF(W745="","",W745-X745)</f>
        <v>0</v>
      </c>
      <c r="Z745" s="106"/>
      <c r="AA745" s="54"/>
    </row>
    <row r="746" spans="1:27" s="55" customFormat="1" ht="21" customHeight="1" x14ac:dyDescent="0.25">
      <c r="A746" s="56"/>
      <c r="B746" s="71" t="s">
        <v>57</v>
      </c>
      <c r="C746" s="72"/>
      <c r="D746" s="57"/>
      <c r="E746" s="57"/>
      <c r="F746" s="290" t="s">
        <v>59</v>
      </c>
      <c r="G746" s="290"/>
      <c r="H746" s="57"/>
      <c r="I746" s="290" t="s">
        <v>60</v>
      </c>
      <c r="J746" s="290"/>
      <c r="K746" s="290"/>
      <c r="L746" s="73"/>
      <c r="M746" s="57"/>
      <c r="N746" s="100"/>
      <c r="O746" s="101" t="s">
        <v>62</v>
      </c>
      <c r="P746" s="101"/>
      <c r="Q746" s="101"/>
      <c r="R746" s="101">
        <v>0</v>
      </c>
      <c r="S746" s="105"/>
      <c r="T746" s="101" t="s">
        <v>62</v>
      </c>
      <c r="U746" s="177">
        <f>IF($J$1="April",Y745,Y745)</f>
        <v>0</v>
      </c>
      <c r="V746" s="103"/>
      <c r="W746" s="177">
        <f t="shared" ref="W746:W755" si="132">IF(U746="","",U746+V746)</f>
        <v>0</v>
      </c>
      <c r="X746" s="103"/>
      <c r="Y746" s="177">
        <f t="shared" ref="Y746:Y755" si="133">IF(W746="","",W746-X746)</f>
        <v>0</v>
      </c>
      <c r="Z746" s="106"/>
      <c r="AA746" s="57"/>
    </row>
    <row r="747" spans="1:27" s="55" customFormat="1" ht="21" customHeight="1" x14ac:dyDescent="0.25">
      <c r="A747" s="56"/>
      <c r="B747" s="57"/>
      <c r="C747" s="57"/>
      <c r="D747" s="57"/>
      <c r="E747" s="57"/>
      <c r="F747" s="57"/>
      <c r="G747" s="57"/>
      <c r="H747" s="74"/>
      <c r="L747" s="61"/>
      <c r="M747" s="57"/>
      <c r="N747" s="100"/>
      <c r="O747" s="101" t="s">
        <v>63</v>
      </c>
      <c r="P747" s="101"/>
      <c r="Q747" s="101"/>
      <c r="R747" s="101" t="str">
        <f t="shared" ref="R747:R755" si="134">IF(Q747="","",R746-Q747)</f>
        <v/>
      </c>
      <c r="S747" s="105"/>
      <c r="T747" s="101" t="s">
        <v>63</v>
      </c>
      <c r="U747" s="177">
        <f>IF($J$1="April",Y746,Y746)</f>
        <v>0</v>
      </c>
      <c r="V747" s="103"/>
      <c r="W747" s="177">
        <f t="shared" si="132"/>
        <v>0</v>
      </c>
      <c r="X747" s="103"/>
      <c r="Y747" s="177">
        <f t="shared" si="133"/>
        <v>0</v>
      </c>
      <c r="Z747" s="106"/>
      <c r="AA747" s="57"/>
    </row>
    <row r="748" spans="1:27" s="55" customFormat="1" ht="21" customHeight="1" x14ac:dyDescent="0.25">
      <c r="A748" s="56"/>
      <c r="B748" s="291" t="s">
        <v>58</v>
      </c>
      <c r="C748" s="292"/>
      <c r="D748" s="57"/>
      <c r="E748" s="57"/>
      <c r="F748" s="75" t="s">
        <v>80</v>
      </c>
      <c r="G748" s="70">
        <f>IF($J$1="January",U744,IF($J$1="February",U745,IF($J$1="March",U746,IF($J$1="April",U747,IF($J$1="May",U748,IF($J$1="June",U749,IF($J$1="July",U750,IF($J$1="August",U751,IF($J$1="August",U751,IF($J$1="September",U752,IF($J$1="October",U753,IF($J$1="November",U754,IF($J$1="December",U755)))))))))))))</f>
        <v>0</v>
      </c>
      <c r="H748" s="74"/>
      <c r="I748" s="76"/>
      <c r="J748" s="77" t="s">
        <v>77</v>
      </c>
      <c r="K748" s="78">
        <f>K744/$K$2*I748</f>
        <v>0</v>
      </c>
      <c r="L748" s="79"/>
      <c r="M748" s="57"/>
      <c r="N748" s="100"/>
      <c r="O748" s="101" t="s">
        <v>64</v>
      </c>
      <c r="P748" s="101"/>
      <c r="Q748" s="101"/>
      <c r="R748" s="101">
        <v>0</v>
      </c>
      <c r="S748" s="105"/>
      <c r="T748" s="101" t="s">
        <v>64</v>
      </c>
      <c r="U748" s="177">
        <f>IF($J$1="May",Y747,Y747)</f>
        <v>0</v>
      </c>
      <c r="V748" s="103"/>
      <c r="W748" s="177">
        <f t="shared" si="132"/>
        <v>0</v>
      </c>
      <c r="X748" s="103"/>
      <c r="Y748" s="177">
        <f t="shared" si="133"/>
        <v>0</v>
      </c>
      <c r="Z748" s="106"/>
      <c r="AA748" s="57"/>
    </row>
    <row r="749" spans="1:27" s="55" customFormat="1" ht="21" customHeight="1" x14ac:dyDescent="0.25">
      <c r="A749" s="56"/>
      <c r="B749" s="66"/>
      <c r="C749" s="66"/>
      <c r="D749" s="57"/>
      <c r="E749" s="57"/>
      <c r="F749" s="75" t="s">
        <v>29</v>
      </c>
      <c r="G749" s="70">
        <f>IF($J$1="January",V744,IF($J$1="February",V745,IF($J$1="March",V746,IF($J$1="April",V747,IF($J$1="May",V748,IF($J$1="June",V749,IF($J$1="July",V750,IF($J$1="August",V751,IF($J$1="August",V751,IF($J$1="September",V752,IF($J$1="October",V753,IF($J$1="November",V754,IF($J$1="December",V755)))))))))))))</f>
        <v>0</v>
      </c>
      <c r="H749" s="74"/>
      <c r="I749" s="120"/>
      <c r="J749" s="77" t="s">
        <v>78</v>
      </c>
      <c r="K749" s="80">
        <f>K744/$K$2/8*I749</f>
        <v>0</v>
      </c>
      <c r="L749" s="81"/>
      <c r="M749" s="57"/>
      <c r="N749" s="100"/>
      <c r="O749" s="101" t="s">
        <v>65</v>
      </c>
      <c r="P749" s="101"/>
      <c r="Q749" s="101"/>
      <c r="R749" s="101" t="str">
        <f t="shared" si="134"/>
        <v/>
      </c>
      <c r="S749" s="105"/>
      <c r="T749" s="101" t="s">
        <v>65</v>
      </c>
      <c r="U749" s="177">
        <f>IF($J$1="May",Y748,Y748)</f>
        <v>0</v>
      </c>
      <c r="V749" s="103"/>
      <c r="W749" s="177">
        <f t="shared" si="132"/>
        <v>0</v>
      </c>
      <c r="X749" s="103"/>
      <c r="Y749" s="177">
        <f t="shared" si="133"/>
        <v>0</v>
      </c>
      <c r="Z749" s="106"/>
      <c r="AA749" s="57"/>
    </row>
    <row r="750" spans="1:27" s="55" customFormat="1" ht="21" customHeight="1" x14ac:dyDescent="0.25">
      <c r="A750" s="56"/>
      <c r="B750" s="75" t="s">
        <v>7</v>
      </c>
      <c r="C750" s="66">
        <f>IF($J$1="January",P744,IF($J$1="February",P745,IF($J$1="March",P746,IF($J$1="April",P747,IF($J$1="May",P748,IF($J$1="June",P749,IF($J$1="July",P750,IF($J$1="August",P751,IF($J$1="August",P751,IF($J$1="September",P752,IF($J$1="October",P753,IF($J$1="November",P754,IF($J$1="December",P755)))))))))))))</f>
        <v>0</v>
      </c>
      <c r="D750" s="57"/>
      <c r="E750" s="57"/>
      <c r="F750" s="75" t="s">
        <v>81</v>
      </c>
      <c r="G750" s="70">
        <f>IF($J$1="January",W744,IF($J$1="February",W745,IF($J$1="March",W746,IF($J$1="April",W747,IF($J$1="May",W748,IF($J$1="June",W749,IF($J$1="July",W750,IF($J$1="August",W751,IF($J$1="August",W751,IF($J$1="September",W752,IF($J$1="October",W753,IF($J$1="November",W754,IF($J$1="December",W755)))))))))))))</f>
        <v>0</v>
      </c>
      <c r="H750" s="74"/>
      <c r="I750" s="293" t="s">
        <v>85</v>
      </c>
      <c r="J750" s="294"/>
      <c r="K750" s="80">
        <f>K748+K749</f>
        <v>0</v>
      </c>
      <c r="L750" s="81"/>
      <c r="M750" s="57"/>
      <c r="N750" s="100"/>
      <c r="O750" s="101" t="s">
        <v>66</v>
      </c>
      <c r="P750" s="101"/>
      <c r="Q750" s="101"/>
      <c r="R750" s="101" t="str">
        <f t="shared" si="134"/>
        <v/>
      </c>
      <c r="S750" s="105"/>
      <c r="T750" s="101" t="s">
        <v>66</v>
      </c>
      <c r="U750" s="177" t="str">
        <f>IF($J$1="September",Y749,"")</f>
        <v/>
      </c>
      <c r="V750" s="103"/>
      <c r="W750" s="177" t="str">
        <f t="shared" si="132"/>
        <v/>
      </c>
      <c r="X750" s="103"/>
      <c r="Y750" s="177" t="str">
        <f t="shared" si="133"/>
        <v/>
      </c>
      <c r="Z750" s="106"/>
      <c r="AA750" s="57"/>
    </row>
    <row r="751" spans="1:27" s="55" customFormat="1" ht="21" customHeight="1" x14ac:dyDescent="0.25">
      <c r="A751" s="56"/>
      <c r="B751" s="75" t="s">
        <v>6</v>
      </c>
      <c r="C751" s="66">
        <f>IF($J$1="January",Q744,IF($J$1="February",Q745,IF($J$1="March",Q746,IF($J$1="April",Q747,IF($J$1="May",Q748,IF($J$1="June",Q749,IF($J$1="July",Q750,IF($J$1="August",Q751,IF($J$1="August",Q751,IF($J$1="September",Q752,IF($J$1="October",Q753,IF($J$1="November",Q754,IF($J$1="December",Q755)))))))))))))</f>
        <v>0</v>
      </c>
      <c r="D751" s="57"/>
      <c r="E751" s="57"/>
      <c r="F751" s="75" t="s">
        <v>30</v>
      </c>
      <c r="G751" s="70">
        <f>IF($J$1="January",X744,IF($J$1="February",X745,IF($J$1="March",X746,IF($J$1="April",X747,IF($J$1="May",X748,IF($J$1="June",X749,IF($J$1="July",X750,IF($J$1="August",X751,IF($J$1="August",X751,IF($J$1="September",X752,IF($J$1="October",X753,IF($J$1="November",X754,IF($J$1="December",X755)))))))))))))</f>
        <v>0</v>
      </c>
      <c r="H751" s="74"/>
      <c r="I751" s="293" t="s">
        <v>86</v>
      </c>
      <c r="J751" s="294"/>
      <c r="K751" s="70">
        <f>G751</f>
        <v>0</v>
      </c>
      <c r="L751" s="82"/>
      <c r="M751" s="57"/>
      <c r="N751" s="100"/>
      <c r="O751" s="101" t="s">
        <v>67</v>
      </c>
      <c r="P751" s="101"/>
      <c r="Q751" s="101"/>
      <c r="R751" s="101" t="str">
        <f t="shared" si="134"/>
        <v/>
      </c>
      <c r="S751" s="105"/>
      <c r="T751" s="101" t="s">
        <v>67</v>
      </c>
      <c r="U751" s="177" t="str">
        <f>IF($J$1="September",Y750,"")</f>
        <v/>
      </c>
      <c r="V751" s="103"/>
      <c r="W751" s="177" t="str">
        <f t="shared" si="132"/>
        <v/>
      </c>
      <c r="X751" s="103"/>
      <c r="Y751" s="177" t="str">
        <f t="shared" si="133"/>
        <v/>
      </c>
      <c r="Z751" s="106"/>
      <c r="AA751" s="57"/>
    </row>
    <row r="752" spans="1:27" s="55" customFormat="1" ht="21" customHeight="1" x14ac:dyDescent="0.25">
      <c r="A752" s="56"/>
      <c r="B752" s="83" t="s">
        <v>84</v>
      </c>
      <c r="C752" s="66" t="str">
        <f>IF($J$1="January",R744,IF($J$1="February",R745,IF($J$1="March",R746,IF($J$1="April",R747,IF($J$1="May",R748,IF($J$1="June",R749,IF($J$1="July",R750,IF($J$1="August",R751,IF($J$1="August",R751,IF($J$1="September",R752,IF($J$1="October",R753,IF($J$1="November",R754,IF($J$1="December",R755)))))))))))))</f>
        <v/>
      </c>
      <c r="D752" s="57"/>
      <c r="E752" s="57"/>
      <c r="F752" s="75" t="s">
        <v>83</v>
      </c>
      <c r="G752" s="70">
        <f>IF($J$1="January",Y744,IF($J$1="February",Y745,IF($J$1="March",Y746,IF($J$1="April",Y747,IF($J$1="May",Y748,IF($J$1="June",Y749,IF($J$1="July",Y750,IF($J$1="August",Y751,IF($J$1="August",Y751,IF($J$1="September",Y752,IF($J$1="October",Y753,IF($J$1="November",Y754,IF($J$1="December",Y755)))))))))))))</f>
        <v>0</v>
      </c>
      <c r="H752" s="57"/>
      <c r="I752" s="295" t="s">
        <v>79</v>
      </c>
      <c r="J752" s="296"/>
      <c r="K752" s="84"/>
      <c r="L752" s="85"/>
      <c r="M752" s="57"/>
      <c r="N752" s="100"/>
      <c r="O752" s="101" t="s">
        <v>72</v>
      </c>
      <c r="P752" s="101"/>
      <c r="Q752" s="101"/>
      <c r="R752" s="101" t="str">
        <f t="shared" si="134"/>
        <v/>
      </c>
      <c r="S752" s="105"/>
      <c r="T752" s="101" t="s">
        <v>72</v>
      </c>
      <c r="U752" s="177" t="str">
        <f>IF($J$1="Sept",Y751,"")</f>
        <v/>
      </c>
      <c r="V752" s="103"/>
      <c r="W752" s="177" t="str">
        <f t="shared" si="132"/>
        <v/>
      </c>
      <c r="X752" s="103"/>
      <c r="Y752" s="177" t="str">
        <f t="shared" si="133"/>
        <v/>
      </c>
      <c r="Z752" s="106"/>
      <c r="AA752" s="57"/>
    </row>
    <row r="753" spans="1:27" s="55" customFormat="1" ht="21" customHeight="1" x14ac:dyDescent="0.25">
      <c r="A753" s="56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73"/>
      <c r="M753" s="57"/>
      <c r="N753" s="100"/>
      <c r="O753" s="101" t="s">
        <v>68</v>
      </c>
      <c r="P753" s="101"/>
      <c r="Q753" s="101"/>
      <c r="R753" s="101" t="str">
        <f t="shared" si="134"/>
        <v/>
      </c>
      <c r="S753" s="105"/>
      <c r="T753" s="101" t="s">
        <v>68</v>
      </c>
      <c r="U753" s="177" t="str">
        <f>IF($J$1="October",Y752,"")</f>
        <v/>
      </c>
      <c r="V753" s="103"/>
      <c r="W753" s="177" t="str">
        <f t="shared" si="132"/>
        <v/>
      </c>
      <c r="X753" s="103"/>
      <c r="Y753" s="177" t="str">
        <f t="shared" si="133"/>
        <v/>
      </c>
      <c r="Z753" s="106"/>
      <c r="AA753" s="57"/>
    </row>
    <row r="754" spans="1:27" s="55" customFormat="1" ht="21" customHeight="1" x14ac:dyDescent="0.25">
      <c r="A754" s="56"/>
      <c r="B754" s="284" t="s">
        <v>116</v>
      </c>
      <c r="C754" s="284"/>
      <c r="D754" s="284"/>
      <c r="E754" s="284"/>
      <c r="F754" s="284"/>
      <c r="G754" s="284"/>
      <c r="H754" s="284"/>
      <c r="I754" s="284"/>
      <c r="J754" s="284"/>
      <c r="K754" s="284"/>
      <c r="L754" s="73"/>
      <c r="M754" s="57"/>
      <c r="N754" s="100"/>
      <c r="O754" s="101" t="s">
        <v>73</v>
      </c>
      <c r="P754" s="101"/>
      <c r="Q754" s="101"/>
      <c r="R754" s="101" t="str">
        <f t="shared" si="134"/>
        <v/>
      </c>
      <c r="S754" s="105"/>
      <c r="T754" s="101" t="s">
        <v>73</v>
      </c>
      <c r="U754" s="177" t="str">
        <f>IF($J$1="November",Y753,"")</f>
        <v/>
      </c>
      <c r="V754" s="103"/>
      <c r="W754" s="177" t="str">
        <f t="shared" si="132"/>
        <v/>
      </c>
      <c r="X754" s="103"/>
      <c r="Y754" s="177" t="str">
        <f t="shared" si="133"/>
        <v/>
      </c>
      <c r="Z754" s="106"/>
      <c r="AA754" s="57"/>
    </row>
    <row r="755" spans="1:27" s="55" customFormat="1" ht="21" customHeight="1" x14ac:dyDescent="0.25">
      <c r="A755" s="56"/>
      <c r="B755" s="284"/>
      <c r="C755" s="284"/>
      <c r="D755" s="284"/>
      <c r="E755" s="284"/>
      <c r="F755" s="284"/>
      <c r="G755" s="284"/>
      <c r="H755" s="284"/>
      <c r="I755" s="284"/>
      <c r="J755" s="284"/>
      <c r="K755" s="284"/>
      <c r="L755" s="73"/>
      <c r="M755" s="57"/>
      <c r="N755" s="100"/>
      <c r="O755" s="101" t="s">
        <v>74</v>
      </c>
      <c r="P755" s="101"/>
      <c r="Q755" s="101"/>
      <c r="R755" s="101" t="str">
        <f t="shared" si="134"/>
        <v/>
      </c>
      <c r="S755" s="105"/>
      <c r="T755" s="101" t="s">
        <v>74</v>
      </c>
      <c r="U755" s="177" t="str">
        <f>IF($J$1="Dec",Y754,"")</f>
        <v/>
      </c>
      <c r="V755" s="103"/>
      <c r="W755" s="177" t="str">
        <f t="shared" si="132"/>
        <v/>
      </c>
      <c r="X755" s="103"/>
      <c r="Y755" s="177" t="str">
        <f t="shared" si="133"/>
        <v/>
      </c>
      <c r="Z755" s="106"/>
      <c r="AA755" s="57"/>
    </row>
    <row r="756" spans="1:27" s="55" customFormat="1" ht="21" customHeight="1" thickBot="1" x14ac:dyDescent="0.3">
      <c r="A756" s="86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8"/>
      <c r="N756" s="107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9"/>
    </row>
    <row r="757" spans="1:27" s="57" customFormat="1" ht="21" customHeight="1" thickBot="1" x14ac:dyDescent="0.3"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  <c r="Z757" s="105"/>
    </row>
    <row r="758" spans="1:27" s="55" customFormat="1" ht="21" customHeight="1" x14ac:dyDescent="0.25">
      <c r="A758" s="297" t="s">
        <v>56</v>
      </c>
      <c r="B758" s="298"/>
      <c r="C758" s="298"/>
      <c r="D758" s="298"/>
      <c r="E758" s="298"/>
      <c r="F758" s="298"/>
      <c r="G758" s="298"/>
      <c r="H758" s="298"/>
      <c r="I758" s="298"/>
      <c r="J758" s="298"/>
      <c r="K758" s="298"/>
      <c r="L758" s="299"/>
      <c r="M758" s="54"/>
      <c r="N758" s="93"/>
      <c r="O758" s="285" t="s">
        <v>58</v>
      </c>
      <c r="P758" s="286"/>
      <c r="Q758" s="286"/>
      <c r="R758" s="287"/>
      <c r="S758" s="94"/>
      <c r="T758" s="285" t="s">
        <v>59</v>
      </c>
      <c r="U758" s="286"/>
      <c r="V758" s="286"/>
      <c r="W758" s="286"/>
      <c r="X758" s="286"/>
      <c r="Y758" s="287"/>
      <c r="Z758" s="95"/>
      <c r="AA758" s="54"/>
    </row>
    <row r="759" spans="1:27" s="55" customFormat="1" ht="21" customHeight="1" x14ac:dyDescent="0.25">
      <c r="A759" s="56"/>
      <c r="B759" s="57"/>
      <c r="C759" s="288" t="s">
        <v>114</v>
      </c>
      <c r="D759" s="288"/>
      <c r="E759" s="288"/>
      <c r="F759" s="288"/>
      <c r="G759" s="58" t="str">
        <f>$J$1</f>
        <v>June</v>
      </c>
      <c r="H759" s="289">
        <f>$K$1</f>
        <v>2019</v>
      </c>
      <c r="I759" s="289"/>
      <c r="J759" s="57"/>
      <c r="K759" s="59"/>
      <c r="L759" s="60"/>
      <c r="M759" s="59"/>
      <c r="N759" s="96"/>
      <c r="O759" s="97" t="s">
        <v>69</v>
      </c>
      <c r="P759" s="97" t="s">
        <v>7</v>
      </c>
      <c r="Q759" s="97" t="s">
        <v>6</v>
      </c>
      <c r="R759" s="97" t="s">
        <v>70</v>
      </c>
      <c r="S759" s="98"/>
      <c r="T759" s="97" t="s">
        <v>69</v>
      </c>
      <c r="U759" s="97" t="s">
        <v>71</v>
      </c>
      <c r="V759" s="97" t="s">
        <v>29</v>
      </c>
      <c r="W759" s="97" t="s">
        <v>28</v>
      </c>
      <c r="X759" s="97" t="s">
        <v>30</v>
      </c>
      <c r="Y759" s="97" t="s">
        <v>75</v>
      </c>
      <c r="Z759" s="99"/>
      <c r="AA759" s="59"/>
    </row>
    <row r="760" spans="1:27" s="55" customFormat="1" ht="21" customHeight="1" x14ac:dyDescent="0.25">
      <c r="A760" s="56"/>
      <c r="B760" s="57"/>
      <c r="C760" s="57"/>
      <c r="D760" s="62"/>
      <c r="E760" s="62"/>
      <c r="F760" s="62"/>
      <c r="G760" s="62"/>
      <c r="H760" s="62"/>
      <c r="I760" s="57"/>
      <c r="J760" s="63" t="s">
        <v>1</v>
      </c>
      <c r="K760" s="64">
        <v>28000</v>
      </c>
      <c r="L760" s="65"/>
      <c r="M760" s="57"/>
      <c r="N760" s="100"/>
      <c r="O760" s="101" t="s">
        <v>61</v>
      </c>
      <c r="P760" s="101">
        <v>31</v>
      </c>
      <c r="Q760" s="101">
        <v>0</v>
      </c>
      <c r="R760" s="101">
        <f>15-Q760</f>
        <v>15</v>
      </c>
      <c r="S760" s="102"/>
      <c r="T760" s="101" t="s">
        <v>61</v>
      </c>
      <c r="U760" s="103">
        <v>175000</v>
      </c>
      <c r="V760" s="103">
        <v>4000</v>
      </c>
      <c r="W760" s="103">
        <f>V760+U760</f>
        <v>179000</v>
      </c>
      <c r="X760" s="103">
        <v>10000</v>
      </c>
      <c r="Y760" s="103">
        <f>W760-X760</f>
        <v>169000</v>
      </c>
      <c r="Z760" s="99"/>
      <c r="AA760" s="57"/>
    </row>
    <row r="761" spans="1:27" s="55" customFormat="1" ht="21" customHeight="1" x14ac:dyDescent="0.25">
      <c r="A761" s="56"/>
      <c r="B761" s="57" t="s">
        <v>0</v>
      </c>
      <c r="C761" s="67" t="s">
        <v>100</v>
      </c>
      <c r="D761" s="57"/>
      <c r="E761" s="57"/>
      <c r="F761" s="57"/>
      <c r="G761" s="57"/>
      <c r="H761" s="68"/>
      <c r="I761" s="62"/>
      <c r="J761" s="57"/>
      <c r="K761" s="57"/>
      <c r="L761" s="69"/>
      <c r="M761" s="54"/>
      <c r="N761" s="104"/>
      <c r="O761" s="101" t="s">
        <v>87</v>
      </c>
      <c r="P761" s="101">
        <v>25</v>
      </c>
      <c r="Q761" s="101">
        <v>3</v>
      </c>
      <c r="R761" s="101">
        <f>IF(Q761="","",R760-Q761)</f>
        <v>12</v>
      </c>
      <c r="S761" s="105"/>
      <c r="T761" s="101" t="s">
        <v>87</v>
      </c>
      <c r="U761" s="177">
        <f>Y760</f>
        <v>169000</v>
      </c>
      <c r="V761" s="103"/>
      <c r="W761" s="177">
        <f>IF(U761="","",U761+V761)</f>
        <v>169000</v>
      </c>
      <c r="X761" s="103">
        <v>10000</v>
      </c>
      <c r="Y761" s="177">
        <f>IF(W761="","",W761-X761)</f>
        <v>159000</v>
      </c>
      <c r="Z761" s="106"/>
      <c r="AA761" s="54"/>
    </row>
    <row r="762" spans="1:27" s="55" customFormat="1" ht="21" customHeight="1" x14ac:dyDescent="0.25">
      <c r="A762" s="56"/>
      <c r="B762" s="71" t="s">
        <v>57</v>
      </c>
      <c r="C762" s="72"/>
      <c r="D762" s="57"/>
      <c r="E762" s="57"/>
      <c r="F762" s="290" t="s">
        <v>59</v>
      </c>
      <c r="G762" s="290"/>
      <c r="H762" s="57"/>
      <c r="I762" s="290" t="s">
        <v>60</v>
      </c>
      <c r="J762" s="290"/>
      <c r="K762" s="290"/>
      <c r="L762" s="73"/>
      <c r="M762" s="57"/>
      <c r="N762" s="100"/>
      <c r="O762" s="101" t="s">
        <v>62</v>
      </c>
      <c r="P762" s="101">
        <v>26</v>
      </c>
      <c r="Q762" s="101">
        <v>5</v>
      </c>
      <c r="R762" s="101">
        <f t="shared" ref="R762:R765" si="135">IF(Q762="","",R761-Q762)</f>
        <v>7</v>
      </c>
      <c r="S762" s="105"/>
      <c r="T762" s="101" t="s">
        <v>62</v>
      </c>
      <c r="U762" s="177">
        <f>Y761</f>
        <v>159000</v>
      </c>
      <c r="V762" s="103"/>
      <c r="W762" s="177">
        <f t="shared" ref="W762:W771" si="136">IF(U762="","",U762+V762)</f>
        <v>159000</v>
      </c>
      <c r="X762" s="103">
        <v>10000</v>
      </c>
      <c r="Y762" s="177">
        <f t="shared" ref="Y762:Y771" si="137">IF(W762="","",W762-X762)</f>
        <v>149000</v>
      </c>
      <c r="Z762" s="106"/>
      <c r="AA762" s="57"/>
    </row>
    <row r="763" spans="1:27" s="55" customFormat="1" ht="21" customHeight="1" x14ac:dyDescent="0.25">
      <c r="A763" s="56"/>
      <c r="B763" s="57"/>
      <c r="C763" s="57"/>
      <c r="D763" s="57"/>
      <c r="E763" s="57"/>
      <c r="F763" s="57"/>
      <c r="G763" s="57"/>
      <c r="H763" s="74"/>
      <c r="L763" s="61"/>
      <c r="M763" s="57"/>
      <c r="N763" s="100"/>
      <c r="O763" s="101" t="s">
        <v>63</v>
      </c>
      <c r="P763" s="101">
        <v>29</v>
      </c>
      <c r="Q763" s="101">
        <v>1</v>
      </c>
      <c r="R763" s="101">
        <f t="shared" si="135"/>
        <v>6</v>
      </c>
      <c r="S763" s="105"/>
      <c r="T763" s="101" t="s">
        <v>63</v>
      </c>
      <c r="U763" s="177">
        <f>Y762</f>
        <v>149000</v>
      </c>
      <c r="V763" s="103"/>
      <c r="W763" s="177">
        <f t="shared" si="136"/>
        <v>149000</v>
      </c>
      <c r="X763" s="103">
        <v>10000</v>
      </c>
      <c r="Y763" s="177">
        <f t="shared" si="137"/>
        <v>139000</v>
      </c>
      <c r="Z763" s="106"/>
      <c r="AA763" s="57"/>
    </row>
    <row r="764" spans="1:27" s="55" customFormat="1" ht="21" customHeight="1" x14ac:dyDescent="0.25">
      <c r="A764" s="56"/>
      <c r="B764" s="291" t="s">
        <v>58</v>
      </c>
      <c r="C764" s="292"/>
      <c r="D764" s="57"/>
      <c r="E764" s="57"/>
      <c r="F764" s="75" t="s">
        <v>80</v>
      </c>
      <c r="G764" s="197">
        <f>IF($J$1="January",U760,IF($J$1="February",U761,IF($J$1="March",U762,IF($J$1="April",U763,IF($J$1="May",U764,IF($J$1="June",U765,IF($J$1="July",U766,IF($J$1="August",U767,IF($J$1="August",U767,IF($J$1="September",U768,IF($J$1="October",U769,IF($J$1="November",U770,IF($J$1="December",U771)))))))))))))</f>
        <v>139000</v>
      </c>
      <c r="H764" s="74"/>
      <c r="I764" s="76">
        <f>IF(C768&gt;0,$K$2,C766)</f>
        <v>30</v>
      </c>
      <c r="J764" s="77" t="s">
        <v>77</v>
      </c>
      <c r="K764" s="78">
        <f>K760/$K$2*I764</f>
        <v>28000</v>
      </c>
      <c r="L764" s="79"/>
      <c r="M764" s="57"/>
      <c r="N764" s="100"/>
      <c r="O764" s="101" t="s">
        <v>64</v>
      </c>
      <c r="P764" s="101">
        <v>28</v>
      </c>
      <c r="Q764" s="101">
        <v>3</v>
      </c>
      <c r="R764" s="101">
        <f t="shared" si="135"/>
        <v>3</v>
      </c>
      <c r="S764" s="105"/>
      <c r="T764" s="101" t="s">
        <v>64</v>
      </c>
      <c r="U764" s="177">
        <f>Y763</f>
        <v>139000</v>
      </c>
      <c r="V764" s="103"/>
      <c r="W764" s="177">
        <f t="shared" si="136"/>
        <v>139000</v>
      </c>
      <c r="X764" s="103"/>
      <c r="Y764" s="177">
        <f t="shared" si="137"/>
        <v>139000</v>
      </c>
      <c r="Z764" s="106"/>
      <c r="AA764" s="57"/>
    </row>
    <row r="765" spans="1:27" s="55" customFormat="1" ht="21" customHeight="1" x14ac:dyDescent="0.25">
      <c r="A765" s="56"/>
      <c r="B765" s="66"/>
      <c r="C765" s="66"/>
      <c r="D765" s="57"/>
      <c r="E765" s="57"/>
      <c r="F765" s="75" t="s">
        <v>29</v>
      </c>
      <c r="G765" s="197">
        <f>IF($J$1="January",V760,IF($J$1="February",V761,IF($J$1="March",V762,IF($J$1="April",V763,IF($J$1="May",V764,IF($J$1="June",V765,IF($J$1="July",V766,IF($J$1="August",V767,IF($J$1="August",V767,IF($J$1="September",V768,IF($J$1="October",V769,IF($J$1="November",V770,IF($J$1="December",V771)))))))))))))</f>
        <v>0</v>
      </c>
      <c r="H765" s="74"/>
      <c r="I765" s="120">
        <v>11</v>
      </c>
      <c r="J765" s="77" t="s">
        <v>78</v>
      </c>
      <c r="K765" s="80">
        <f>K760/$K$2/8*I765</f>
        <v>1283.3333333333335</v>
      </c>
      <c r="L765" s="81"/>
      <c r="M765" s="57"/>
      <c r="N765" s="100"/>
      <c r="O765" s="101" t="s">
        <v>65</v>
      </c>
      <c r="P765" s="101">
        <v>29</v>
      </c>
      <c r="Q765" s="101">
        <v>1</v>
      </c>
      <c r="R765" s="101">
        <f t="shared" si="135"/>
        <v>2</v>
      </c>
      <c r="S765" s="105"/>
      <c r="T765" s="101" t="s">
        <v>65</v>
      </c>
      <c r="U765" s="177">
        <f>Y764</f>
        <v>139000</v>
      </c>
      <c r="V765" s="103"/>
      <c r="W765" s="177">
        <f t="shared" si="136"/>
        <v>139000</v>
      </c>
      <c r="X765" s="103">
        <v>10000</v>
      </c>
      <c r="Y765" s="177">
        <f t="shared" si="137"/>
        <v>129000</v>
      </c>
      <c r="Z765" s="106"/>
      <c r="AA765" s="57"/>
    </row>
    <row r="766" spans="1:27" s="55" customFormat="1" ht="21" customHeight="1" x14ac:dyDescent="0.25">
      <c r="A766" s="56"/>
      <c r="B766" s="75" t="s">
        <v>7</v>
      </c>
      <c r="C766" s="66">
        <f>IF($J$1="January",P760,IF($J$1="February",P761,IF($J$1="March",P762,IF($J$1="April",P763,IF($J$1="May",P764,IF($J$1="June",P765,IF($J$1="July",P766,IF($J$1="August",P767,IF($J$1="August",P767,IF($J$1="September",P768,IF($J$1="October",P769,IF($J$1="November",P770,IF($J$1="December",P771)))))))))))))</f>
        <v>29</v>
      </c>
      <c r="D766" s="57"/>
      <c r="E766" s="57"/>
      <c r="F766" s="75" t="s">
        <v>81</v>
      </c>
      <c r="G766" s="197">
        <f>IF($J$1="January",W760,IF($J$1="February",W761,IF($J$1="March",W762,IF($J$1="April",W763,IF($J$1="May",W764,IF($J$1="June",W765,IF($J$1="July",W766,IF($J$1="August",W767,IF($J$1="August",W767,IF($J$1="September",W768,IF($J$1="October",W769,IF($J$1="November",W770,IF($J$1="December",W771)))))))))))))</f>
        <v>139000</v>
      </c>
      <c r="H766" s="74"/>
      <c r="I766" s="293" t="s">
        <v>85</v>
      </c>
      <c r="J766" s="294"/>
      <c r="K766" s="80">
        <f>K764+K765</f>
        <v>29283.333333333332</v>
      </c>
      <c r="L766" s="81"/>
      <c r="M766" s="57"/>
      <c r="N766" s="100"/>
      <c r="O766" s="101" t="s">
        <v>66</v>
      </c>
      <c r="P766" s="101"/>
      <c r="Q766" s="101"/>
      <c r="R766" s="101">
        <v>0</v>
      </c>
      <c r="S766" s="105"/>
      <c r="T766" s="101" t="s">
        <v>66</v>
      </c>
      <c r="U766" s="177"/>
      <c r="V766" s="103"/>
      <c r="W766" s="177" t="str">
        <f t="shared" si="136"/>
        <v/>
      </c>
      <c r="X766" s="103"/>
      <c r="Y766" s="177" t="str">
        <f t="shared" si="137"/>
        <v/>
      </c>
      <c r="Z766" s="106"/>
      <c r="AA766" s="57"/>
    </row>
    <row r="767" spans="1:27" s="55" customFormat="1" ht="21" customHeight="1" x14ac:dyDescent="0.25">
      <c r="A767" s="56"/>
      <c r="B767" s="75" t="s">
        <v>6</v>
      </c>
      <c r="C767" s="66">
        <f>IF($J$1="January",Q760,IF($J$1="February",Q761,IF($J$1="March",Q762,IF($J$1="April",Q763,IF($J$1="May",Q764,IF($J$1="June",Q765,IF($J$1="July",Q766,IF($J$1="August",Q767,IF($J$1="August",Q767,IF($J$1="September",Q768,IF($J$1="October",Q769,IF($J$1="November",Q770,IF($J$1="December",Q771)))))))))))))</f>
        <v>1</v>
      </c>
      <c r="D767" s="57"/>
      <c r="E767" s="57"/>
      <c r="F767" s="75" t="s">
        <v>30</v>
      </c>
      <c r="G767" s="197">
        <f>IF($J$1="January",X760,IF($J$1="February",X761,IF($J$1="March",X762,IF($J$1="April",X763,IF($J$1="May",X764,IF($J$1="June",X765,IF($J$1="July",X766,IF($J$1="August",X767,IF($J$1="August",X767,IF($J$1="September",X768,IF($J$1="October",X769,IF($J$1="November",X770,IF($J$1="December",X771)))))))))))))</f>
        <v>10000</v>
      </c>
      <c r="H767" s="74"/>
      <c r="I767" s="293" t="s">
        <v>86</v>
      </c>
      <c r="J767" s="294"/>
      <c r="K767" s="70">
        <f>G767</f>
        <v>10000</v>
      </c>
      <c r="L767" s="82"/>
      <c r="M767" s="57"/>
      <c r="N767" s="100"/>
      <c r="O767" s="101" t="s">
        <v>67</v>
      </c>
      <c r="P767" s="101"/>
      <c r="Q767" s="101"/>
      <c r="R767" s="101">
        <v>0</v>
      </c>
      <c r="S767" s="105"/>
      <c r="T767" s="101" t="s">
        <v>67</v>
      </c>
      <c r="U767" s="177"/>
      <c r="V767" s="103"/>
      <c r="W767" s="177" t="str">
        <f t="shared" si="136"/>
        <v/>
      </c>
      <c r="X767" s="103"/>
      <c r="Y767" s="177" t="str">
        <f t="shared" si="137"/>
        <v/>
      </c>
      <c r="Z767" s="106"/>
      <c r="AA767" s="57"/>
    </row>
    <row r="768" spans="1:27" s="55" customFormat="1" ht="21" customHeight="1" x14ac:dyDescent="0.25">
      <c r="A768" s="56"/>
      <c r="B768" s="83" t="s">
        <v>84</v>
      </c>
      <c r="C768" s="66">
        <f>IF($J$1="January",R760,IF($J$1="February",R761,IF($J$1="March",R762,IF($J$1="April",R763,IF($J$1="May",R764,IF($J$1="June",R765,IF($J$1="July",R766,IF($J$1="August",R767,IF($J$1="August",R767,IF($J$1="September",R768,IF($J$1="October",R769,IF($J$1="November",R770,IF($J$1="December",R771)))))))))))))</f>
        <v>2</v>
      </c>
      <c r="D768" s="57"/>
      <c r="E768" s="57"/>
      <c r="F768" s="75" t="s">
        <v>83</v>
      </c>
      <c r="G768" s="197">
        <f>IF($J$1="January",Y760,IF($J$1="February",Y761,IF($J$1="March",Y762,IF($J$1="April",Y763,IF($J$1="May",Y764,IF($J$1="June",Y765,IF($J$1="July",Y766,IF($J$1="August",Y767,IF($J$1="August",Y767,IF($J$1="September",Y768,IF($J$1="October",Y769,IF($J$1="November",Y770,IF($J$1="December",Y771)))))))))))))</f>
        <v>129000</v>
      </c>
      <c r="H768" s="57"/>
      <c r="I768" s="295" t="s">
        <v>79</v>
      </c>
      <c r="J768" s="296"/>
      <c r="K768" s="84">
        <f>K766-K767</f>
        <v>19283.333333333332</v>
      </c>
      <c r="L768" s="85"/>
      <c r="M768" s="57"/>
      <c r="N768" s="100"/>
      <c r="O768" s="101" t="s">
        <v>72</v>
      </c>
      <c r="P768" s="101"/>
      <c r="Q768" s="101"/>
      <c r="R768" s="101">
        <v>0</v>
      </c>
      <c r="S768" s="105"/>
      <c r="T768" s="101" t="s">
        <v>72</v>
      </c>
      <c r="U768" s="177"/>
      <c r="V768" s="103"/>
      <c r="W768" s="177" t="str">
        <f t="shared" si="136"/>
        <v/>
      </c>
      <c r="X768" s="103"/>
      <c r="Y768" s="177" t="str">
        <f t="shared" si="137"/>
        <v/>
      </c>
      <c r="Z768" s="106"/>
      <c r="AA768" s="57"/>
    </row>
    <row r="769" spans="1:27" s="55" customFormat="1" ht="21" customHeight="1" x14ac:dyDescent="0.25">
      <c r="A769" s="56"/>
      <c r="B769" s="57"/>
      <c r="C769" s="57"/>
      <c r="D769" s="57"/>
      <c r="E769" s="57"/>
      <c r="F769" s="57"/>
      <c r="G769" s="57"/>
      <c r="H769" s="57"/>
      <c r="I769" s="57"/>
      <c r="J769" s="194"/>
      <c r="K769" s="194"/>
      <c r="L769" s="73"/>
      <c r="M769" s="57"/>
      <c r="N769" s="100"/>
      <c r="O769" s="101" t="s">
        <v>68</v>
      </c>
      <c r="P769" s="101"/>
      <c r="Q769" s="101"/>
      <c r="R769" s="101">
        <v>0</v>
      </c>
      <c r="S769" s="105"/>
      <c r="T769" s="101" t="s">
        <v>68</v>
      </c>
      <c r="U769" s="177"/>
      <c r="V769" s="103"/>
      <c r="W769" s="177" t="str">
        <f t="shared" si="136"/>
        <v/>
      </c>
      <c r="X769" s="103"/>
      <c r="Y769" s="177" t="str">
        <f t="shared" si="137"/>
        <v/>
      </c>
      <c r="Z769" s="106"/>
      <c r="AA769" s="57"/>
    </row>
    <row r="770" spans="1:27" s="55" customFormat="1" ht="21" customHeight="1" x14ac:dyDescent="0.25">
      <c r="A770" s="56"/>
      <c r="B770" s="284" t="s">
        <v>116</v>
      </c>
      <c r="C770" s="284"/>
      <c r="D770" s="284"/>
      <c r="E770" s="284"/>
      <c r="F770" s="284"/>
      <c r="G770" s="284"/>
      <c r="H770" s="284"/>
      <c r="I770" s="284"/>
      <c r="J770" s="284"/>
      <c r="K770" s="284"/>
      <c r="L770" s="73"/>
      <c r="M770" s="57"/>
      <c r="N770" s="100"/>
      <c r="O770" s="101" t="s">
        <v>73</v>
      </c>
      <c r="P770" s="101"/>
      <c r="Q770" s="101"/>
      <c r="R770" s="101">
        <v>0</v>
      </c>
      <c r="S770" s="105"/>
      <c r="T770" s="101" t="s">
        <v>73</v>
      </c>
      <c r="U770" s="177"/>
      <c r="V770" s="103"/>
      <c r="W770" s="177" t="str">
        <f t="shared" si="136"/>
        <v/>
      </c>
      <c r="X770" s="103"/>
      <c r="Y770" s="177" t="str">
        <f t="shared" si="137"/>
        <v/>
      </c>
      <c r="Z770" s="106"/>
      <c r="AA770" s="57"/>
    </row>
    <row r="771" spans="1:27" s="55" customFormat="1" ht="21" customHeight="1" x14ac:dyDescent="0.25">
      <c r="A771" s="56"/>
      <c r="B771" s="284"/>
      <c r="C771" s="284"/>
      <c r="D771" s="284"/>
      <c r="E771" s="284"/>
      <c r="F771" s="284"/>
      <c r="G771" s="284"/>
      <c r="H771" s="284"/>
      <c r="I771" s="284"/>
      <c r="J771" s="284"/>
      <c r="K771" s="284"/>
      <c r="L771" s="73"/>
      <c r="M771" s="57"/>
      <c r="N771" s="100"/>
      <c r="O771" s="101" t="s">
        <v>74</v>
      </c>
      <c r="P771" s="101"/>
      <c r="Q771" s="101"/>
      <c r="R771" s="101">
        <v>0</v>
      </c>
      <c r="S771" s="105"/>
      <c r="T771" s="101" t="s">
        <v>74</v>
      </c>
      <c r="U771" s="177"/>
      <c r="V771" s="103"/>
      <c r="W771" s="177" t="str">
        <f t="shared" si="136"/>
        <v/>
      </c>
      <c r="X771" s="103"/>
      <c r="Y771" s="177" t="str">
        <f t="shared" si="137"/>
        <v/>
      </c>
      <c r="Z771" s="106"/>
      <c r="AA771" s="57"/>
    </row>
    <row r="772" spans="1:27" s="55" customFormat="1" ht="21" customHeight="1" thickBot="1" x14ac:dyDescent="0.3">
      <c r="A772" s="86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8"/>
      <c r="N772" s="107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9"/>
    </row>
    <row r="773" spans="1:27" s="57" customFormat="1" ht="21" customHeight="1" thickBot="1" x14ac:dyDescent="0.3"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  <c r="Z773" s="105"/>
    </row>
    <row r="774" spans="1:27" s="55" customFormat="1" ht="21" customHeight="1" x14ac:dyDescent="0.25">
      <c r="A774" s="297" t="s">
        <v>56</v>
      </c>
      <c r="B774" s="298"/>
      <c r="C774" s="298"/>
      <c r="D774" s="298"/>
      <c r="E774" s="298"/>
      <c r="F774" s="298"/>
      <c r="G774" s="298"/>
      <c r="H774" s="298"/>
      <c r="I774" s="298"/>
      <c r="J774" s="298"/>
      <c r="K774" s="298"/>
      <c r="L774" s="299"/>
      <c r="M774" s="54"/>
      <c r="N774" s="93"/>
      <c r="O774" s="285" t="s">
        <v>58</v>
      </c>
      <c r="P774" s="286"/>
      <c r="Q774" s="286"/>
      <c r="R774" s="287"/>
      <c r="S774" s="94"/>
      <c r="T774" s="285" t="s">
        <v>59</v>
      </c>
      <c r="U774" s="286"/>
      <c r="V774" s="286"/>
      <c r="W774" s="286"/>
      <c r="X774" s="286"/>
      <c r="Y774" s="287"/>
      <c r="Z774" s="95"/>
      <c r="AA774" s="54"/>
    </row>
    <row r="775" spans="1:27" s="55" customFormat="1" ht="21" customHeight="1" x14ac:dyDescent="0.25">
      <c r="A775" s="56"/>
      <c r="B775" s="57"/>
      <c r="C775" s="288" t="s">
        <v>114</v>
      </c>
      <c r="D775" s="288"/>
      <c r="E775" s="288"/>
      <c r="F775" s="288"/>
      <c r="G775" s="58" t="str">
        <f>$J$1</f>
        <v>June</v>
      </c>
      <c r="H775" s="289">
        <f>$K$1</f>
        <v>2019</v>
      </c>
      <c r="I775" s="289"/>
      <c r="J775" s="57"/>
      <c r="K775" s="59"/>
      <c r="L775" s="60"/>
      <c r="M775" s="59"/>
      <c r="N775" s="96"/>
      <c r="O775" s="97" t="s">
        <v>69</v>
      </c>
      <c r="P775" s="97" t="s">
        <v>7</v>
      </c>
      <c r="Q775" s="97" t="s">
        <v>6</v>
      </c>
      <c r="R775" s="97" t="s">
        <v>70</v>
      </c>
      <c r="S775" s="98"/>
      <c r="T775" s="97" t="s">
        <v>69</v>
      </c>
      <c r="U775" s="97" t="s">
        <v>71</v>
      </c>
      <c r="V775" s="97" t="s">
        <v>29</v>
      </c>
      <c r="W775" s="97" t="s">
        <v>28</v>
      </c>
      <c r="X775" s="97" t="s">
        <v>30</v>
      </c>
      <c r="Y775" s="97" t="s">
        <v>75</v>
      </c>
      <c r="Z775" s="99"/>
      <c r="AA775" s="59"/>
    </row>
    <row r="776" spans="1:27" s="55" customFormat="1" ht="21" customHeight="1" x14ac:dyDescent="0.25">
      <c r="A776" s="56"/>
      <c r="B776" s="57"/>
      <c r="C776" s="57"/>
      <c r="D776" s="62"/>
      <c r="E776" s="62"/>
      <c r="F776" s="62"/>
      <c r="G776" s="62"/>
      <c r="H776" s="62"/>
      <c r="I776" s="57"/>
      <c r="J776" s="63" t="s">
        <v>1</v>
      </c>
      <c r="K776" s="64"/>
      <c r="L776" s="65"/>
      <c r="M776" s="57"/>
      <c r="N776" s="100"/>
      <c r="O776" s="101" t="s">
        <v>61</v>
      </c>
      <c r="P776" s="101"/>
      <c r="Q776" s="101"/>
      <c r="R776" s="101">
        <f>15-Q776</f>
        <v>15</v>
      </c>
      <c r="S776" s="102"/>
      <c r="T776" s="101" t="s">
        <v>61</v>
      </c>
      <c r="U776" s="103"/>
      <c r="V776" s="103"/>
      <c r="W776" s="103">
        <f>V776+U776</f>
        <v>0</v>
      </c>
      <c r="X776" s="103"/>
      <c r="Y776" s="103">
        <f>W776-X776</f>
        <v>0</v>
      </c>
      <c r="Z776" s="99"/>
      <c r="AA776" s="57"/>
    </row>
    <row r="777" spans="1:27" s="55" customFormat="1" ht="21" customHeight="1" x14ac:dyDescent="0.25">
      <c r="A777" s="56"/>
      <c r="B777" s="57" t="s">
        <v>0</v>
      </c>
      <c r="C777" s="67"/>
      <c r="D777" s="57"/>
      <c r="E777" s="57"/>
      <c r="F777" s="57"/>
      <c r="G777" s="57"/>
      <c r="H777" s="68"/>
      <c r="I777" s="62"/>
      <c r="J777" s="57"/>
      <c r="K777" s="57"/>
      <c r="L777" s="69"/>
      <c r="M777" s="54"/>
      <c r="N777" s="104"/>
      <c r="O777" s="101" t="s">
        <v>87</v>
      </c>
      <c r="P777" s="101"/>
      <c r="Q777" s="101"/>
      <c r="R777" s="101" t="str">
        <f>IF(Q777="","",R776-Q777)</f>
        <v/>
      </c>
      <c r="S777" s="105"/>
      <c r="T777" s="101" t="s">
        <v>87</v>
      </c>
      <c r="U777" s="177">
        <f>Y776</f>
        <v>0</v>
      </c>
      <c r="V777" s="103"/>
      <c r="W777" s="177">
        <f>IF(U777="","",U777+V777)</f>
        <v>0</v>
      </c>
      <c r="X777" s="103"/>
      <c r="Y777" s="177">
        <f>IF(W777="","",W777-X777)</f>
        <v>0</v>
      </c>
      <c r="Z777" s="106"/>
      <c r="AA777" s="54"/>
    </row>
    <row r="778" spans="1:27" s="55" customFormat="1" ht="21" customHeight="1" x14ac:dyDescent="0.25">
      <c r="A778" s="56"/>
      <c r="B778" s="71" t="s">
        <v>57</v>
      </c>
      <c r="C778" s="89"/>
      <c r="D778" s="57"/>
      <c r="E778" s="57"/>
      <c r="F778" s="290" t="s">
        <v>59</v>
      </c>
      <c r="G778" s="290"/>
      <c r="H778" s="57"/>
      <c r="I778" s="290" t="s">
        <v>60</v>
      </c>
      <c r="J778" s="290"/>
      <c r="K778" s="290"/>
      <c r="L778" s="73"/>
      <c r="M778" s="57"/>
      <c r="N778" s="100"/>
      <c r="O778" s="101" t="s">
        <v>62</v>
      </c>
      <c r="P778" s="101"/>
      <c r="Q778" s="101"/>
      <c r="R778" s="101" t="str">
        <f t="shared" ref="R778:R787" si="138">IF(Q778="","",R777-Q778)</f>
        <v/>
      </c>
      <c r="S778" s="105"/>
      <c r="T778" s="101" t="s">
        <v>62</v>
      </c>
      <c r="U778" s="177">
        <f>IF($J$1="April",Y777,Y777)</f>
        <v>0</v>
      </c>
      <c r="V778" s="103"/>
      <c r="W778" s="177">
        <f t="shared" ref="W778:W787" si="139">IF(U778="","",U778+V778)</f>
        <v>0</v>
      </c>
      <c r="X778" s="103"/>
      <c r="Y778" s="177">
        <f t="shared" ref="Y778:Y787" si="140">IF(W778="","",W778-X778)</f>
        <v>0</v>
      </c>
      <c r="Z778" s="106"/>
      <c r="AA778" s="57"/>
    </row>
    <row r="779" spans="1:27" s="55" customFormat="1" ht="21" customHeight="1" x14ac:dyDescent="0.25">
      <c r="A779" s="56"/>
      <c r="B779" s="57"/>
      <c r="C779" s="57"/>
      <c r="D779" s="57"/>
      <c r="E779" s="57"/>
      <c r="F779" s="57"/>
      <c r="G779" s="57"/>
      <c r="H779" s="74"/>
      <c r="L779" s="61"/>
      <c r="M779" s="57"/>
      <c r="N779" s="100"/>
      <c r="O779" s="101" t="s">
        <v>63</v>
      </c>
      <c r="P779" s="101"/>
      <c r="Q779" s="101"/>
      <c r="R779" s="101" t="str">
        <f t="shared" si="138"/>
        <v/>
      </c>
      <c r="S779" s="105"/>
      <c r="T779" s="101" t="s">
        <v>63</v>
      </c>
      <c r="U779" s="177">
        <f>IF($J$1="April",Y778,Y778)</f>
        <v>0</v>
      </c>
      <c r="V779" s="103"/>
      <c r="W779" s="177">
        <f t="shared" si="139"/>
        <v>0</v>
      </c>
      <c r="X779" s="103"/>
      <c r="Y779" s="177">
        <f t="shared" si="140"/>
        <v>0</v>
      </c>
      <c r="Z779" s="106"/>
      <c r="AA779" s="57"/>
    </row>
    <row r="780" spans="1:27" s="55" customFormat="1" ht="21" customHeight="1" x14ac:dyDescent="0.25">
      <c r="A780" s="56"/>
      <c r="B780" s="291" t="s">
        <v>58</v>
      </c>
      <c r="C780" s="292"/>
      <c r="D780" s="57"/>
      <c r="E780" s="57"/>
      <c r="F780" s="75" t="s">
        <v>80</v>
      </c>
      <c r="G780" s="70">
        <f>IF($J$1="January",U776,IF($J$1="February",U777,IF($J$1="March",U778,IF($J$1="April",U779,IF($J$1="May",U780,IF($J$1="June",U781,IF($J$1="July",U782,IF($J$1="August",U783,IF($J$1="August",U783,IF($J$1="September",U784,IF($J$1="October",U785,IF($J$1="November",U786,IF($J$1="December",U787)))))))))))))</f>
        <v>0</v>
      </c>
      <c r="H780" s="74"/>
      <c r="I780" s="76"/>
      <c r="J780" s="77" t="s">
        <v>77</v>
      </c>
      <c r="K780" s="78">
        <f>K776/$K$2*I780</f>
        <v>0</v>
      </c>
      <c r="L780" s="79"/>
      <c r="M780" s="57"/>
      <c r="N780" s="100"/>
      <c r="O780" s="101" t="s">
        <v>64</v>
      </c>
      <c r="P780" s="101"/>
      <c r="Q780" s="101"/>
      <c r="R780" s="101" t="str">
        <f t="shared" si="138"/>
        <v/>
      </c>
      <c r="S780" s="105"/>
      <c r="T780" s="101" t="s">
        <v>64</v>
      </c>
      <c r="U780" s="177">
        <f>IF($J$1="May",Y779,Y779)</f>
        <v>0</v>
      </c>
      <c r="V780" s="103"/>
      <c r="W780" s="177">
        <f t="shared" si="139"/>
        <v>0</v>
      </c>
      <c r="X780" s="103"/>
      <c r="Y780" s="177">
        <f t="shared" si="140"/>
        <v>0</v>
      </c>
      <c r="Z780" s="106"/>
      <c r="AA780" s="57"/>
    </row>
    <row r="781" spans="1:27" s="55" customFormat="1" ht="21" customHeight="1" x14ac:dyDescent="0.25">
      <c r="A781" s="56"/>
      <c r="B781" s="66"/>
      <c r="C781" s="66"/>
      <c r="D781" s="57"/>
      <c r="E781" s="57"/>
      <c r="F781" s="75" t="s">
        <v>29</v>
      </c>
      <c r="G781" s="70">
        <f>IF($J$1="January",V776,IF($J$1="February",V777,IF($J$1="March",V778,IF($J$1="April",V779,IF($J$1="May",V780,IF($J$1="June",V781,IF($J$1="July",V782,IF($J$1="August",V783,IF($J$1="August",V783,IF($J$1="September",V784,IF($J$1="October",V785,IF($J$1="November",V786,IF($J$1="December",V787)))))))))))))</f>
        <v>0</v>
      </c>
      <c r="H781" s="74"/>
      <c r="I781" s="76"/>
      <c r="J781" s="77" t="s">
        <v>78</v>
      </c>
      <c r="K781" s="80"/>
      <c r="L781" s="81"/>
      <c r="M781" s="57"/>
      <c r="N781" s="100"/>
      <c r="O781" s="101" t="s">
        <v>65</v>
      </c>
      <c r="P781" s="101"/>
      <c r="Q781" s="101"/>
      <c r="R781" s="101" t="str">
        <f t="shared" si="138"/>
        <v/>
      </c>
      <c r="S781" s="105"/>
      <c r="T781" s="101" t="s">
        <v>65</v>
      </c>
      <c r="U781" s="177">
        <f>IF($J$1="May",Y780,Y780)</f>
        <v>0</v>
      </c>
      <c r="V781" s="103"/>
      <c r="W781" s="177">
        <f t="shared" si="139"/>
        <v>0</v>
      </c>
      <c r="X781" s="103"/>
      <c r="Y781" s="177">
        <f t="shared" si="140"/>
        <v>0</v>
      </c>
      <c r="Z781" s="106"/>
      <c r="AA781" s="57"/>
    </row>
    <row r="782" spans="1:27" s="55" customFormat="1" ht="21" customHeight="1" x14ac:dyDescent="0.25">
      <c r="A782" s="56"/>
      <c r="B782" s="75" t="s">
        <v>7</v>
      </c>
      <c r="C782" s="66">
        <f>IF($J$1="January",P776,IF($J$1="February",P777,IF($J$1="March",P778,IF($J$1="April",P779,IF($J$1="May",P780,IF($J$1="June",P781,IF($J$1="July",P782,IF($J$1="August",P783,IF($J$1="August",P783,IF($J$1="September",P784,IF($J$1="October",P785,IF($J$1="November",P786,IF($J$1="December",P787)))))))))))))</f>
        <v>0</v>
      </c>
      <c r="D782" s="57"/>
      <c r="E782" s="57"/>
      <c r="F782" s="75" t="s">
        <v>81</v>
      </c>
      <c r="G782" s="70">
        <f>IF($J$1="January",W776,IF($J$1="February",W777,IF($J$1="March",W778,IF($J$1="April",W779,IF($J$1="May",W780,IF($J$1="June",W781,IF($J$1="July",W782,IF($J$1="August",W783,IF($J$1="August",W783,IF($J$1="September",W784,IF($J$1="October",W785,IF($J$1="November",W786,IF($J$1="December",W787)))))))))))))</f>
        <v>0</v>
      </c>
      <c r="H782" s="74"/>
      <c r="I782" s="293" t="s">
        <v>85</v>
      </c>
      <c r="J782" s="294"/>
      <c r="K782" s="80">
        <f>K780+K781</f>
        <v>0</v>
      </c>
      <c r="L782" s="81"/>
      <c r="M782" s="57"/>
      <c r="N782" s="100"/>
      <c r="O782" s="101" t="s">
        <v>66</v>
      </c>
      <c r="P782" s="101"/>
      <c r="Q782" s="101"/>
      <c r="R782" s="101" t="str">
        <f t="shared" si="138"/>
        <v/>
      </c>
      <c r="S782" s="105"/>
      <c r="T782" s="101" t="s">
        <v>66</v>
      </c>
      <c r="U782" s="177">
        <f>IF($J$1="May",Y781,Y781)</f>
        <v>0</v>
      </c>
      <c r="V782" s="103"/>
      <c r="W782" s="177">
        <f t="shared" si="139"/>
        <v>0</v>
      </c>
      <c r="X782" s="103"/>
      <c r="Y782" s="177">
        <f t="shared" si="140"/>
        <v>0</v>
      </c>
      <c r="Z782" s="106"/>
      <c r="AA782" s="57"/>
    </row>
    <row r="783" spans="1:27" s="55" customFormat="1" ht="21" customHeight="1" x14ac:dyDescent="0.25">
      <c r="A783" s="56"/>
      <c r="B783" s="75" t="s">
        <v>6</v>
      </c>
      <c r="C783" s="66">
        <f>IF($J$1="January",Q776,IF($J$1="February",Q777,IF($J$1="March",Q778,IF($J$1="April",Q779,IF($J$1="May",Q780,IF($J$1="June",Q781,IF($J$1="July",Q782,IF($J$1="August",Q783,IF($J$1="August",Q783,IF($J$1="September",Q784,IF($J$1="October",Q785,IF($J$1="November",Q786,IF($J$1="December",Q787)))))))))))))</f>
        <v>0</v>
      </c>
      <c r="D783" s="57"/>
      <c r="E783" s="57"/>
      <c r="F783" s="75" t="s">
        <v>30</v>
      </c>
      <c r="G783" s="70">
        <f>IF($J$1="January",X776,IF($J$1="February",X777,IF($J$1="March",X778,IF($J$1="April",X779,IF($J$1="May",X780,IF($J$1="June",X781,IF($J$1="July",X782,IF($J$1="August",X783,IF($J$1="August",X783,IF($J$1="September",X784,IF($J$1="October",X785,IF($J$1="November",X786,IF($J$1="December",X787)))))))))))))</f>
        <v>0</v>
      </c>
      <c r="H783" s="74"/>
      <c r="I783" s="293" t="s">
        <v>86</v>
      </c>
      <c r="J783" s="294"/>
      <c r="K783" s="70">
        <f>G783</f>
        <v>0</v>
      </c>
      <c r="L783" s="82"/>
      <c r="M783" s="57"/>
      <c r="N783" s="100"/>
      <c r="O783" s="101" t="s">
        <v>67</v>
      </c>
      <c r="P783" s="101"/>
      <c r="Q783" s="101"/>
      <c r="R783" s="101" t="str">
        <f t="shared" si="138"/>
        <v/>
      </c>
      <c r="S783" s="105"/>
      <c r="T783" s="101" t="s">
        <v>67</v>
      </c>
      <c r="U783" s="177" t="str">
        <f>IF($J$1="September",Y782,"")</f>
        <v/>
      </c>
      <c r="V783" s="103"/>
      <c r="W783" s="177" t="str">
        <f t="shared" si="139"/>
        <v/>
      </c>
      <c r="X783" s="103"/>
      <c r="Y783" s="177" t="str">
        <f t="shared" si="140"/>
        <v/>
      </c>
      <c r="Z783" s="106"/>
      <c r="AA783" s="57"/>
    </row>
    <row r="784" spans="1:27" s="55" customFormat="1" ht="21" customHeight="1" x14ac:dyDescent="0.25">
      <c r="A784" s="56"/>
      <c r="B784" s="83" t="s">
        <v>84</v>
      </c>
      <c r="C784" s="66" t="str">
        <f>IF($J$1="January",R776,IF($J$1="February",R777,IF($J$1="March",R778,IF($J$1="April",R779,IF($J$1="May",R780,IF($J$1="June",R781,IF($J$1="July",R782,IF($J$1="August",R783,IF($J$1="August",R783,IF($J$1="September",R784,IF($J$1="October",R785,IF($J$1="November",R786,IF($J$1="December",R787)))))))))))))</f>
        <v/>
      </c>
      <c r="D784" s="57"/>
      <c r="E784" s="57"/>
      <c r="F784" s="75" t="s">
        <v>83</v>
      </c>
      <c r="G784" s="70">
        <f>IF($J$1="January",Y776,IF($J$1="February",Y777,IF($J$1="March",Y778,IF($J$1="April",Y779,IF($J$1="May",Y780,IF($J$1="June",Y781,IF($J$1="July",Y782,IF($J$1="August",Y783,IF($J$1="August",Y783,IF($J$1="September",Y784,IF($J$1="October",Y785,IF($J$1="November",Y786,IF($J$1="December",Y787)))))))))))))</f>
        <v>0</v>
      </c>
      <c r="H784" s="57"/>
      <c r="I784" s="295" t="s">
        <v>79</v>
      </c>
      <c r="J784" s="296"/>
      <c r="K784" s="84">
        <f>K782-K783</f>
        <v>0</v>
      </c>
      <c r="L784" s="85"/>
      <c r="M784" s="57"/>
      <c r="N784" s="100"/>
      <c r="O784" s="101" t="s">
        <v>72</v>
      </c>
      <c r="P784" s="101"/>
      <c r="Q784" s="101"/>
      <c r="R784" s="101" t="str">
        <f t="shared" si="138"/>
        <v/>
      </c>
      <c r="S784" s="105"/>
      <c r="T784" s="101" t="s">
        <v>72</v>
      </c>
      <c r="U784" s="177" t="str">
        <f>IF($J$1="September",Y783,"")</f>
        <v/>
      </c>
      <c r="V784" s="103"/>
      <c r="W784" s="177" t="str">
        <f t="shared" si="139"/>
        <v/>
      </c>
      <c r="X784" s="103"/>
      <c r="Y784" s="177" t="str">
        <f t="shared" si="140"/>
        <v/>
      </c>
      <c r="Z784" s="106"/>
      <c r="AA784" s="57"/>
    </row>
    <row r="785" spans="1:27" s="55" customFormat="1" ht="21" customHeight="1" x14ac:dyDescent="0.25">
      <c r="A785" s="56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73"/>
      <c r="M785" s="57"/>
      <c r="N785" s="100"/>
      <c r="O785" s="101" t="s">
        <v>68</v>
      </c>
      <c r="P785" s="101"/>
      <c r="Q785" s="101"/>
      <c r="R785" s="101" t="str">
        <f t="shared" si="138"/>
        <v/>
      </c>
      <c r="S785" s="105"/>
      <c r="T785" s="101" t="s">
        <v>68</v>
      </c>
      <c r="U785" s="177" t="str">
        <f>IF($J$1="October",Y784,"")</f>
        <v/>
      </c>
      <c r="V785" s="103"/>
      <c r="W785" s="177" t="str">
        <f t="shared" si="139"/>
        <v/>
      </c>
      <c r="X785" s="103"/>
      <c r="Y785" s="177" t="str">
        <f t="shared" si="140"/>
        <v/>
      </c>
      <c r="Z785" s="106"/>
      <c r="AA785" s="57"/>
    </row>
    <row r="786" spans="1:27" s="55" customFormat="1" ht="21" customHeight="1" x14ac:dyDescent="0.25">
      <c r="A786" s="56"/>
      <c r="B786" s="284" t="s">
        <v>116</v>
      </c>
      <c r="C786" s="284"/>
      <c r="D786" s="284"/>
      <c r="E786" s="284"/>
      <c r="F786" s="284"/>
      <c r="G786" s="284"/>
      <c r="H786" s="284"/>
      <c r="I786" s="284"/>
      <c r="J786" s="284"/>
      <c r="K786" s="284"/>
      <c r="L786" s="73"/>
      <c r="M786" s="57"/>
      <c r="N786" s="100"/>
      <c r="O786" s="101" t="s">
        <v>73</v>
      </c>
      <c r="P786" s="101"/>
      <c r="Q786" s="101"/>
      <c r="R786" s="101" t="str">
        <f t="shared" si="138"/>
        <v/>
      </c>
      <c r="S786" s="105"/>
      <c r="T786" s="101" t="s">
        <v>73</v>
      </c>
      <c r="U786" s="177" t="str">
        <f>IF($J$1="November",Y785,"")</f>
        <v/>
      </c>
      <c r="V786" s="103"/>
      <c r="W786" s="177" t="str">
        <f t="shared" si="139"/>
        <v/>
      </c>
      <c r="X786" s="103"/>
      <c r="Y786" s="177" t="str">
        <f t="shared" si="140"/>
        <v/>
      </c>
      <c r="Z786" s="106"/>
      <c r="AA786" s="57"/>
    </row>
    <row r="787" spans="1:27" s="55" customFormat="1" ht="21" customHeight="1" x14ac:dyDescent="0.25">
      <c r="A787" s="56"/>
      <c r="B787" s="284"/>
      <c r="C787" s="284"/>
      <c r="D787" s="284"/>
      <c r="E787" s="284"/>
      <c r="F787" s="284"/>
      <c r="G787" s="284"/>
      <c r="H787" s="284"/>
      <c r="I787" s="284"/>
      <c r="J787" s="284"/>
      <c r="K787" s="284"/>
      <c r="L787" s="73"/>
      <c r="M787" s="57"/>
      <c r="N787" s="100"/>
      <c r="O787" s="101" t="s">
        <v>74</v>
      </c>
      <c r="P787" s="101"/>
      <c r="Q787" s="101"/>
      <c r="R787" s="101" t="str">
        <f t="shared" si="138"/>
        <v/>
      </c>
      <c r="S787" s="105"/>
      <c r="T787" s="101" t="s">
        <v>74</v>
      </c>
      <c r="U787" s="177" t="str">
        <f>IF($J$1="Dec",Y786,"")</f>
        <v/>
      </c>
      <c r="V787" s="103"/>
      <c r="W787" s="177" t="str">
        <f t="shared" si="139"/>
        <v/>
      </c>
      <c r="X787" s="103"/>
      <c r="Y787" s="177" t="str">
        <f t="shared" si="140"/>
        <v/>
      </c>
      <c r="Z787" s="106"/>
      <c r="AA787" s="57"/>
    </row>
    <row r="788" spans="1:27" s="55" customFormat="1" ht="21" customHeight="1" thickBot="1" x14ac:dyDescent="0.3">
      <c r="A788" s="86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8"/>
      <c r="N788" s="107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9"/>
    </row>
    <row r="789" spans="1:27" s="55" customFormat="1" ht="21" customHeight="1" thickBot="1" x14ac:dyDescent="0.3"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</row>
    <row r="790" spans="1:27" s="55" customFormat="1" ht="21" customHeight="1" x14ac:dyDescent="0.25">
      <c r="A790" s="297" t="s">
        <v>56</v>
      </c>
      <c r="B790" s="298"/>
      <c r="C790" s="298"/>
      <c r="D790" s="298"/>
      <c r="E790" s="298"/>
      <c r="F790" s="298"/>
      <c r="G790" s="298"/>
      <c r="H790" s="298"/>
      <c r="I790" s="298"/>
      <c r="J790" s="298"/>
      <c r="K790" s="298"/>
      <c r="L790" s="299"/>
      <c r="M790" s="54"/>
      <c r="N790" s="93"/>
      <c r="O790" s="285" t="s">
        <v>58</v>
      </c>
      <c r="P790" s="286"/>
      <c r="Q790" s="286"/>
      <c r="R790" s="287"/>
      <c r="S790" s="94"/>
      <c r="T790" s="285" t="s">
        <v>59</v>
      </c>
      <c r="U790" s="286"/>
      <c r="V790" s="286"/>
      <c r="W790" s="286"/>
      <c r="X790" s="286"/>
      <c r="Y790" s="287"/>
      <c r="Z790" s="95"/>
      <c r="AA790" s="54"/>
    </row>
    <row r="791" spans="1:27" s="55" customFormat="1" ht="21" customHeight="1" x14ac:dyDescent="0.25">
      <c r="A791" s="56"/>
      <c r="B791" s="57"/>
      <c r="C791" s="288" t="s">
        <v>114</v>
      </c>
      <c r="D791" s="288"/>
      <c r="E791" s="288"/>
      <c r="F791" s="288"/>
      <c r="G791" s="58" t="str">
        <f>$J$1</f>
        <v>June</v>
      </c>
      <c r="H791" s="289">
        <f>$K$1</f>
        <v>2019</v>
      </c>
      <c r="I791" s="289"/>
      <c r="J791" s="57"/>
      <c r="K791" s="59"/>
      <c r="L791" s="60"/>
      <c r="M791" s="59"/>
      <c r="N791" s="96"/>
      <c r="O791" s="97" t="s">
        <v>69</v>
      </c>
      <c r="P791" s="97" t="s">
        <v>7</v>
      </c>
      <c r="Q791" s="97" t="s">
        <v>6</v>
      </c>
      <c r="R791" s="97" t="s">
        <v>70</v>
      </c>
      <c r="S791" s="98"/>
      <c r="T791" s="97" t="s">
        <v>69</v>
      </c>
      <c r="U791" s="97" t="s">
        <v>71</v>
      </c>
      <c r="V791" s="97" t="s">
        <v>29</v>
      </c>
      <c r="W791" s="97" t="s">
        <v>28</v>
      </c>
      <c r="X791" s="97" t="s">
        <v>30</v>
      </c>
      <c r="Y791" s="97" t="s">
        <v>75</v>
      </c>
      <c r="Z791" s="99"/>
      <c r="AA791" s="59"/>
    </row>
    <row r="792" spans="1:27" s="55" customFormat="1" ht="21" customHeight="1" x14ac:dyDescent="0.25">
      <c r="A792" s="56"/>
      <c r="B792" s="57"/>
      <c r="C792" s="57"/>
      <c r="D792" s="62"/>
      <c r="E792" s="62"/>
      <c r="F792" s="62"/>
      <c r="G792" s="62"/>
      <c r="H792" s="62"/>
      <c r="I792" s="57"/>
      <c r="J792" s="63" t="s">
        <v>1</v>
      </c>
      <c r="K792" s="64">
        <v>22000</v>
      </c>
      <c r="L792" s="65"/>
      <c r="M792" s="57"/>
      <c r="N792" s="100"/>
      <c r="O792" s="101" t="s">
        <v>61</v>
      </c>
      <c r="P792" s="101">
        <v>27</v>
      </c>
      <c r="Q792" s="101">
        <v>4</v>
      </c>
      <c r="R792" s="101">
        <v>0</v>
      </c>
      <c r="S792" s="102"/>
      <c r="T792" s="101" t="s">
        <v>61</v>
      </c>
      <c r="U792" s="103"/>
      <c r="V792" s="103"/>
      <c r="W792" s="103">
        <f>V792+U792</f>
        <v>0</v>
      </c>
      <c r="X792" s="103"/>
      <c r="Y792" s="103">
        <f>W792-X792</f>
        <v>0</v>
      </c>
      <c r="Z792" s="99"/>
      <c r="AA792" s="57"/>
    </row>
    <row r="793" spans="1:27" s="55" customFormat="1" ht="21" customHeight="1" x14ac:dyDescent="0.25">
      <c r="A793" s="56"/>
      <c r="B793" s="57" t="s">
        <v>0</v>
      </c>
      <c r="C793" s="67" t="s">
        <v>150</v>
      </c>
      <c r="D793" s="57"/>
      <c r="E793" s="57"/>
      <c r="F793" s="57"/>
      <c r="G793" s="57"/>
      <c r="H793" s="68"/>
      <c r="I793" s="62"/>
      <c r="J793" s="57"/>
      <c r="K793" s="57"/>
      <c r="L793" s="69"/>
      <c r="M793" s="54"/>
      <c r="N793" s="104"/>
      <c r="O793" s="101" t="s">
        <v>87</v>
      </c>
      <c r="P793" s="101">
        <v>28</v>
      </c>
      <c r="Q793" s="101">
        <v>0</v>
      </c>
      <c r="R793" s="101">
        <f>IF(Q793="","",R792-Q793)</f>
        <v>0</v>
      </c>
      <c r="S793" s="105"/>
      <c r="T793" s="101" t="s">
        <v>87</v>
      </c>
      <c r="U793" s="177">
        <f>Y792</f>
        <v>0</v>
      </c>
      <c r="V793" s="103"/>
      <c r="W793" s="177">
        <f>IF(U793="","",U793+V793)</f>
        <v>0</v>
      </c>
      <c r="X793" s="103"/>
      <c r="Y793" s="177">
        <f>IF(W793="","",W793-X793)</f>
        <v>0</v>
      </c>
      <c r="Z793" s="106"/>
      <c r="AA793" s="54"/>
    </row>
    <row r="794" spans="1:27" s="55" customFormat="1" ht="21" customHeight="1" x14ac:dyDescent="0.25">
      <c r="A794" s="56"/>
      <c r="B794" s="71" t="s">
        <v>57</v>
      </c>
      <c r="C794" s="72"/>
      <c r="D794" s="57"/>
      <c r="E794" s="57"/>
      <c r="F794" s="290" t="s">
        <v>59</v>
      </c>
      <c r="G794" s="290"/>
      <c r="H794" s="57"/>
      <c r="I794" s="290" t="s">
        <v>60</v>
      </c>
      <c r="J794" s="290"/>
      <c r="K794" s="290"/>
      <c r="L794" s="73"/>
      <c r="M794" s="57"/>
      <c r="N794" s="100"/>
      <c r="O794" s="101" t="s">
        <v>62</v>
      </c>
      <c r="P794" s="101">
        <v>31</v>
      </c>
      <c r="Q794" s="101">
        <v>0</v>
      </c>
      <c r="R794" s="101">
        <f t="shared" ref="R794:R801" si="141">IF(Q794="","",R793-Q794)</f>
        <v>0</v>
      </c>
      <c r="S794" s="105"/>
      <c r="T794" s="101" t="s">
        <v>62</v>
      </c>
      <c r="U794" s="177">
        <f>IF($J$1="April",Y793,Y793)</f>
        <v>0</v>
      </c>
      <c r="V794" s="103"/>
      <c r="W794" s="177">
        <f t="shared" ref="W794:W803" si="142">IF(U794="","",U794+V794)</f>
        <v>0</v>
      </c>
      <c r="X794" s="103"/>
      <c r="Y794" s="177">
        <f t="shared" ref="Y794:Y803" si="143">IF(W794="","",W794-X794)</f>
        <v>0</v>
      </c>
      <c r="Z794" s="106"/>
      <c r="AA794" s="57"/>
    </row>
    <row r="795" spans="1:27" s="55" customFormat="1" ht="21" customHeight="1" x14ac:dyDescent="0.25">
      <c r="A795" s="56"/>
      <c r="B795" s="57"/>
      <c r="C795" s="57"/>
      <c r="D795" s="57"/>
      <c r="E795" s="57"/>
      <c r="F795" s="57"/>
      <c r="G795" s="57"/>
      <c r="H795" s="74"/>
      <c r="L795" s="61"/>
      <c r="M795" s="57"/>
      <c r="N795" s="100"/>
      <c r="O795" s="101" t="s">
        <v>63</v>
      </c>
      <c r="P795" s="101">
        <v>30</v>
      </c>
      <c r="Q795" s="101">
        <v>0</v>
      </c>
      <c r="R795" s="101">
        <v>0</v>
      </c>
      <c r="S795" s="105"/>
      <c r="T795" s="101" t="s">
        <v>63</v>
      </c>
      <c r="U795" s="177">
        <f>IF($J$1="April",Y794,Y794)</f>
        <v>0</v>
      </c>
      <c r="V795" s="103"/>
      <c r="W795" s="177">
        <f t="shared" si="142"/>
        <v>0</v>
      </c>
      <c r="X795" s="103"/>
      <c r="Y795" s="177">
        <f t="shared" si="143"/>
        <v>0</v>
      </c>
      <c r="Z795" s="106"/>
      <c r="AA795" s="57"/>
    </row>
    <row r="796" spans="1:27" s="55" customFormat="1" ht="21" customHeight="1" x14ac:dyDescent="0.25">
      <c r="A796" s="56"/>
      <c r="B796" s="291" t="s">
        <v>58</v>
      </c>
      <c r="C796" s="292"/>
      <c r="D796" s="57"/>
      <c r="E796" s="57"/>
      <c r="F796" s="75" t="s">
        <v>80</v>
      </c>
      <c r="G796" s="70">
        <f>IF($J$1="January",U792,IF($J$1="February",U793,IF($J$1="March",U794,IF($J$1="April",U795,IF($J$1="May",U796,IF($J$1="June",U797,IF($J$1="July",U798,IF($J$1="August",U799,IF($J$1="August",U799,IF($J$1="September",U800,IF($J$1="October",U801,IF($J$1="November",U802,IF($J$1="December",U803)))))))))))))</f>
        <v>0</v>
      </c>
      <c r="H796" s="74"/>
      <c r="I796" s="76">
        <f>IF(C800&gt;0,$K$2,C798)</f>
        <v>30</v>
      </c>
      <c r="J796" s="77" t="s">
        <v>77</v>
      </c>
      <c r="K796" s="78">
        <f>K792/$K$2*I796</f>
        <v>22000</v>
      </c>
      <c r="L796" s="79"/>
      <c r="M796" s="57"/>
      <c r="N796" s="100"/>
      <c r="O796" s="101" t="s">
        <v>64</v>
      </c>
      <c r="P796" s="101">
        <v>31</v>
      </c>
      <c r="Q796" s="101">
        <v>0</v>
      </c>
      <c r="R796" s="101">
        <v>0</v>
      </c>
      <c r="S796" s="105"/>
      <c r="T796" s="101" t="s">
        <v>64</v>
      </c>
      <c r="U796" s="177">
        <f>IF($J$1="May",Y795,Y795)</f>
        <v>0</v>
      </c>
      <c r="V796" s="103"/>
      <c r="W796" s="177">
        <f t="shared" si="142"/>
        <v>0</v>
      </c>
      <c r="X796" s="103"/>
      <c r="Y796" s="177">
        <f t="shared" si="143"/>
        <v>0</v>
      </c>
      <c r="Z796" s="106"/>
      <c r="AA796" s="57"/>
    </row>
    <row r="797" spans="1:27" s="55" customFormat="1" ht="21" customHeight="1" x14ac:dyDescent="0.25">
      <c r="A797" s="56"/>
      <c r="B797" s="66"/>
      <c r="C797" s="66"/>
      <c r="D797" s="57"/>
      <c r="E797" s="57"/>
      <c r="F797" s="75" t="s">
        <v>29</v>
      </c>
      <c r="G797" s="70">
        <f>IF($J$1="January",V792,IF($J$1="February",V793,IF($J$1="March",V794,IF($J$1="April",V795,IF($J$1="May",V796,IF($J$1="June",V797,IF($J$1="July",V798,IF($J$1="August",V799,IF($J$1="August",V799,IF($J$1="September",V800,IF($J$1="October",V801,IF($J$1="November",V802,IF($J$1="December",V803)))))))))))))</f>
        <v>65</v>
      </c>
      <c r="H797" s="74"/>
      <c r="I797" s="120">
        <v>130</v>
      </c>
      <c r="J797" s="77" t="s">
        <v>78</v>
      </c>
      <c r="K797" s="80">
        <f>K792/$K$2/8*I797</f>
        <v>11916.666666666668</v>
      </c>
      <c r="L797" s="81"/>
      <c r="M797" s="57"/>
      <c r="N797" s="100"/>
      <c r="O797" s="101" t="s">
        <v>65</v>
      </c>
      <c r="P797" s="101">
        <v>30</v>
      </c>
      <c r="Q797" s="101">
        <v>0</v>
      </c>
      <c r="R797" s="101">
        <f t="shared" si="141"/>
        <v>0</v>
      </c>
      <c r="S797" s="105"/>
      <c r="T797" s="101" t="s">
        <v>65</v>
      </c>
      <c r="U797" s="177">
        <f>Y796</f>
        <v>0</v>
      </c>
      <c r="V797" s="103">
        <v>65</v>
      </c>
      <c r="W797" s="177">
        <f t="shared" si="142"/>
        <v>65</v>
      </c>
      <c r="X797" s="103"/>
      <c r="Y797" s="177">
        <f t="shared" si="143"/>
        <v>65</v>
      </c>
      <c r="Z797" s="106"/>
      <c r="AA797" s="57"/>
    </row>
    <row r="798" spans="1:27" s="55" customFormat="1" ht="21" customHeight="1" x14ac:dyDescent="0.25">
      <c r="A798" s="56"/>
      <c r="B798" s="75" t="s">
        <v>7</v>
      </c>
      <c r="C798" s="66">
        <f>IF($J$1="January",P792,IF($J$1="February",P793,IF($J$1="March",P794,IF($J$1="April",P795,IF($J$1="May",P796,IF($J$1="June",P797,IF($J$1="July",P798,IF($J$1="August",P799,IF($J$1="August",P799,IF($J$1="September",P800,IF($J$1="October",P801,IF($J$1="November",P802,IF($J$1="December",P803)))))))))))))</f>
        <v>30</v>
      </c>
      <c r="D798" s="57"/>
      <c r="E798" s="57"/>
      <c r="F798" s="75" t="s">
        <v>81</v>
      </c>
      <c r="G798" s="70">
        <f>IF($J$1="January",W792,IF($J$1="February",W793,IF($J$1="March",W794,IF($J$1="April",W795,IF($J$1="May",W796,IF($J$1="June",W797,IF($J$1="July",W798,IF($J$1="August",W799,IF($J$1="August",W799,IF($J$1="September",W800,IF($J$1="October",W801,IF($J$1="November",W802,IF($J$1="December",W803)))))))))))))</f>
        <v>65</v>
      </c>
      <c r="H798" s="74"/>
      <c r="I798" s="293" t="s">
        <v>85</v>
      </c>
      <c r="J798" s="294"/>
      <c r="K798" s="80">
        <f>K796+K797</f>
        <v>33916.666666666672</v>
      </c>
      <c r="L798" s="81"/>
      <c r="M798" s="57"/>
      <c r="N798" s="100"/>
      <c r="O798" s="101" t="s">
        <v>66</v>
      </c>
      <c r="P798" s="101"/>
      <c r="Q798" s="101"/>
      <c r="R798" s="101">
        <v>0</v>
      </c>
      <c r="S798" s="105"/>
      <c r="T798" s="101" t="s">
        <v>66</v>
      </c>
      <c r="U798" s="177" t="str">
        <f>IF($J$1="July",Y797,"")</f>
        <v/>
      </c>
      <c r="V798" s="103">
        <f>34000-33917</f>
        <v>83</v>
      </c>
      <c r="W798" s="177" t="str">
        <f t="shared" si="142"/>
        <v/>
      </c>
      <c r="X798" s="103"/>
      <c r="Y798" s="177" t="str">
        <f t="shared" si="143"/>
        <v/>
      </c>
      <c r="Z798" s="106"/>
      <c r="AA798" s="57"/>
    </row>
    <row r="799" spans="1:27" s="55" customFormat="1" ht="21" customHeight="1" x14ac:dyDescent="0.25">
      <c r="A799" s="56"/>
      <c r="B799" s="75" t="s">
        <v>6</v>
      </c>
      <c r="C799" s="66">
        <f>IF($J$1="January",Q792,IF($J$1="February",Q793,IF($J$1="March",Q794,IF($J$1="April",Q795,IF($J$1="May",Q796,IF($J$1="June",Q797,IF($J$1="July",Q798,IF($J$1="August",Q799,IF($J$1="August",Q799,IF($J$1="September",Q800,IF($J$1="October",Q801,IF($J$1="November",Q802,IF($J$1="December",Q803)))))))))))))</f>
        <v>0</v>
      </c>
      <c r="D799" s="57"/>
      <c r="E799" s="57"/>
      <c r="F799" s="75" t="s">
        <v>30</v>
      </c>
      <c r="G799" s="70">
        <f>IF($J$1="January",X792,IF($J$1="February",X793,IF($J$1="March",X794,IF($J$1="April",X795,IF($J$1="May",X796,IF($J$1="June",X797,IF($J$1="July",X798,IF($J$1="August",X799,IF($J$1="August",X799,IF($J$1="September",X800,IF($J$1="October",X801,IF($J$1="November",X802,IF($J$1="December",X803)))))))))))))</f>
        <v>0</v>
      </c>
      <c r="H799" s="74"/>
      <c r="I799" s="293" t="s">
        <v>86</v>
      </c>
      <c r="J799" s="294"/>
      <c r="K799" s="70">
        <f>G799</f>
        <v>0</v>
      </c>
      <c r="L799" s="82"/>
      <c r="M799" s="57"/>
      <c r="N799" s="100"/>
      <c r="O799" s="101" t="s">
        <v>67</v>
      </c>
      <c r="P799" s="101"/>
      <c r="Q799" s="101"/>
      <c r="R799" s="101" t="str">
        <f t="shared" si="141"/>
        <v/>
      </c>
      <c r="S799" s="105"/>
      <c r="T799" s="101" t="s">
        <v>67</v>
      </c>
      <c r="U799" s="177" t="str">
        <f>IF($J$1="September",Y798,"")</f>
        <v/>
      </c>
      <c r="V799" s="103"/>
      <c r="W799" s="177" t="str">
        <f t="shared" si="142"/>
        <v/>
      </c>
      <c r="X799" s="103"/>
      <c r="Y799" s="177" t="str">
        <f t="shared" si="143"/>
        <v/>
      </c>
      <c r="Z799" s="106"/>
      <c r="AA799" s="57"/>
    </row>
    <row r="800" spans="1:27" s="55" customFormat="1" ht="21" customHeight="1" x14ac:dyDescent="0.25">
      <c r="A800" s="56"/>
      <c r="B800" s="83" t="s">
        <v>84</v>
      </c>
      <c r="C800" s="66">
        <f>IF($J$1="January",R792,IF($J$1="February",R793,IF($J$1="March",R794,IF($J$1="April",R795,IF($J$1="May",R796,IF($J$1="June",R797,IF($J$1="July",R798,IF($J$1="August",R799,IF($J$1="August",R799,IF($J$1="September",R800,IF($J$1="October",R801,IF($J$1="November",R802,IF($J$1="December",R803)))))))))))))</f>
        <v>0</v>
      </c>
      <c r="D800" s="57"/>
      <c r="E800" s="57"/>
      <c r="F800" s="75" t="s">
        <v>83</v>
      </c>
      <c r="G800" s="70">
        <f>IF($J$1="January",Y792,IF($J$1="February",Y793,IF($J$1="March",Y794,IF($J$1="April",Y795,IF($J$1="May",Y796,IF($J$1="June",Y797,IF($J$1="July",Y798,IF($J$1="August",Y799,IF($J$1="August",Y799,IF($J$1="September",Y800,IF($J$1="October",Y801,IF($J$1="November",Y802,IF($J$1="December",Y803)))))))))))))</f>
        <v>65</v>
      </c>
      <c r="H800" s="57"/>
      <c r="I800" s="295" t="s">
        <v>79</v>
      </c>
      <c r="J800" s="296"/>
      <c r="K800" s="84">
        <f>K798-K799</f>
        <v>33916.666666666672</v>
      </c>
      <c r="L800" s="85"/>
      <c r="M800" s="57"/>
      <c r="N800" s="100"/>
      <c r="O800" s="101" t="s">
        <v>72</v>
      </c>
      <c r="P800" s="101"/>
      <c r="Q800" s="101"/>
      <c r="R800" s="101" t="str">
        <f t="shared" si="141"/>
        <v/>
      </c>
      <c r="S800" s="105"/>
      <c r="T800" s="101" t="s">
        <v>72</v>
      </c>
      <c r="U800" s="177" t="str">
        <f>IF($J$1="September",Y799,"")</f>
        <v/>
      </c>
      <c r="V800" s="103"/>
      <c r="W800" s="177" t="str">
        <f t="shared" si="142"/>
        <v/>
      </c>
      <c r="X800" s="103"/>
      <c r="Y800" s="177" t="str">
        <f t="shared" si="143"/>
        <v/>
      </c>
      <c r="Z800" s="106"/>
      <c r="AA800" s="57"/>
    </row>
    <row r="801" spans="1:27" s="55" customFormat="1" ht="21" customHeight="1" x14ac:dyDescent="0.25">
      <c r="A801" s="56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73"/>
      <c r="M801" s="57"/>
      <c r="N801" s="100"/>
      <c r="O801" s="101" t="s">
        <v>68</v>
      </c>
      <c r="P801" s="101"/>
      <c r="Q801" s="101"/>
      <c r="R801" s="101" t="str">
        <f t="shared" si="141"/>
        <v/>
      </c>
      <c r="S801" s="105"/>
      <c r="T801" s="101" t="s">
        <v>68</v>
      </c>
      <c r="U801" s="177" t="str">
        <f>IF($J$1="October",Y800,"")</f>
        <v/>
      </c>
      <c r="V801" s="103"/>
      <c r="W801" s="177" t="str">
        <f t="shared" si="142"/>
        <v/>
      </c>
      <c r="X801" s="103"/>
      <c r="Y801" s="177" t="str">
        <f t="shared" si="143"/>
        <v/>
      </c>
      <c r="Z801" s="106"/>
      <c r="AA801" s="57"/>
    </row>
    <row r="802" spans="1:27" s="55" customFormat="1" ht="21" customHeight="1" x14ac:dyDescent="0.25">
      <c r="A802" s="56"/>
      <c r="B802" s="284" t="s">
        <v>116</v>
      </c>
      <c r="C802" s="284"/>
      <c r="D802" s="284"/>
      <c r="E802" s="284"/>
      <c r="F802" s="284"/>
      <c r="G802" s="284"/>
      <c r="H802" s="284"/>
      <c r="I802" s="284"/>
      <c r="J802" s="284"/>
      <c r="K802" s="284"/>
      <c r="L802" s="73"/>
      <c r="M802" s="57"/>
      <c r="N802" s="100"/>
      <c r="O802" s="101" t="s">
        <v>73</v>
      </c>
      <c r="P802" s="101"/>
      <c r="Q802" s="101"/>
      <c r="R802" s="101">
        <v>0</v>
      </c>
      <c r="S802" s="105"/>
      <c r="T802" s="101" t="s">
        <v>73</v>
      </c>
      <c r="U802" s="177" t="str">
        <f>IF($J$1="November",Y801,"")</f>
        <v/>
      </c>
      <c r="V802" s="103"/>
      <c r="W802" s="177" t="str">
        <f t="shared" si="142"/>
        <v/>
      </c>
      <c r="X802" s="103"/>
      <c r="Y802" s="177" t="str">
        <f t="shared" si="143"/>
        <v/>
      </c>
      <c r="Z802" s="106"/>
      <c r="AA802" s="57"/>
    </row>
    <row r="803" spans="1:27" s="55" customFormat="1" ht="21" customHeight="1" x14ac:dyDescent="0.25">
      <c r="A803" s="56"/>
      <c r="B803" s="284"/>
      <c r="C803" s="284"/>
      <c r="D803" s="284"/>
      <c r="E803" s="284"/>
      <c r="F803" s="284"/>
      <c r="G803" s="284"/>
      <c r="H803" s="284"/>
      <c r="I803" s="284"/>
      <c r="J803" s="284"/>
      <c r="K803" s="284"/>
      <c r="L803" s="73"/>
      <c r="M803" s="57"/>
      <c r="N803" s="100"/>
      <c r="O803" s="101" t="s">
        <v>74</v>
      </c>
      <c r="P803" s="101"/>
      <c r="Q803" s="101"/>
      <c r="R803" s="101">
        <v>0</v>
      </c>
      <c r="S803" s="105"/>
      <c r="T803" s="101" t="s">
        <v>74</v>
      </c>
      <c r="U803" s="177" t="str">
        <f>IF($J$1="Dec",Y802,"")</f>
        <v/>
      </c>
      <c r="V803" s="103"/>
      <c r="W803" s="177" t="str">
        <f t="shared" si="142"/>
        <v/>
      </c>
      <c r="X803" s="103"/>
      <c r="Y803" s="177" t="str">
        <f t="shared" si="143"/>
        <v/>
      </c>
      <c r="Z803" s="106"/>
      <c r="AA803" s="57"/>
    </row>
    <row r="804" spans="1:27" s="55" customFormat="1" ht="21" customHeight="1" thickBot="1" x14ac:dyDescent="0.3">
      <c r="A804" s="86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8"/>
      <c r="N804" s="107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9"/>
    </row>
    <row r="805" spans="1:27" s="55" customFormat="1" ht="21" customHeight="1" thickBot="1" x14ac:dyDescent="0.3"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</row>
    <row r="806" spans="1:27" s="55" customFormat="1" ht="21" customHeight="1" x14ac:dyDescent="0.25">
      <c r="A806" s="297" t="s">
        <v>56</v>
      </c>
      <c r="B806" s="298"/>
      <c r="C806" s="298"/>
      <c r="D806" s="298"/>
      <c r="E806" s="298"/>
      <c r="F806" s="298"/>
      <c r="G806" s="298"/>
      <c r="H806" s="298"/>
      <c r="I806" s="298"/>
      <c r="J806" s="298"/>
      <c r="K806" s="298"/>
      <c r="L806" s="299"/>
      <c r="M806" s="54"/>
      <c r="N806" s="93"/>
      <c r="O806" s="285" t="s">
        <v>58</v>
      </c>
      <c r="P806" s="286"/>
      <c r="Q806" s="286"/>
      <c r="R806" s="287"/>
      <c r="S806" s="94"/>
      <c r="T806" s="285" t="s">
        <v>59</v>
      </c>
      <c r="U806" s="286"/>
      <c r="V806" s="286"/>
      <c r="W806" s="286"/>
      <c r="X806" s="286"/>
      <c r="Y806" s="287"/>
      <c r="Z806" s="95"/>
      <c r="AA806" s="54"/>
    </row>
    <row r="807" spans="1:27" s="55" customFormat="1" ht="21" customHeight="1" x14ac:dyDescent="0.25">
      <c r="A807" s="56"/>
      <c r="B807" s="57"/>
      <c r="C807" s="288" t="s">
        <v>114</v>
      </c>
      <c r="D807" s="288"/>
      <c r="E807" s="288"/>
      <c r="F807" s="288"/>
      <c r="G807" s="58" t="str">
        <f>$J$1</f>
        <v>June</v>
      </c>
      <c r="H807" s="289">
        <f>$K$1</f>
        <v>2019</v>
      </c>
      <c r="I807" s="289"/>
      <c r="J807" s="57"/>
      <c r="K807" s="59"/>
      <c r="L807" s="60"/>
      <c r="M807" s="59"/>
      <c r="N807" s="96"/>
      <c r="O807" s="97" t="s">
        <v>69</v>
      </c>
      <c r="P807" s="97" t="s">
        <v>7</v>
      </c>
      <c r="Q807" s="97" t="s">
        <v>6</v>
      </c>
      <c r="R807" s="97" t="s">
        <v>70</v>
      </c>
      <c r="S807" s="98"/>
      <c r="T807" s="97" t="s">
        <v>69</v>
      </c>
      <c r="U807" s="97" t="s">
        <v>71</v>
      </c>
      <c r="V807" s="97" t="s">
        <v>29</v>
      </c>
      <c r="W807" s="97" t="s">
        <v>28</v>
      </c>
      <c r="X807" s="97" t="s">
        <v>30</v>
      </c>
      <c r="Y807" s="97" t="s">
        <v>75</v>
      </c>
      <c r="Z807" s="99"/>
      <c r="AA807" s="59"/>
    </row>
    <row r="808" spans="1:27" s="55" customFormat="1" ht="21" customHeight="1" x14ac:dyDescent="0.25">
      <c r="A808" s="56"/>
      <c r="B808" s="57"/>
      <c r="C808" s="57"/>
      <c r="D808" s="62"/>
      <c r="E808" s="62"/>
      <c r="F808" s="62"/>
      <c r="G808" s="62"/>
      <c r="H808" s="62"/>
      <c r="I808" s="57"/>
      <c r="J808" s="63" t="s">
        <v>1</v>
      </c>
      <c r="K808" s="64">
        <f>16000+1000</f>
        <v>17000</v>
      </c>
      <c r="L808" s="65"/>
      <c r="M808" s="57"/>
      <c r="N808" s="100"/>
      <c r="O808" s="101" t="s">
        <v>61</v>
      </c>
      <c r="P808" s="101">
        <v>30</v>
      </c>
      <c r="Q808" s="101">
        <v>1</v>
      </c>
      <c r="R808" s="101">
        <f>15-Q808</f>
        <v>14</v>
      </c>
      <c r="S808" s="102"/>
      <c r="T808" s="101" t="s">
        <v>61</v>
      </c>
      <c r="U808" s="103">
        <v>2500</v>
      </c>
      <c r="V808" s="103"/>
      <c r="W808" s="103">
        <f>V808+U808</f>
        <v>2500</v>
      </c>
      <c r="X808" s="103">
        <v>2500</v>
      </c>
      <c r="Y808" s="103">
        <f>W808-X808</f>
        <v>0</v>
      </c>
      <c r="Z808" s="99"/>
      <c r="AA808" s="57"/>
    </row>
    <row r="809" spans="1:27" s="55" customFormat="1" ht="21" customHeight="1" x14ac:dyDescent="0.25">
      <c r="A809" s="56"/>
      <c r="B809" s="57" t="s">
        <v>0</v>
      </c>
      <c r="C809" s="67" t="s">
        <v>101</v>
      </c>
      <c r="D809" s="57"/>
      <c r="E809" s="57"/>
      <c r="F809" s="57"/>
      <c r="G809" s="57"/>
      <c r="H809" s="68"/>
      <c r="I809" s="62"/>
      <c r="J809" s="57"/>
      <c r="K809" s="57"/>
      <c r="L809" s="69"/>
      <c r="M809" s="54"/>
      <c r="N809" s="104"/>
      <c r="O809" s="101" t="s">
        <v>87</v>
      </c>
      <c r="P809" s="101">
        <v>27</v>
      </c>
      <c r="Q809" s="101">
        <v>1</v>
      </c>
      <c r="R809" s="101">
        <f>IF(Q809="","",R808-Q809)</f>
        <v>13</v>
      </c>
      <c r="S809" s="105"/>
      <c r="T809" s="101" t="s">
        <v>87</v>
      </c>
      <c r="U809" s="177"/>
      <c r="V809" s="103"/>
      <c r="W809" s="177" t="str">
        <f>IF(U809="","",U809+V809)</f>
        <v/>
      </c>
      <c r="X809" s="103"/>
      <c r="Y809" s="177" t="str">
        <f>IF(W809="","",W809-X809)</f>
        <v/>
      </c>
      <c r="Z809" s="106"/>
      <c r="AA809" s="54"/>
    </row>
    <row r="810" spans="1:27" s="55" customFormat="1" ht="21" customHeight="1" x14ac:dyDescent="0.25">
      <c r="A810" s="56"/>
      <c r="B810" s="71" t="s">
        <v>57</v>
      </c>
      <c r="C810" s="72"/>
      <c r="D810" s="57"/>
      <c r="E810" s="57"/>
      <c r="F810" s="290" t="s">
        <v>59</v>
      </c>
      <c r="G810" s="290"/>
      <c r="H810" s="57"/>
      <c r="I810" s="290" t="s">
        <v>60</v>
      </c>
      <c r="J810" s="290"/>
      <c r="K810" s="290"/>
      <c r="L810" s="73"/>
      <c r="M810" s="57"/>
      <c r="N810" s="100"/>
      <c r="O810" s="101" t="s">
        <v>62</v>
      </c>
      <c r="P810" s="101">
        <v>30</v>
      </c>
      <c r="Q810" s="101">
        <v>1</v>
      </c>
      <c r="R810" s="101">
        <f t="shared" ref="R810:R819" si="144">IF(Q810="","",R809-Q810)</f>
        <v>12</v>
      </c>
      <c r="S810" s="105"/>
      <c r="T810" s="101" t="s">
        <v>62</v>
      </c>
      <c r="U810" s="177"/>
      <c r="V810" s="103"/>
      <c r="W810" s="177" t="str">
        <f t="shared" ref="W810:W819" si="145">IF(U810="","",U810+V810)</f>
        <v/>
      </c>
      <c r="X810" s="103"/>
      <c r="Y810" s="177" t="str">
        <f t="shared" ref="Y810:Y819" si="146">IF(W810="","",W810-X810)</f>
        <v/>
      </c>
      <c r="Z810" s="106"/>
      <c r="AA810" s="57"/>
    </row>
    <row r="811" spans="1:27" s="55" customFormat="1" ht="21" customHeight="1" x14ac:dyDescent="0.25">
      <c r="A811" s="56"/>
      <c r="B811" s="57"/>
      <c r="C811" s="57"/>
      <c r="D811" s="57"/>
      <c r="E811" s="57"/>
      <c r="F811" s="57"/>
      <c r="G811" s="57"/>
      <c r="H811" s="74"/>
      <c r="L811" s="61"/>
      <c r="M811" s="57"/>
      <c r="N811" s="100"/>
      <c r="O811" s="101" t="s">
        <v>63</v>
      </c>
      <c r="P811" s="101">
        <v>30</v>
      </c>
      <c r="Q811" s="101">
        <v>0</v>
      </c>
      <c r="R811" s="101">
        <f t="shared" si="144"/>
        <v>12</v>
      </c>
      <c r="S811" s="105"/>
      <c r="T811" s="101" t="s">
        <v>63</v>
      </c>
      <c r="U811" s="177"/>
      <c r="V811" s="103"/>
      <c r="W811" s="177" t="str">
        <f t="shared" si="145"/>
        <v/>
      </c>
      <c r="X811" s="103"/>
      <c r="Y811" s="177" t="str">
        <f t="shared" si="146"/>
        <v/>
      </c>
      <c r="Z811" s="106"/>
      <c r="AA811" s="57"/>
    </row>
    <row r="812" spans="1:27" s="55" customFormat="1" ht="21" customHeight="1" x14ac:dyDescent="0.25">
      <c r="A812" s="56"/>
      <c r="B812" s="291" t="s">
        <v>58</v>
      </c>
      <c r="C812" s="292"/>
      <c r="D812" s="57"/>
      <c r="E812" s="57"/>
      <c r="F812" s="75" t="s">
        <v>80</v>
      </c>
      <c r="G812" s="137">
        <f>IF($J$1="January",U808,IF($J$1="February",U809,IF($J$1="March",U810,IF($J$1="April",U811,IF($J$1="May",U812,IF($J$1="June",U813,IF($J$1="July",U814,IF($J$1="August",U815,IF($J$1="August",U815,IF($J$1="September",U816,IF($J$1="October",U817,IF($J$1="November",U818,IF($J$1="December",U819)))))))))))))</f>
        <v>0</v>
      </c>
      <c r="H812" s="74"/>
      <c r="I812" s="76">
        <f>IF(C816&gt;0,$K$2,C814)</f>
        <v>30</v>
      </c>
      <c r="J812" s="77" t="s">
        <v>77</v>
      </c>
      <c r="K812" s="78">
        <f>K808/$K$2*I812</f>
        <v>17000</v>
      </c>
      <c r="L812" s="79"/>
      <c r="M812" s="57"/>
      <c r="N812" s="100"/>
      <c r="O812" s="101" t="s">
        <v>64</v>
      </c>
      <c r="P812" s="101">
        <v>31</v>
      </c>
      <c r="Q812" s="101">
        <v>0</v>
      </c>
      <c r="R812" s="101">
        <f t="shared" si="144"/>
        <v>12</v>
      </c>
      <c r="S812" s="105"/>
      <c r="T812" s="101" t="s">
        <v>64</v>
      </c>
      <c r="U812" s="177"/>
      <c r="V812" s="103"/>
      <c r="W812" s="177" t="str">
        <f t="shared" si="145"/>
        <v/>
      </c>
      <c r="X812" s="103"/>
      <c r="Y812" s="177" t="str">
        <f t="shared" si="146"/>
        <v/>
      </c>
      <c r="Z812" s="106"/>
      <c r="AA812" s="57"/>
    </row>
    <row r="813" spans="1:27" s="55" customFormat="1" ht="21" customHeight="1" x14ac:dyDescent="0.25">
      <c r="A813" s="56"/>
      <c r="B813" s="66"/>
      <c r="C813" s="66"/>
      <c r="D813" s="57"/>
      <c r="E813" s="57"/>
      <c r="F813" s="75" t="s">
        <v>29</v>
      </c>
      <c r="G813" s="137">
        <f>IF($J$1="January",V808,IF($J$1="February",V809,IF($J$1="March",V810,IF($J$1="April",V811,IF($J$1="May",V812,IF($J$1="June",V813,IF($J$1="July",V814,IF($J$1="August",V815,IF($J$1="August",V815,IF($J$1="September",V816,IF($J$1="October",V817,IF($J$1="November",V818,IF($J$1="December",V819)))))))))))))</f>
        <v>0</v>
      </c>
      <c r="H813" s="74"/>
      <c r="I813" s="120">
        <v>56.5</v>
      </c>
      <c r="J813" s="77" t="s">
        <v>78</v>
      </c>
      <c r="K813" s="80">
        <f>K808/$K$2/8*I813</f>
        <v>4002.083333333333</v>
      </c>
      <c r="L813" s="81"/>
      <c r="M813" s="57"/>
      <c r="N813" s="100"/>
      <c r="O813" s="101" t="s">
        <v>65</v>
      </c>
      <c r="P813" s="101">
        <v>30</v>
      </c>
      <c r="Q813" s="101">
        <v>0</v>
      </c>
      <c r="R813" s="101">
        <f t="shared" si="144"/>
        <v>12</v>
      </c>
      <c r="S813" s="105"/>
      <c r="T813" s="101" t="s">
        <v>65</v>
      </c>
      <c r="U813" s="177"/>
      <c r="V813" s="103"/>
      <c r="W813" s="177" t="str">
        <f t="shared" si="145"/>
        <v/>
      </c>
      <c r="X813" s="103"/>
      <c r="Y813" s="177" t="str">
        <f t="shared" si="146"/>
        <v/>
      </c>
      <c r="Z813" s="106"/>
      <c r="AA813" s="57"/>
    </row>
    <row r="814" spans="1:27" s="55" customFormat="1" ht="21" customHeight="1" x14ac:dyDescent="0.25">
      <c r="A814" s="56"/>
      <c r="B814" s="75" t="s">
        <v>7</v>
      </c>
      <c r="C814" s="66">
        <f>IF($J$1="January",P808,IF($J$1="February",P809,IF($J$1="March",P810,IF($J$1="April",P811,IF($J$1="May",P812,IF($J$1="June",P813,IF($J$1="July",P814,IF($J$1="August",P815,IF($J$1="August",P815,IF($J$1="September",P816,IF($J$1="October",P817,IF($J$1="November",P818,IF($J$1="December",P819)))))))))))))</f>
        <v>30</v>
      </c>
      <c r="D814" s="57"/>
      <c r="E814" s="57"/>
      <c r="F814" s="75" t="s">
        <v>81</v>
      </c>
      <c r="G814" s="137" t="str">
        <f>IF($J$1="January",W808,IF($J$1="February",W809,IF($J$1="March",W810,IF($J$1="April",W811,IF($J$1="May",W812,IF($J$1="June",W813,IF($J$1="July",W814,IF($J$1="August",W815,IF($J$1="August",W815,IF($J$1="September",W816,IF($J$1="October",W817,IF($J$1="November",W818,IF($J$1="December",W819)))))))))))))</f>
        <v/>
      </c>
      <c r="H814" s="74"/>
      <c r="I814" s="293" t="s">
        <v>85</v>
      </c>
      <c r="J814" s="294"/>
      <c r="K814" s="80">
        <f>K812+K813</f>
        <v>21002.083333333332</v>
      </c>
      <c r="L814" s="81"/>
      <c r="M814" s="57"/>
      <c r="N814" s="100"/>
      <c r="O814" s="101" t="s">
        <v>66</v>
      </c>
      <c r="P814" s="101"/>
      <c r="Q814" s="101"/>
      <c r="R814" s="101">
        <v>0</v>
      </c>
      <c r="S814" s="105"/>
      <c r="T814" s="101" t="s">
        <v>66</v>
      </c>
      <c r="U814" s="177"/>
      <c r="V814" s="103"/>
      <c r="W814" s="177" t="str">
        <f t="shared" si="145"/>
        <v/>
      </c>
      <c r="X814" s="103"/>
      <c r="Y814" s="177" t="str">
        <f t="shared" si="146"/>
        <v/>
      </c>
      <c r="Z814" s="106"/>
      <c r="AA814" s="57"/>
    </row>
    <row r="815" spans="1:27" s="55" customFormat="1" ht="21" customHeight="1" x14ac:dyDescent="0.25">
      <c r="A815" s="56"/>
      <c r="B815" s="75" t="s">
        <v>6</v>
      </c>
      <c r="C815" s="66">
        <f>IF($J$1="January",Q808,IF($J$1="February",Q809,IF($J$1="March",Q810,IF($J$1="April",Q811,IF($J$1="May",Q812,IF($J$1="June",Q813,IF($J$1="July",Q814,IF($J$1="August",Q815,IF($J$1="August",Q815,IF($J$1="September",Q816,IF($J$1="October",Q817,IF($J$1="November",Q818,IF($J$1="December",Q819)))))))))))))</f>
        <v>0</v>
      </c>
      <c r="D815" s="57"/>
      <c r="E815" s="57"/>
      <c r="F815" s="75" t="s">
        <v>30</v>
      </c>
      <c r="G815" s="137">
        <f>IF($J$1="January",X808,IF($J$1="February",X809,IF($J$1="March",X810,IF($J$1="April",X811,IF($J$1="May",X812,IF($J$1="June",X813,IF($J$1="July",X814,IF($J$1="August",X815,IF($J$1="August",X815,IF($J$1="September",X816,IF($J$1="October",X817,IF($J$1="November",X818,IF($J$1="December",X819)))))))))))))</f>
        <v>0</v>
      </c>
      <c r="H815" s="74"/>
      <c r="I815" s="293" t="s">
        <v>86</v>
      </c>
      <c r="J815" s="294"/>
      <c r="K815" s="70">
        <f>G815</f>
        <v>0</v>
      </c>
      <c r="L815" s="82"/>
      <c r="M815" s="57"/>
      <c r="N815" s="100"/>
      <c r="O815" s="101" t="s">
        <v>67</v>
      </c>
      <c r="P815" s="101"/>
      <c r="Q815" s="101"/>
      <c r="R815" s="101">
        <v>0</v>
      </c>
      <c r="S815" s="105"/>
      <c r="T815" s="101" t="s">
        <v>67</v>
      </c>
      <c r="U815" s="177"/>
      <c r="V815" s="103"/>
      <c r="W815" s="177" t="str">
        <f t="shared" si="145"/>
        <v/>
      </c>
      <c r="X815" s="103"/>
      <c r="Y815" s="177" t="str">
        <f t="shared" si="146"/>
        <v/>
      </c>
      <c r="Z815" s="106"/>
      <c r="AA815" s="57"/>
    </row>
    <row r="816" spans="1:27" s="55" customFormat="1" ht="21" customHeight="1" x14ac:dyDescent="0.25">
      <c r="A816" s="56"/>
      <c r="B816" s="83" t="s">
        <v>84</v>
      </c>
      <c r="C816" s="66">
        <f>IF($J$1="January",R808,IF($J$1="February",R809,IF($J$1="March",R810,IF($J$1="April",R811,IF($J$1="May",R812,IF($J$1="June",R813,IF($J$1="July",R814,IF($J$1="August",R815,IF($J$1="August",R815,IF($J$1="September",R816,IF($J$1="October",R817,IF($J$1="November",R818,IF($J$1="December",R819)))))))))))))</f>
        <v>12</v>
      </c>
      <c r="D816" s="57"/>
      <c r="E816" s="57"/>
      <c r="F816" s="75" t="s">
        <v>83</v>
      </c>
      <c r="G816" s="137" t="str">
        <f>IF($J$1="January",Y808,IF($J$1="February",Y809,IF($J$1="March",Y810,IF($J$1="April",Y811,IF($J$1="May",Y812,IF($J$1="June",Y813,IF($J$1="July",Y814,IF($J$1="August",Y815,IF($J$1="August",Y815,IF($J$1="September",Y816,IF($J$1="October",Y817,IF($J$1="November",Y818,IF($J$1="December",Y819)))))))))))))</f>
        <v/>
      </c>
      <c r="H816" s="57"/>
      <c r="I816" s="295" t="s">
        <v>79</v>
      </c>
      <c r="J816" s="296"/>
      <c r="K816" s="84">
        <f>K814-K815</f>
        <v>21002.083333333332</v>
      </c>
      <c r="L816" s="85"/>
      <c r="M816" s="57"/>
      <c r="N816" s="100"/>
      <c r="O816" s="101" t="s">
        <v>72</v>
      </c>
      <c r="P816" s="101"/>
      <c r="Q816" s="101"/>
      <c r="R816" s="101" t="str">
        <f t="shared" si="144"/>
        <v/>
      </c>
      <c r="S816" s="105"/>
      <c r="T816" s="101" t="s">
        <v>72</v>
      </c>
      <c r="U816" s="177"/>
      <c r="V816" s="103"/>
      <c r="W816" s="177" t="str">
        <f t="shared" si="145"/>
        <v/>
      </c>
      <c r="X816" s="103"/>
      <c r="Y816" s="177" t="str">
        <f t="shared" si="146"/>
        <v/>
      </c>
      <c r="Z816" s="106"/>
      <c r="AA816" s="57"/>
    </row>
    <row r="817" spans="1:27" s="55" customFormat="1" ht="21" customHeight="1" x14ac:dyDescent="0.25">
      <c r="A817" s="56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73"/>
      <c r="M817" s="57"/>
      <c r="N817" s="100"/>
      <c r="O817" s="101" t="s">
        <v>68</v>
      </c>
      <c r="P817" s="101"/>
      <c r="Q817" s="101"/>
      <c r="R817" s="101" t="str">
        <f t="shared" si="144"/>
        <v/>
      </c>
      <c r="S817" s="105"/>
      <c r="T817" s="101" t="s">
        <v>68</v>
      </c>
      <c r="U817" s="177"/>
      <c r="V817" s="103"/>
      <c r="W817" s="177" t="str">
        <f t="shared" si="145"/>
        <v/>
      </c>
      <c r="X817" s="103"/>
      <c r="Y817" s="177" t="str">
        <f t="shared" si="146"/>
        <v/>
      </c>
      <c r="Z817" s="106"/>
      <c r="AA817" s="57"/>
    </row>
    <row r="818" spans="1:27" s="55" customFormat="1" ht="21" customHeight="1" x14ac:dyDescent="0.25">
      <c r="A818" s="56"/>
      <c r="B818" s="284"/>
      <c r="C818" s="284"/>
      <c r="D818" s="284"/>
      <c r="E818" s="284"/>
      <c r="F818" s="284"/>
      <c r="G818" s="284"/>
      <c r="H818" s="284"/>
      <c r="I818" s="284"/>
      <c r="J818" s="284"/>
      <c r="K818" s="284"/>
      <c r="L818" s="73"/>
      <c r="M818" s="57"/>
      <c r="N818" s="100"/>
      <c r="O818" s="101" t="s">
        <v>73</v>
      </c>
      <c r="P818" s="101"/>
      <c r="Q818" s="101"/>
      <c r="R818" s="101" t="str">
        <f t="shared" si="144"/>
        <v/>
      </c>
      <c r="S818" s="105"/>
      <c r="T818" s="101" t="s">
        <v>73</v>
      </c>
      <c r="U818" s="177"/>
      <c r="V818" s="103"/>
      <c r="W818" s="177" t="str">
        <f t="shared" si="145"/>
        <v/>
      </c>
      <c r="X818" s="103"/>
      <c r="Y818" s="177" t="str">
        <f t="shared" si="146"/>
        <v/>
      </c>
      <c r="Z818" s="106"/>
      <c r="AA818" s="57"/>
    </row>
    <row r="819" spans="1:27" s="55" customFormat="1" ht="21" customHeight="1" x14ac:dyDescent="0.25">
      <c r="A819" s="56"/>
      <c r="B819" s="284"/>
      <c r="C819" s="284"/>
      <c r="D819" s="284"/>
      <c r="E819" s="284"/>
      <c r="F819" s="284"/>
      <c r="G819" s="284"/>
      <c r="H819" s="284"/>
      <c r="I819" s="284"/>
      <c r="J819" s="284"/>
      <c r="K819" s="284"/>
      <c r="L819" s="73"/>
      <c r="M819" s="57"/>
      <c r="N819" s="100"/>
      <c r="O819" s="101" t="s">
        <v>74</v>
      </c>
      <c r="P819" s="101"/>
      <c r="Q819" s="101"/>
      <c r="R819" s="101" t="str">
        <f t="shared" si="144"/>
        <v/>
      </c>
      <c r="S819" s="105"/>
      <c r="T819" s="101" t="s">
        <v>74</v>
      </c>
      <c r="U819" s="177"/>
      <c r="V819" s="103"/>
      <c r="W819" s="177" t="str">
        <f t="shared" si="145"/>
        <v/>
      </c>
      <c r="X819" s="103"/>
      <c r="Y819" s="177" t="str">
        <f t="shared" si="146"/>
        <v/>
      </c>
      <c r="Z819" s="106"/>
      <c r="AA819" s="57"/>
    </row>
    <row r="820" spans="1:27" s="55" customFormat="1" ht="21" customHeight="1" thickBot="1" x14ac:dyDescent="0.3">
      <c r="A820" s="86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8"/>
      <c r="N820" s="107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9"/>
    </row>
    <row r="821" spans="1:27" s="55" customFormat="1" ht="21" customHeight="1" thickBot="1" x14ac:dyDescent="0.3"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</row>
    <row r="822" spans="1:27" s="55" customFormat="1" ht="21" customHeight="1" x14ac:dyDescent="0.25">
      <c r="A822" s="297" t="s">
        <v>56</v>
      </c>
      <c r="B822" s="298"/>
      <c r="C822" s="298"/>
      <c r="D822" s="298"/>
      <c r="E822" s="298"/>
      <c r="F822" s="298"/>
      <c r="G822" s="298"/>
      <c r="H822" s="298"/>
      <c r="I822" s="298"/>
      <c r="J822" s="298"/>
      <c r="K822" s="298"/>
      <c r="L822" s="299"/>
      <c r="M822" s="54"/>
      <c r="N822" s="93"/>
      <c r="O822" s="285" t="s">
        <v>58</v>
      </c>
      <c r="P822" s="286"/>
      <c r="Q822" s="286"/>
      <c r="R822" s="287"/>
      <c r="S822" s="94"/>
      <c r="T822" s="285" t="s">
        <v>59</v>
      </c>
      <c r="U822" s="286"/>
      <c r="V822" s="286"/>
      <c r="W822" s="286"/>
      <c r="X822" s="286"/>
      <c r="Y822" s="287"/>
      <c r="Z822" s="95"/>
      <c r="AA822" s="54"/>
    </row>
    <row r="823" spans="1:27" s="55" customFormat="1" ht="21" customHeight="1" x14ac:dyDescent="0.25">
      <c r="A823" s="56"/>
      <c r="B823" s="57"/>
      <c r="C823" s="288" t="s">
        <v>114</v>
      </c>
      <c r="D823" s="288"/>
      <c r="E823" s="288"/>
      <c r="F823" s="288"/>
      <c r="G823" s="58" t="str">
        <f>$J$1</f>
        <v>June</v>
      </c>
      <c r="H823" s="289">
        <f>$K$1</f>
        <v>2019</v>
      </c>
      <c r="I823" s="289"/>
      <c r="J823" s="57"/>
      <c r="K823" s="59"/>
      <c r="L823" s="60"/>
      <c r="M823" s="59"/>
      <c r="N823" s="96"/>
      <c r="O823" s="97" t="s">
        <v>69</v>
      </c>
      <c r="P823" s="97" t="s">
        <v>7</v>
      </c>
      <c r="Q823" s="97" t="s">
        <v>6</v>
      </c>
      <c r="R823" s="97" t="s">
        <v>70</v>
      </c>
      <c r="S823" s="98"/>
      <c r="T823" s="97" t="s">
        <v>69</v>
      </c>
      <c r="U823" s="97" t="s">
        <v>71</v>
      </c>
      <c r="V823" s="97" t="s">
        <v>29</v>
      </c>
      <c r="W823" s="97" t="s">
        <v>28</v>
      </c>
      <c r="X823" s="97" t="s">
        <v>30</v>
      </c>
      <c r="Y823" s="97" t="s">
        <v>75</v>
      </c>
      <c r="Z823" s="99"/>
      <c r="AA823" s="59"/>
    </row>
    <row r="824" spans="1:27" s="55" customFormat="1" ht="21" customHeight="1" x14ac:dyDescent="0.25">
      <c r="A824" s="56"/>
      <c r="B824" s="57"/>
      <c r="C824" s="57"/>
      <c r="D824" s="62"/>
      <c r="E824" s="62"/>
      <c r="F824" s="62"/>
      <c r="G824" s="62"/>
      <c r="H824" s="62"/>
      <c r="I824" s="57"/>
      <c r="J824" s="63" t="s">
        <v>1</v>
      </c>
      <c r="K824" s="64">
        <v>16000</v>
      </c>
      <c r="L824" s="65"/>
      <c r="M824" s="57"/>
      <c r="N824" s="100"/>
      <c r="O824" s="101" t="s">
        <v>61</v>
      </c>
      <c r="P824" s="101">
        <v>25</v>
      </c>
      <c r="Q824" s="101">
        <v>6</v>
      </c>
      <c r="R824" s="101">
        <v>0</v>
      </c>
      <c r="S824" s="102"/>
      <c r="T824" s="101" t="s">
        <v>61</v>
      </c>
      <c r="U824" s="103"/>
      <c r="V824" s="103">
        <v>2000</v>
      </c>
      <c r="W824" s="103">
        <f>V824+U824</f>
        <v>2000</v>
      </c>
      <c r="X824" s="103">
        <v>2000</v>
      </c>
      <c r="Y824" s="103">
        <f>W824-X824</f>
        <v>0</v>
      </c>
      <c r="Z824" s="99"/>
      <c r="AA824" s="57"/>
    </row>
    <row r="825" spans="1:27" s="55" customFormat="1" ht="21" customHeight="1" x14ac:dyDescent="0.25">
      <c r="A825" s="56"/>
      <c r="B825" s="57" t="s">
        <v>0</v>
      </c>
      <c r="C825" s="67" t="s">
        <v>143</v>
      </c>
      <c r="D825" s="57"/>
      <c r="E825" s="57"/>
      <c r="F825" s="57"/>
      <c r="G825" s="57"/>
      <c r="H825" s="68"/>
      <c r="I825" s="62"/>
      <c r="J825" s="57"/>
      <c r="K825" s="57"/>
      <c r="L825" s="69"/>
      <c r="M825" s="54"/>
      <c r="N825" s="104"/>
      <c r="O825" s="101" t="s">
        <v>87</v>
      </c>
      <c r="P825" s="101">
        <f>28-6</f>
        <v>22</v>
      </c>
      <c r="Q825" s="101">
        <v>6</v>
      </c>
      <c r="R825" s="101">
        <v>0</v>
      </c>
      <c r="S825" s="105"/>
      <c r="T825" s="101" t="s">
        <v>87</v>
      </c>
      <c r="U825" s="177"/>
      <c r="V825" s="103">
        <v>1000</v>
      </c>
      <c r="W825" s="103">
        <f>V825+U825</f>
        <v>1000</v>
      </c>
      <c r="X825" s="103">
        <v>1000</v>
      </c>
      <c r="Y825" s="177">
        <f>IF(W825="","",W825-X825)</f>
        <v>0</v>
      </c>
      <c r="Z825" s="106"/>
      <c r="AA825" s="54"/>
    </row>
    <row r="826" spans="1:27" s="55" customFormat="1" ht="21" customHeight="1" x14ac:dyDescent="0.25">
      <c r="A826" s="56"/>
      <c r="B826" s="71" t="s">
        <v>57</v>
      </c>
      <c r="C826" s="72"/>
      <c r="D826" s="57"/>
      <c r="E826" s="57"/>
      <c r="F826" s="290" t="s">
        <v>59</v>
      </c>
      <c r="G826" s="290"/>
      <c r="H826" s="57"/>
      <c r="I826" s="290" t="s">
        <v>60</v>
      </c>
      <c r="J826" s="290"/>
      <c r="K826" s="290"/>
      <c r="L826" s="73"/>
      <c r="M826" s="57"/>
      <c r="N826" s="100"/>
      <c r="O826" s="101" t="s">
        <v>62</v>
      </c>
      <c r="P826" s="101">
        <v>29</v>
      </c>
      <c r="Q826" s="101">
        <v>2</v>
      </c>
      <c r="R826" s="101">
        <v>0</v>
      </c>
      <c r="S826" s="105"/>
      <c r="T826" s="101" t="s">
        <v>62</v>
      </c>
      <c r="U826" s="177"/>
      <c r="V826" s="103">
        <v>2500</v>
      </c>
      <c r="W826" s="103">
        <f>V826+U826</f>
        <v>2500</v>
      </c>
      <c r="X826" s="103">
        <v>2500</v>
      </c>
      <c r="Y826" s="177">
        <f t="shared" ref="Y826:Y835" si="147">IF(W826="","",W826-X826)</f>
        <v>0</v>
      </c>
      <c r="Z826" s="106"/>
      <c r="AA826" s="57"/>
    </row>
    <row r="827" spans="1:27" s="55" customFormat="1" ht="21" customHeight="1" x14ac:dyDescent="0.25">
      <c r="A827" s="56"/>
      <c r="B827" s="57"/>
      <c r="C827" s="57"/>
      <c r="D827" s="57"/>
      <c r="E827" s="57"/>
      <c r="F827" s="57"/>
      <c r="G827" s="57"/>
      <c r="H827" s="74"/>
      <c r="L827" s="61"/>
      <c r="M827" s="57"/>
      <c r="N827" s="100"/>
      <c r="O827" s="101" t="s">
        <v>63</v>
      </c>
      <c r="P827" s="101">
        <v>23</v>
      </c>
      <c r="Q827" s="101">
        <v>7</v>
      </c>
      <c r="R827" s="101">
        <v>0</v>
      </c>
      <c r="S827" s="105"/>
      <c r="T827" s="101" t="s">
        <v>63</v>
      </c>
      <c r="U827" s="177"/>
      <c r="V827" s="103">
        <v>2500</v>
      </c>
      <c r="W827" s="103">
        <f>V827+U827</f>
        <v>2500</v>
      </c>
      <c r="X827" s="103">
        <v>2500</v>
      </c>
      <c r="Y827" s="177">
        <f t="shared" si="147"/>
        <v>0</v>
      </c>
      <c r="Z827" s="106"/>
      <c r="AA827" s="57"/>
    </row>
    <row r="828" spans="1:27" s="55" customFormat="1" ht="21" customHeight="1" x14ac:dyDescent="0.25">
      <c r="A828" s="56"/>
      <c r="B828" s="291" t="s">
        <v>58</v>
      </c>
      <c r="C828" s="292"/>
      <c r="D828" s="57"/>
      <c r="E828" s="57"/>
      <c r="F828" s="75" t="s">
        <v>80</v>
      </c>
      <c r="G828" s="70">
        <f>IF($J$1="January",U824,IF($J$1="February",U825,IF($J$1="March",U826,IF($J$1="April",U827,IF($J$1="May",U828,IF($J$1="June",U829,IF($J$1="July",U830,IF($J$1="August",U831,IF($J$1="August",U831,IF($J$1="September",U832,IF($J$1="October",U833,IF($J$1="November",U834,IF($J$1="December",U835)))))))))))))</f>
        <v>0</v>
      </c>
      <c r="H828" s="74"/>
      <c r="I828" s="76">
        <f>IF(C832&gt;0,$K$2,C830)</f>
        <v>29</v>
      </c>
      <c r="J828" s="77" t="s">
        <v>77</v>
      </c>
      <c r="K828" s="78">
        <f>K824/$K$2*I828</f>
        <v>15466.666666666668</v>
      </c>
      <c r="L828" s="79"/>
      <c r="M828" s="57"/>
      <c r="N828" s="100"/>
      <c r="O828" s="101" t="s">
        <v>64</v>
      </c>
      <c r="P828" s="101">
        <v>29</v>
      </c>
      <c r="Q828" s="101">
        <v>2</v>
      </c>
      <c r="R828" s="101">
        <v>0</v>
      </c>
      <c r="S828" s="105"/>
      <c r="T828" s="101" t="s">
        <v>64</v>
      </c>
      <c r="U828" s="177"/>
      <c r="V828" s="103"/>
      <c r="W828" s="177" t="str">
        <f t="shared" ref="W828:W835" si="148">IF(U828="","",U828+V828)</f>
        <v/>
      </c>
      <c r="X828" s="103"/>
      <c r="Y828" s="177" t="str">
        <f t="shared" si="147"/>
        <v/>
      </c>
      <c r="Z828" s="106"/>
      <c r="AA828" s="57"/>
    </row>
    <row r="829" spans="1:27" s="55" customFormat="1" ht="21" customHeight="1" x14ac:dyDescent="0.25">
      <c r="A829" s="56"/>
      <c r="B829" s="66"/>
      <c r="C829" s="66"/>
      <c r="D829" s="57"/>
      <c r="E829" s="57"/>
      <c r="F829" s="75" t="s">
        <v>29</v>
      </c>
      <c r="G829" s="70">
        <f>IF($J$1="January",V824,IF($J$1="February",V825,IF($J$1="March",V826,IF($J$1="April",V827,IF($J$1="May",V828,IF($J$1="June",V829,IF($J$1="July",V830,IF($J$1="August",V831,IF($J$1="August",V831,IF($J$1="September",V832,IF($J$1="October",V833,IF($J$1="November",V834,IF($J$1="December",V835)))))))))))))</f>
        <v>0</v>
      </c>
      <c r="H829" s="74"/>
      <c r="I829" s="120">
        <v>15</v>
      </c>
      <c r="J829" s="77" t="s">
        <v>78</v>
      </c>
      <c r="K829" s="80">
        <f>K824/$K$2/8*I829</f>
        <v>1000.0000000000001</v>
      </c>
      <c r="L829" s="81"/>
      <c r="M829" s="57"/>
      <c r="N829" s="100"/>
      <c r="O829" s="101" t="s">
        <v>65</v>
      </c>
      <c r="P829" s="101">
        <v>29</v>
      </c>
      <c r="Q829" s="101">
        <v>1</v>
      </c>
      <c r="R829" s="101">
        <f t="shared" ref="R829" si="149">IF(Q829="","",R828-Q829)</f>
        <v>-1</v>
      </c>
      <c r="S829" s="105"/>
      <c r="T829" s="101" t="s">
        <v>65</v>
      </c>
      <c r="U829" s="177"/>
      <c r="V829" s="103"/>
      <c r="W829" s="177" t="str">
        <f t="shared" si="148"/>
        <v/>
      </c>
      <c r="X829" s="103"/>
      <c r="Y829" s="177" t="str">
        <f t="shared" si="147"/>
        <v/>
      </c>
      <c r="Z829" s="106"/>
      <c r="AA829" s="57"/>
    </row>
    <row r="830" spans="1:27" s="55" customFormat="1" ht="21" customHeight="1" x14ac:dyDescent="0.25">
      <c r="A830" s="56"/>
      <c r="B830" s="75" t="s">
        <v>7</v>
      </c>
      <c r="C830" s="66">
        <f>IF($J$1="January",P824,IF($J$1="February",P825,IF($J$1="March",P826,IF($J$1="April",P827,IF($J$1="May",P828,IF($J$1="June",P829,IF($J$1="July",P830,IF($J$1="August",P831,IF($J$1="August",P831,IF($J$1="September",P832,IF($J$1="October",P833,IF($J$1="November",P834,IF($J$1="December",P835)))))))))))))</f>
        <v>29</v>
      </c>
      <c r="D830" s="57"/>
      <c r="E830" s="57"/>
      <c r="F830" s="75" t="s">
        <v>81</v>
      </c>
      <c r="G830" s="70" t="str">
        <f>IF($J$1="January",W824,IF($J$1="February",W825,IF($J$1="March",W826,IF($J$1="April",W827,IF($J$1="May",W828,IF($J$1="June",W829,IF($J$1="July",W830,IF($J$1="August",W831,IF($J$1="August",W831,IF($J$1="September",W832,IF($J$1="October",W833,IF($J$1="November",W834,IF($J$1="December",W835)))))))))))))</f>
        <v/>
      </c>
      <c r="H830" s="74"/>
      <c r="I830" s="293" t="s">
        <v>85</v>
      </c>
      <c r="J830" s="294"/>
      <c r="K830" s="80">
        <f>K828+K829</f>
        <v>16466.666666666668</v>
      </c>
      <c r="L830" s="81"/>
      <c r="M830" s="57"/>
      <c r="N830" s="100"/>
      <c r="O830" s="101" t="s">
        <v>66</v>
      </c>
      <c r="P830" s="101"/>
      <c r="Q830" s="101"/>
      <c r="R830" s="101">
        <v>0</v>
      </c>
      <c r="S830" s="105"/>
      <c r="T830" s="101" t="s">
        <v>66</v>
      </c>
      <c r="U830" s="177"/>
      <c r="V830" s="103"/>
      <c r="W830" s="177" t="str">
        <f t="shared" si="148"/>
        <v/>
      </c>
      <c r="X830" s="103"/>
      <c r="Y830" s="177" t="str">
        <f t="shared" si="147"/>
        <v/>
      </c>
      <c r="Z830" s="106"/>
      <c r="AA830" s="57"/>
    </row>
    <row r="831" spans="1:27" s="55" customFormat="1" ht="21" customHeight="1" x14ac:dyDescent="0.25">
      <c r="A831" s="56"/>
      <c r="B831" s="75" t="s">
        <v>6</v>
      </c>
      <c r="C831" s="66">
        <f>IF($J$1="January",Q824,IF($J$1="February",Q825,IF($J$1="March",Q826,IF($J$1="April",Q827,IF($J$1="May",Q828,IF($J$1="June",Q829,IF($J$1="July",Q830,IF($J$1="August",Q831,IF($J$1="August",Q831,IF($J$1="September",Q832,IF($J$1="October",Q833,IF($J$1="November",Q834,IF($J$1="December",Q835)))))))))))))</f>
        <v>1</v>
      </c>
      <c r="D831" s="57"/>
      <c r="E831" s="57"/>
      <c r="F831" s="75" t="s">
        <v>30</v>
      </c>
      <c r="G831" s="70">
        <f>IF($J$1="January",X824,IF($J$1="February",X825,IF($J$1="March",X826,IF($J$1="April",X827,IF($J$1="May",X828,IF($J$1="June",X829,IF($J$1="July",X830,IF($J$1="August",X831,IF($J$1="August",X831,IF($J$1="September",X832,IF($J$1="October",X833,IF($J$1="November",X834,IF($J$1="December",X835)))))))))))))</f>
        <v>0</v>
      </c>
      <c r="H831" s="74"/>
      <c r="I831" s="293" t="s">
        <v>86</v>
      </c>
      <c r="J831" s="294"/>
      <c r="K831" s="70">
        <f>G831</f>
        <v>0</v>
      </c>
      <c r="L831" s="82"/>
      <c r="M831" s="57"/>
      <c r="N831" s="100"/>
      <c r="O831" s="101" t="s">
        <v>67</v>
      </c>
      <c r="P831" s="101"/>
      <c r="Q831" s="101"/>
      <c r="R831" s="101">
        <v>0</v>
      </c>
      <c r="S831" s="105"/>
      <c r="T831" s="101" t="s">
        <v>67</v>
      </c>
      <c r="U831" s="177" t="str">
        <f>IF($J$1="May",Y830,Y830)</f>
        <v/>
      </c>
      <c r="V831" s="103"/>
      <c r="W831" s="177" t="str">
        <f t="shared" si="148"/>
        <v/>
      </c>
      <c r="X831" s="103"/>
      <c r="Y831" s="177" t="str">
        <f t="shared" si="147"/>
        <v/>
      </c>
      <c r="Z831" s="106"/>
      <c r="AA831" s="57"/>
    </row>
    <row r="832" spans="1:27" s="55" customFormat="1" ht="21" customHeight="1" x14ac:dyDescent="0.25">
      <c r="A832" s="56"/>
      <c r="B832" s="83" t="s">
        <v>84</v>
      </c>
      <c r="C832" s="66">
        <f>IF($J$1="January",R824,IF($J$1="February",R825,IF($J$1="March",R826,IF($J$1="April",R827,IF($J$1="May",R828,IF($J$1="June",R829,IF($J$1="July",R830,IF($J$1="August",R831,IF($J$1="August",R831,IF($J$1="September",R832,IF($J$1="October",R833,IF($J$1="November",R834,IF($J$1="December",R835)))))))))))))</f>
        <v>-1</v>
      </c>
      <c r="D832" s="57"/>
      <c r="E832" s="57"/>
      <c r="F832" s="75" t="s">
        <v>83</v>
      </c>
      <c r="G832" s="70" t="str">
        <f>IF($J$1="January",Y824,IF($J$1="February",Y825,IF($J$1="March",Y826,IF($J$1="April",Y827,IF($J$1="May",Y828,IF($J$1="June",Y829,IF($J$1="July",Y830,IF($J$1="August",Y831,IF($J$1="August",Y831,IF($J$1="September",Y832,IF($J$1="October",Y833,IF($J$1="November",Y834,IF($J$1="December",Y835)))))))))))))</f>
        <v/>
      </c>
      <c r="H832" s="57"/>
      <c r="I832" s="295" t="s">
        <v>79</v>
      </c>
      <c r="J832" s="296"/>
      <c r="K832" s="84">
        <f>K830-K831</f>
        <v>16466.666666666668</v>
      </c>
      <c r="L832" s="85"/>
      <c r="M832" s="57"/>
      <c r="N832" s="100"/>
      <c r="O832" s="101" t="s">
        <v>72</v>
      </c>
      <c r="P832" s="101"/>
      <c r="Q832" s="101"/>
      <c r="R832" s="101">
        <v>0</v>
      </c>
      <c r="S832" s="105"/>
      <c r="T832" s="101" t="s">
        <v>72</v>
      </c>
      <c r="U832" s="177" t="str">
        <f>IF($J$1="May",Y831,Y831)</f>
        <v/>
      </c>
      <c r="V832" s="103"/>
      <c r="W832" s="177" t="str">
        <f t="shared" si="148"/>
        <v/>
      </c>
      <c r="X832" s="103"/>
      <c r="Y832" s="177" t="str">
        <f t="shared" si="147"/>
        <v/>
      </c>
      <c r="Z832" s="106"/>
      <c r="AA832" s="57"/>
    </row>
    <row r="833" spans="1:27" s="55" customFormat="1" ht="21" customHeight="1" x14ac:dyDescent="0.25">
      <c r="A833" s="56"/>
      <c r="B833" s="57"/>
      <c r="C833" s="57"/>
      <c r="D833" s="57"/>
      <c r="E833" s="57"/>
      <c r="F833" s="57"/>
      <c r="G833" s="57"/>
      <c r="H833" s="57"/>
      <c r="I833" s="57"/>
      <c r="J833" s="57"/>
      <c r="K833" s="194"/>
      <c r="L833" s="73"/>
      <c r="M833" s="57"/>
      <c r="N833" s="100"/>
      <c r="O833" s="101" t="s">
        <v>68</v>
      </c>
      <c r="P833" s="101"/>
      <c r="Q833" s="101"/>
      <c r="R833" s="101">
        <v>0</v>
      </c>
      <c r="S833" s="105"/>
      <c r="T833" s="101" t="s">
        <v>68</v>
      </c>
      <c r="U833" s="177"/>
      <c r="V833" s="103"/>
      <c r="W833" s="177" t="str">
        <f t="shared" si="148"/>
        <v/>
      </c>
      <c r="X833" s="103"/>
      <c r="Y833" s="177" t="str">
        <f t="shared" si="147"/>
        <v/>
      </c>
      <c r="Z833" s="106"/>
      <c r="AA833" s="57"/>
    </row>
    <row r="834" spans="1:27" s="55" customFormat="1" ht="21" customHeight="1" x14ac:dyDescent="0.25">
      <c r="A834" s="56"/>
      <c r="B834" s="284" t="s">
        <v>116</v>
      </c>
      <c r="C834" s="284"/>
      <c r="D834" s="284"/>
      <c r="E834" s="284"/>
      <c r="F834" s="284"/>
      <c r="G834" s="284"/>
      <c r="H834" s="284"/>
      <c r="I834" s="284"/>
      <c r="J834" s="284"/>
      <c r="K834" s="284"/>
      <c r="L834" s="73"/>
      <c r="M834" s="57"/>
      <c r="N834" s="100"/>
      <c r="O834" s="101" t="s">
        <v>73</v>
      </c>
      <c r="P834" s="101"/>
      <c r="Q834" s="101"/>
      <c r="R834" s="101">
        <v>0</v>
      </c>
      <c r="S834" s="105"/>
      <c r="T834" s="101" t="s">
        <v>73</v>
      </c>
      <c r="U834" s="177" t="str">
        <f t="shared" ref="U834:U835" si="150">Y833</f>
        <v/>
      </c>
      <c r="V834" s="103"/>
      <c r="W834" s="177" t="str">
        <f t="shared" si="148"/>
        <v/>
      </c>
      <c r="X834" s="103"/>
      <c r="Y834" s="177" t="str">
        <f t="shared" si="147"/>
        <v/>
      </c>
      <c r="Z834" s="106"/>
      <c r="AA834" s="57"/>
    </row>
    <row r="835" spans="1:27" s="55" customFormat="1" ht="21" customHeight="1" x14ac:dyDescent="0.25">
      <c r="A835" s="56"/>
      <c r="B835" s="284"/>
      <c r="C835" s="284"/>
      <c r="D835" s="284"/>
      <c r="E835" s="284"/>
      <c r="F835" s="284"/>
      <c r="G835" s="284"/>
      <c r="H835" s="284"/>
      <c r="I835" s="284"/>
      <c r="J835" s="284"/>
      <c r="K835" s="284"/>
      <c r="L835" s="73"/>
      <c r="M835" s="57"/>
      <c r="N835" s="100"/>
      <c r="O835" s="101" t="s">
        <v>74</v>
      </c>
      <c r="P835" s="101"/>
      <c r="Q835" s="101"/>
      <c r="R835" s="101">
        <v>0</v>
      </c>
      <c r="S835" s="105"/>
      <c r="T835" s="101" t="s">
        <v>74</v>
      </c>
      <c r="U835" s="177" t="str">
        <f t="shared" si="150"/>
        <v/>
      </c>
      <c r="V835" s="103"/>
      <c r="W835" s="177" t="str">
        <f t="shared" si="148"/>
        <v/>
      </c>
      <c r="X835" s="103"/>
      <c r="Y835" s="177" t="str">
        <f t="shared" si="147"/>
        <v/>
      </c>
      <c r="Z835" s="106"/>
      <c r="AA835" s="57"/>
    </row>
    <row r="836" spans="1:27" s="55" customFormat="1" ht="21" customHeight="1" thickBot="1" x14ac:dyDescent="0.3">
      <c r="A836" s="86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8"/>
      <c r="N836" s="107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9"/>
    </row>
    <row r="837" spans="1:27" s="55" customFormat="1" ht="21" customHeight="1" thickBot="1" x14ac:dyDescent="0.3"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</row>
    <row r="838" spans="1:27" s="55" customFormat="1" ht="21" customHeight="1" x14ac:dyDescent="0.25">
      <c r="A838" s="297" t="s">
        <v>56</v>
      </c>
      <c r="B838" s="298"/>
      <c r="C838" s="298"/>
      <c r="D838" s="298"/>
      <c r="E838" s="298"/>
      <c r="F838" s="298"/>
      <c r="G838" s="298"/>
      <c r="H838" s="298"/>
      <c r="I838" s="298"/>
      <c r="J838" s="298"/>
      <c r="K838" s="298"/>
      <c r="L838" s="299"/>
      <c r="M838" s="54"/>
      <c r="N838" s="93"/>
      <c r="O838" s="285" t="s">
        <v>58</v>
      </c>
      <c r="P838" s="286"/>
      <c r="Q838" s="286"/>
      <c r="R838" s="287"/>
      <c r="S838" s="94"/>
      <c r="T838" s="285" t="s">
        <v>59</v>
      </c>
      <c r="U838" s="286"/>
      <c r="V838" s="286"/>
      <c r="W838" s="286"/>
      <c r="X838" s="286"/>
      <c r="Y838" s="287"/>
      <c r="Z838" s="95"/>
      <c r="AA838" s="54"/>
    </row>
    <row r="839" spans="1:27" s="55" customFormat="1" ht="21" customHeight="1" x14ac:dyDescent="0.25">
      <c r="A839" s="56"/>
      <c r="B839" s="57"/>
      <c r="C839" s="288" t="s">
        <v>114</v>
      </c>
      <c r="D839" s="288"/>
      <c r="E839" s="288"/>
      <c r="F839" s="288"/>
      <c r="G839" s="58" t="str">
        <f>$J$1</f>
        <v>June</v>
      </c>
      <c r="H839" s="289">
        <f>$K$1</f>
        <v>2019</v>
      </c>
      <c r="I839" s="289"/>
      <c r="J839" s="57"/>
      <c r="K839" s="59"/>
      <c r="L839" s="60"/>
      <c r="M839" s="59"/>
      <c r="N839" s="96"/>
      <c r="O839" s="97" t="s">
        <v>69</v>
      </c>
      <c r="P839" s="97" t="s">
        <v>7</v>
      </c>
      <c r="Q839" s="97" t="s">
        <v>6</v>
      </c>
      <c r="R839" s="97" t="s">
        <v>70</v>
      </c>
      <c r="S839" s="98"/>
      <c r="T839" s="97" t="s">
        <v>69</v>
      </c>
      <c r="U839" s="97" t="s">
        <v>71</v>
      </c>
      <c r="V839" s="97" t="s">
        <v>29</v>
      </c>
      <c r="W839" s="97" t="s">
        <v>28</v>
      </c>
      <c r="X839" s="97" t="s">
        <v>30</v>
      </c>
      <c r="Y839" s="97" t="s">
        <v>75</v>
      </c>
      <c r="Z839" s="99"/>
      <c r="AA839" s="59"/>
    </row>
    <row r="840" spans="1:27" s="55" customFormat="1" ht="21" customHeight="1" x14ac:dyDescent="0.25">
      <c r="A840" s="56"/>
      <c r="B840" s="57"/>
      <c r="C840" s="57"/>
      <c r="D840" s="62"/>
      <c r="E840" s="62"/>
      <c r="F840" s="62"/>
      <c r="G840" s="62"/>
      <c r="H840" s="62"/>
      <c r="I840" s="57"/>
      <c r="J840" s="63" t="s">
        <v>1</v>
      </c>
      <c r="K840" s="64">
        <v>22000</v>
      </c>
      <c r="L840" s="65"/>
      <c r="M840" s="57"/>
      <c r="N840" s="100"/>
      <c r="O840" s="101" t="s">
        <v>61</v>
      </c>
      <c r="P840" s="101">
        <v>28</v>
      </c>
      <c r="Q840" s="101">
        <v>3</v>
      </c>
      <c r="R840" s="101">
        <f>15-Q840</f>
        <v>12</v>
      </c>
      <c r="S840" s="102"/>
      <c r="T840" s="101" t="s">
        <v>61</v>
      </c>
      <c r="U840" s="103">
        <v>56500</v>
      </c>
      <c r="V840" s="103"/>
      <c r="W840" s="103">
        <f>V840+U840</f>
        <v>56500</v>
      </c>
      <c r="X840" s="103">
        <v>5000</v>
      </c>
      <c r="Y840" s="103">
        <f>W840-X840</f>
        <v>51500</v>
      </c>
      <c r="Z840" s="99"/>
      <c r="AA840" s="57"/>
    </row>
    <row r="841" spans="1:27" s="55" customFormat="1" ht="21" customHeight="1" x14ac:dyDescent="0.25">
      <c r="A841" s="56"/>
      <c r="B841" s="57" t="s">
        <v>0</v>
      </c>
      <c r="C841" s="67" t="s">
        <v>102</v>
      </c>
      <c r="D841" s="57"/>
      <c r="E841" s="57"/>
      <c r="F841" s="57"/>
      <c r="G841" s="57"/>
      <c r="H841" s="68"/>
      <c r="I841" s="62"/>
      <c r="J841" s="57"/>
      <c r="K841" s="57"/>
      <c r="L841" s="69"/>
      <c r="M841" s="54"/>
      <c r="N841" s="104"/>
      <c r="O841" s="101" t="s">
        <v>87</v>
      </c>
      <c r="P841" s="101">
        <v>28</v>
      </c>
      <c r="Q841" s="101">
        <v>0</v>
      </c>
      <c r="R841" s="101">
        <f>IF(Q841="","",R840-Q841)</f>
        <v>12</v>
      </c>
      <c r="S841" s="105"/>
      <c r="T841" s="101" t="s">
        <v>87</v>
      </c>
      <c r="U841" s="177">
        <f>Y840</f>
        <v>51500</v>
      </c>
      <c r="V841" s="103"/>
      <c r="W841" s="177">
        <f>IF(U841="","",U841+V841)</f>
        <v>51500</v>
      </c>
      <c r="X841" s="103">
        <v>1500</v>
      </c>
      <c r="Y841" s="177">
        <f>IF(W841="","",W841-X841)</f>
        <v>50000</v>
      </c>
      <c r="Z841" s="106"/>
      <c r="AA841" s="54"/>
    </row>
    <row r="842" spans="1:27" s="55" customFormat="1" ht="21" customHeight="1" x14ac:dyDescent="0.25">
      <c r="A842" s="56"/>
      <c r="B842" s="71" t="s">
        <v>57</v>
      </c>
      <c r="C842" s="72"/>
      <c r="D842" s="57"/>
      <c r="E842" s="57"/>
      <c r="F842" s="290" t="s">
        <v>59</v>
      </c>
      <c r="G842" s="290"/>
      <c r="H842" s="57"/>
      <c r="I842" s="290" t="s">
        <v>60</v>
      </c>
      <c r="J842" s="290"/>
      <c r="K842" s="290"/>
      <c r="L842" s="73"/>
      <c r="M842" s="57"/>
      <c r="N842" s="100"/>
      <c r="O842" s="101" t="s">
        <v>62</v>
      </c>
      <c r="P842" s="101">
        <v>26</v>
      </c>
      <c r="Q842" s="101">
        <v>5</v>
      </c>
      <c r="R842" s="101">
        <f t="shared" ref="R842:R851" si="151">IF(Q842="","",R841-Q842)</f>
        <v>7</v>
      </c>
      <c r="S842" s="105"/>
      <c r="T842" s="101" t="s">
        <v>62</v>
      </c>
      <c r="U842" s="177">
        <f>Y841</f>
        <v>50000</v>
      </c>
      <c r="V842" s="103"/>
      <c r="W842" s="177">
        <f t="shared" ref="W842:W851" si="152">IF(U842="","",U842+V842)</f>
        <v>50000</v>
      </c>
      <c r="X842" s="103">
        <v>5000</v>
      </c>
      <c r="Y842" s="177">
        <f t="shared" ref="Y842:Y851" si="153">IF(W842="","",W842-X842)</f>
        <v>45000</v>
      </c>
      <c r="Z842" s="106"/>
      <c r="AA842" s="57"/>
    </row>
    <row r="843" spans="1:27" s="55" customFormat="1" ht="21" customHeight="1" x14ac:dyDescent="0.25">
      <c r="A843" s="56"/>
      <c r="B843" s="57"/>
      <c r="C843" s="57"/>
      <c r="D843" s="57"/>
      <c r="E843" s="57"/>
      <c r="F843" s="57"/>
      <c r="G843" s="57"/>
      <c r="H843" s="74"/>
      <c r="L843" s="61"/>
      <c r="M843" s="57"/>
      <c r="N843" s="100"/>
      <c r="O843" s="101" t="s">
        <v>63</v>
      </c>
      <c r="P843" s="101">
        <v>30</v>
      </c>
      <c r="Q843" s="101">
        <v>0</v>
      </c>
      <c r="R843" s="101">
        <f t="shared" si="151"/>
        <v>7</v>
      </c>
      <c r="S843" s="105"/>
      <c r="T843" s="101" t="s">
        <v>63</v>
      </c>
      <c r="U843" s="177">
        <f>Y842</f>
        <v>45000</v>
      </c>
      <c r="V843" s="103"/>
      <c r="W843" s="177">
        <f t="shared" si="152"/>
        <v>45000</v>
      </c>
      <c r="X843" s="103"/>
      <c r="Y843" s="177">
        <f t="shared" si="153"/>
        <v>45000</v>
      </c>
      <c r="Z843" s="106"/>
      <c r="AA843" s="57"/>
    </row>
    <row r="844" spans="1:27" s="55" customFormat="1" ht="21" customHeight="1" x14ac:dyDescent="0.25">
      <c r="A844" s="56"/>
      <c r="B844" s="291" t="s">
        <v>58</v>
      </c>
      <c r="C844" s="292"/>
      <c r="D844" s="57"/>
      <c r="E844" s="57"/>
      <c r="F844" s="75" t="s">
        <v>80</v>
      </c>
      <c r="G844" s="70">
        <f>IF($J$1="January",U840,IF($J$1="February",U841,IF($J$1="March",U842,IF($J$1="April",U843,IF($J$1="May",U844,IF($J$1="June",U845,IF($J$1="July",U846,IF($J$1="August",U847,IF($J$1="August",U847,IF($J$1="September",U848,IF($J$1="October",U849,IF($J$1="November",U850,IF($J$1="December",U851)))))))))))))</f>
        <v>45000</v>
      </c>
      <c r="H844" s="74"/>
      <c r="I844" s="76">
        <f>IF(C848&gt;0,$K$2,C846)</f>
        <v>30</v>
      </c>
      <c r="J844" s="77" t="s">
        <v>77</v>
      </c>
      <c r="K844" s="78">
        <f>K840/$K$2*I844</f>
        <v>22000</v>
      </c>
      <c r="L844" s="79"/>
      <c r="M844" s="57"/>
      <c r="N844" s="100"/>
      <c r="O844" s="101" t="s">
        <v>64</v>
      </c>
      <c r="P844" s="101">
        <v>31</v>
      </c>
      <c r="Q844" s="101">
        <v>0</v>
      </c>
      <c r="R844" s="101">
        <f t="shared" si="151"/>
        <v>7</v>
      </c>
      <c r="S844" s="105"/>
      <c r="T844" s="101" t="s">
        <v>64</v>
      </c>
      <c r="U844" s="177">
        <f>Y843</f>
        <v>45000</v>
      </c>
      <c r="V844" s="103"/>
      <c r="W844" s="177">
        <f t="shared" si="152"/>
        <v>45000</v>
      </c>
      <c r="X844" s="103"/>
      <c r="Y844" s="177">
        <f t="shared" si="153"/>
        <v>45000</v>
      </c>
      <c r="Z844" s="106"/>
      <c r="AA844" s="57"/>
    </row>
    <row r="845" spans="1:27" s="55" customFormat="1" ht="21" customHeight="1" x14ac:dyDescent="0.25">
      <c r="A845" s="56"/>
      <c r="B845" s="66"/>
      <c r="C845" s="66"/>
      <c r="D845" s="57"/>
      <c r="E845" s="57"/>
      <c r="F845" s="75" t="s">
        <v>29</v>
      </c>
      <c r="G845" s="70">
        <f>IF($J$1="January",V840,IF($J$1="February",V841,IF($J$1="March",V842,IF($J$1="April",V843,IF($J$1="May",V844,IF($J$1="June",V845,IF($J$1="July",V846,IF($J$1="August",V847,IF($J$1="August",V847,IF($J$1="September",V848,IF($J$1="October",V849,IF($J$1="November",V850,IF($J$1="December",V851)))))))))))))</f>
        <v>0</v>
      </c>
      <c r="H845" s="74"/>
      <c r="I845" s="120"/>
      <c r="J845" s="77" t="s">
        <v>78</v>
      </c>
      <c r="K845" s="80">
        <f>K840/$K$2/8*I845</f>
        <v>0</v>
      </c>
      <c r="L845" s="81"/>
      <c r="M845" s="57"/>
      <c r="N845" s="100"/>
      <c r="O845" s="101" t="s">
        <v>65</v>
      </c>
      <c r="P845" s="101">
        <v>29</v>
      </c>
      <c r="Q845" s="101">
        <v>1</v>
      </c>
      <c r="R845" s="101">
        <f t="shared" si="151"/>
        <v>6</v>
      </c>
      <c r="S845" s="105"/>
      <c r="T845" s="101" t="s">
        <v>65</v>
      </c>
      <c r="U845" s="177">
        <f>Y844</f>
        <v>45000</v>
      </c>
      <c r="V845" s="103"/>
      <c r="W845" s="177">
        <f t="shared" si="152"/>
        <v>45000</v>
      </c>
      <c r="X845" s="103">
        <v>5000</v>
      </c>
      <c r="Y845" s="177">
        <f t="shared" si="153"/>
        <v>40000</v>
      </c>
      <c r="Z845" s="106"/>
      <c r="AA845" s="57"/>
    </row>
    <row r="846" spans="1:27" s="55" customFormat="1" ht="21" customHeight="1" x14ac:dyDescent="0.25">
      <c r="A846" s="56"/>
      <c r="B846" s="75" t="s">
        <v>7</v>
      </c>
      <c r="C846" s="66">
        <f>IF($J$1="January",P840,IF($J$1="February",P841,IF($J$1="March",P842,IF($J$1="April",P843,IF($J$1="May",P844,IF($J$1="June",P845,IF($J$1="July",P846,IF($J$1="August",P847,IF($J$1="August",P847,IF($J$1="September",P848,IF($J$1="October",P849,IF($J$1="November",P850,IF($J$1="December",P851)))))))))))))</f>
        <v>29</v>
      </c>
      <c r="D846" s="57"/>
      <c r="E846" s="57"/>
      <c r="F846" s="75" t="s">
        <v>81</v>
      </c>
      <c r="G846" s="70">
        <f>IF($J$1="January",W840,IF($J$1="February",W841,IF($J$1="March",W842,IF($J$1="April",W843,IF($J$1="May",W844,IF($J$1="June",W845,IF($J$1="July",W846,IF($J$1="August",W847,IF($J$1="August",W847,IF($J$1="September",W848,IF($J$1="October",W849,IF($J$1="November",W850,IF($J$1="December",W851)))))))))))))</f>
        <v>45000</v>
      </c>
      <c r="H846" s="74"/>
      <c r="I846" s="293" t="s">
        <v>85</v>
      </c>
      <c r="J846" s="294"/>
      <c r="K846" s="80">
        <f>K844+K845</f>
        <v>22000</v>
      </c>
      <c r="L846" s="81"/>
      <c r="M846" s="57"/>
      <c r="N846" s="100"/>
      <c r="O846" s="101" t="s">
        <v>66</v>
      </c>
      <c r="P846" s="101"/>
      <c r="Q846" s="101"/>
      <c r="R846" s="101" t="str">
        <f t="shared" si="151"/>
        <v/>
      </c>
      <c r="S846" s="105"/>
      <c r="T846" s="101" t="s">
        <v>66</v>
      </c>
      <c r="U846" s="177"/>
      <c r="V846" s="103"/>
      <c r="W846" s="177" t="str">
        <f t="shared" si="152"/>
        <v/>
      </c>
      <c r="X846" s="103"/>
      <c r="Y846" s="177" t="str">
        <f t="shared" si="153"/>
        <v/>
      </c>
      <c r="Z846" s="106"/>
      <c r="AA846" s="57"/>
    </row>
    <row r="847" spans="1:27" s="55" customFormat="1" ht="21" customHeight="1" x14ac:dyDescent="0.25">
      <c r="A847" s="56"/>
      <c r="B847" s="75" t="s">
        <v>6</v>
      </c>
      <c r="C847" s="66">
        <f>IF($J$1="January",Q840,IF($J$1="February",Q841,IF($J$1="March",Q842,IF($J$1="April",Q843,IF($J$1="May",Q844,IF($J$1="June",Q845,IF($J$1="July",Q846,IF($J$1="August",Q847,IF($J$1="August",Q847,IF($J$1="September",Q848,IF($J$1="October",Q849,IF($J$1="November",Q850,IF($J$1="December",Q851)))))))))))))</f>
        <v>1</v>
      </c>
      <c r="D847" s="57"/>
      <c r="E847" s="57"/>
      <c r="F847" s="75" t="s">
        <v>30</v>
      </c>
      <c r="G847" s="70">
        <f>IF($J$1="January",X840,IF($J$1="February",X841,IF($J$1="March",X842,IF($J$1="April",X843,IF($J$1="May",X844,IF($J$1="June",X845,IF($J$1="July",X846,IF($J$1="August",X847,IF($J$1="August",X847,IF($J$1="September",X848,IF($J$1="October",X849,IF($J$1="November",X850,IF($J$1="December",X851)))))))))))))</f>
        <v>5000</v>
      </c>
      <c r="H847" s="74"/>
      <c r="I847" s="293" t="s">
        <v>86</v>
      </c>
      <c r="J847" s="294"/>
      <c r="K847" s="70">
        <f>G847</f>
        <v>5000</v>
      </c>
      <c r="L847" s="82"/>
      <c r="M847" s="57"/>
      <c r="N847" s="100"/>
      <c r="O847" s="101" t="s">
        <v>67</v>
      </c>
      <c r="P847" s="101"/>
      <c r="Q847" s="101"/>
      <c r="R847" s="101" t="str">
        <f t="shared" si="151"/>
        <v/>
      </c>
      <c r="S847" s="105"/>
      <c r="T847" s="101" t="s">
        <v>67</v>
      </c>
      <c r="U847" s="177"/>
      <c r="V847" s="103"/>
      <c r="W847" s="177" t="str">
        <f t="shared" si="152"/>
        <v/>
      </c>
      <c r="X847" s="103"/>
      <c r="Y847" s="177" t="str">
        <f t="shared" si="153"/>
        <v/>
      </c>
      <c r="Z847" s="106"/>
      <c r="AA847" s="57"/>
    </row>
    <row r="848" spans="1:27" s="55" customFormat="1" ht="21" customHeight="1" x14ac:dyDescent="0.25">
      <c r="A848" s="56"/>
      <c r="B848" s="83" t="s">
        <v>84</v>
      </c>
      <c r="C848" s="66">
        <f>IF($J$1="January",R840,IF($J$1="February",R841,IF($J$1="March",R842,IF($J$1="April",R843,IF($J$1="May",R844,IF($J$1="June",R845,IF($J$1="July",R846,IF($J$1="August",R847,IF($J$1="August",R847,IF($J$1="September",R848,IF($J$1="October",R849,IF($J$1="November",R850,IF($J$1="December",R851)))))))))))))</f>
        <v>6</v>
      </c>
      <c r="D848" s="57"/>
      <c r="E848" s="57"/>
      <c r="F848" s="75" t="s">
        <v>83</v>
      </c>
      <c r="G848" s="70">
        <f>IF($J$1="January",Y840,IF($J$1="February",Y841,IF($J$1="March",Y842,IF($J$1="April",Y843,IF($J$1="May",Y844,IF($J$1="June",Y845,IF($J$1="July",Y846,IF($J$1="August",Y847,IF($J$1="August",Y847,IF($J$1="September",Y848,IF($J$1="October",Y849,IF($J$1="November",Y850,IF($J$1="December",Y851)))))))))))))</f>
        <v>40000</v>
      </c>
      <c r="H848" s="57"/>
      <c r="I848" s="295" t="s">
        <v>79</v>
      </c>
      <c r="J848" s="296"/>
      <c r="K848" s="84">
        <f>K846-K847</f>
        <v>17000</v>
      </c>
      <c r="L848" s="85"/>
      <c r="M848" s="57"/>
      <c r="N848" s="100"/>
      <c r="O848" s="101" t="s">
        <v>72</v>
      </c>
      <c r="P848" s="101"/>
      <c r="Q848" s="101"/>
      <c r="R848" s="101" t="str">
        <f t="shared" si="151"/>
        <v/>
      </c>
      <c r="S848" s="105"/>
      <c r="T848" s="101" t="s">
        <v>72</v>
      </c>
      <c r="U848" s="177"/>
      <c r="V848" s="103"/>
      <c r="W848" s="177" t="str">
        <f t="shared" si="152"/>
        <v/>
      </c>
      <c r="X848" s="103"/>
      <c r="Y848" s="177" t="str">
        <f t="shared" si="153"/>
        <v/>
      </c>
      <c r="Z848" s="106"/>
      <c r="AA848" s="57"/>
    </row>
    <row r="849" spans="1:27" s="55" customFormat="1" ht="21" customHeight="1" x14ac:dyDescent="0.25">
      <c r="A849" s="56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73"/>
      <c r="M849" s="57"/>
      <c r="N849" s="100"/>
      <c r="O849" s="101" t="s">
        <v>68</v>
      </c>
      <c r="P849" s="101"/>
      <c r="Q849" s="101"/>
      <c r="R849" s="101" t="str">
        <f t="shared" si="151"/>
        <v/>
      </c>
      <c r="S849" s="105"/>
      <c r="T849" s="101" t="s">
        <v>68</v>
      </c>
      <c r="U849" s="177"/>
      <c r="V849" s="103"/>
      <c r="W849" s="177" t="str">
        <f t="shared" si="152"/>
        <v/>
      </c>
      <c r="X849" s="103"/>
      <c r="Y849" s="177" t="str">
        <f t="shared" si="153"/>
        <v/>
      </c>
      <c r="Z849" s="106"/>
      <c r="AA849" s="57"/>
    </row>
    <row r="850" spans="1:27" s="55" customFormat="1" ht="21" customHeight="1" x14ac:dyDescent="0.25">
      <c r="A850" s="56"/>
      <c r="B850" s="284" t="s">
        <v>116</v>
      </c>
      <c r="C850" s="284"/>
      <c r="D850" s="284"/>
      <c r="E850" s="284"/>
      <c r="F850" s="284"/>
      <c r="G850" s="284"/>
      <c r="H850" s="284"/>
      <c r="I850" s="284"/>
      <c r="J850" s="284"/>
      <c r="K850" s="284"/>
      <c r="L850" s="73"/>
      <c r="M850" s="57"/>
      <c r="N850" s="100"/>
      <c r="O850" s="101" t="s">
        <v>73</v>
      </c>
      <c r="P850" s="101"/>
      <c r="Q850" s="101"/>
      <c r="R850" s="101" t="str">
        <f t="shared" si="151"/>
        <v/>
      </c>
      <c r="S850" s="105"/>
      <c r="T850" s="101" t="s">
        <v>73</v>
      </c>
      <c r="U850" s="177"/>
      <c r="V850" s="103"/>
      <c r="W850" s="177" t="str">
        <f t="shared" si="152"/>
        <v/>
      </c>
      <c r="X850" s="103"/>
      <c r="Y850" s="177" t="str">
        <f t="shared" si="153"/>
        <v/>
      </c>
      <c r="Z850" s="106"/>
      <c r="AA850" s="57"/>
    </row>
    <row r="851" spans="1:27" s="55" customFormat="1" ht="21" customHeight="1" x14ac:dyDescent="0.25">
      <c r="A851" s="56"/>
      <c r="B851" s="284"/>
      <c r="C851" s="284"/>
      <c r="D851" s="284"/>
      <c r="E851" s="284"/>
      <c r="F851" s="284"/>
      <c r="G851" s="284"/>
      <c r="H851" s="284"/>
      <c r="I851" s="284"/>
      <c r="J851" s="284"/>
      <c r="K851" s="284"/>
      <c r="L851" s="73"/>
      <c r="M851" s="57"/>
      <c r="N851" s="100"/>
      <c r="O851" s="101" t="s">
        <v>74</v>
      </c>
      <c r="P851" s="101"/>
      <c r="Q851" s="101"/>
      <c r="R851" s="101" t="str">
        <f t="shared" si="151"/>
        <v/>
      </c>
      <c r="S851" s="105"/>
      <c r="T851" s="101" t="s">
        <v>74</v>
      </c>
      <c r="U851" s="177"/>
      <c r="V851" s="103"/>
      <c r="W851" s="177" t="str">
        <f t="shared" si="152"/>
        <v/>
      </c>
      <c r="X851" s="103"/>
      <c r="Y851" s="177" t="str">
        <f t="shared" si="153"/>
        <v/>
      </c>
      <c r="Z851" s="106"/>
      <c r="AA851" s="57"/>
    </row>
    <row r="852" spans="1:27" s="55" customFormat="1" ht="21" customHeight="1" thickBot="1" x14ac:dyDescent="0.3">
      <c r="A852" s="86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8"/>
      <c r="N852" s="107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9"/>
    </row>
    <row r="853" spans="1:27" s="55" customFormat="1" ht="21" customHeight="1" thickBot="1" x14ac:dyDescent="0.3"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</row>
    <row r="854" spans="1:27" s="55" customFormat="1" ht="21" customHeight="1" x14ac:dyDescent="0.25">
      <c r="A854" s="297" t="s">
        <v>56</v>
      </c>
      <c r="B854" s="298"/>
      <c r="C854" s="298"/>
      <c r="D854" s="298"/>
      <c r="E854" s="298"/>
      <c r="F854" s="298"/>
      <c r="G854" s="298"/>
      <c r="H854" s="298"/>
      <c r="I854" s="298"/>
      <c r="J854" s="298"/>
      <c r="K854" s="298"/>
      <c r="L854" s="299"/>
      <c r="M854" s="54"/>
      <c r="N854" s="93"/>
      <c r="O854" s="285" t="s">
        <v>58</v>
      </c>
      <c r="P854" s="286"/>
      <c r="Q854" s="286"/>
      <c r="R854" s="287"/>
      <c r="S854" s="94"/>
      <c r="T854" s="285" t="s">
        <v>59</v>
      </c>
      <c r="U854" s="286"/>
      <c r="V854" s="286"/>
      <c r="W854" s="286"/>
      <c r="X854" s="286"/>
      <c r="Y854" s="287"/>
      <c r="Z854" s="95"/>
      <c r="AA854" s="54"/>
    </row>
    <row r="855" spans="1:27" s="55" customFormat="1" ht="21" customHeight="1" x14ac:dyDescent="0.25">
      <c r="A855" s="56"/>
      <c r="B855" s="57"/>
      <c r="C855" s="288" t="s">
        <v>114</v>
      </c>
      <c r="D855" s="288"/>
      <c r="E855" s="288"/>
      <c r="F855" s="288"/>
      <c r="G855" s="58" t="str">
        <f>$J$1</f>
        <v>June</v>
      </c>
      <c r="H855" s="289">
        <f>$K$1</f>
        <v>2019</v>
      </c>
      <c r="I855" s="289"/>
      <c r="J855" s="57"/>
      <c r="K855" s="59"/>
      <c r="L855" s="60"/>
      <c r="M855" s="59"/>
      <c r="N855" s="96"/>
      <c r="O855" s="97" t="s">
        <v>69</v>
      </c>
      <c r="P855" s="97" t="s">
        <v>7</v>
      </c>
      <c r="Q855" s="97" t="s">
        <v>6</v>
      </c>
      <c r="R855" s="97" t="s">
        <v>70</v>
      </c>
      <c r="S855" s="98"/>
      <c r="T855" s="97" t="s">
        <v>69</v>
      </c>
      <c r="U855" s="97" t="s">
        <v>71</v>
      </c>
      <c r="V855" s="97" t="s">
        <v>29</v>
      </c>
      <c r="W855" s="97" t="s">
        <v>28</v>
      </c>
      <c r="X855" s="97" t="s">
        <v>30</v>
      </c>
      <c r="Y855" s="97" t="s">
        <v>75</v>
      </c>
      <c r="Z855" s="99"/>
      <c r="AA855" s="59"/>
    </row>
    <row r="856" spans="1:27" s="55" customFormat="1" ht="21" customHeight="1" x14ac:dyDescent="0.25">
      <c r="A856" s="56"/>
      <c r="B856" s="57"/>
      <c r="C856" s="57"/>
      <c r="D856" s="62"/>
      <c r="E856" s="62"/>
      <c r="F856" s="62"/>
      <c r="G856" s="62"/>
      <c r="H856" s="62"/>
      <c r="I856" s="57"/>
      <c r="J856" s="63" t="s">
        <v>1</v>
      </c>
      <c r="K856" s="64">
        <f>25000+3000</f>
        <v>28000</v>
      </c>
      <c r="L856" s="65"/>
      <c r="M856" s="57"/>
      <c r="N856" s="100"/>
      <c r="O856" s="101" t="s">
        <v>61</v>
      </c>
      <c r="P856" s="101">
        <v>30</v>
      </c>
      <c r="Q856" s="101">
        <v>1</v>
      </c>
      <c r="R856" s="101">
        <f>26-Q856</f>
        <v>25</v>
      </c>
      <c r="S856" s="102"/>
      <c r="T856" s="101" t="s">
        <v>61</v>
      </c>
      <c r="U856" s="103">
        <v>22000</v>
      </c>
      <c r="V856" s="103"/>
      <c r="W856" s="103">
        <f>V856+U856</f>
        <v>22000</v>
      </c>
      <c r="X856" s="103">
        <v>5000</v>
      </c>
      <c r="Y856" s="103">
        <f>W856-X856</f>
        <v>17000</v>
      </c>
      <c r="Z856" s="99"/>
      <c r="AA856" s="57"/>
    </row>
    <row r="857" spans="1:27" s="55" customFormat="1" ht="21" customHeight="1" x14ac:dyDescent="0.25">
      <c r="A857" s="56"/>
      <c r="B857" s="57" t="s">
        <v>0</v>
      </c>
      <c r="C857" s="67" t="s">
        <v>44</v>
      </c>
      <c r="D857" s="57"/>
      <c r="E857" s="57"/>
      <c r="F857" s="57"/>
      <c r="G857" s="57"/>
      <c r="H857" s="68"/>
      <c r="I857" s="62"/>
      <c r="J857" s="57"/>
      <c r="K857" s="57"/>
      <c r="L857" s="69"/>
      <c r="M857" s="54"/>
      <c r="N857" s="104"/>
      <c r="O857" s="101" t="s">
        <v>87</v>
      </c>
      <c r="P857" s="101">
        <v>28</v>
      </c>
      <c r="Q857" s="101">
        <v>0</v>
      </c>
      <c r="R857" s="101">
        <f>IF(Q857="","",R856-Q857)</f>
        <v>25</v>
      </c>
      <c r="S857" s="105"/>
      <c r="T857" s="101" t="s">
        <v>87</v>
      </c>
      <c r="U857" s="177">
        <f>Y856</f>
        <v>17000</v>
      </c>
      <c r="V857" s="103"/>
      <c r="W857" s="177">
        <f>IF(U857="","",U857+V857)</f>
        <v>17000</v>
      </c>
      <c r="X857" s="103"/>
      <c r="Y857" s="177">
        <f>IF(W857="","",W857-X857)</f>
        <v>17000</v>
      </c>
      <c r="Z857" s="106"/>
      <c r="AA857" s="54"/>
    </row>
    <row r="858" spans="1:27" s="55" customFormat="1" ht="21" customHeight="1" x14ac:dyDescent="0.25">
      <c r="A858" s="56"/>
      <c r="B858" s="71" t="s">
        <v>57</v>
      </c>
      <c r="C858" s="72"/>
      <c r="D858" s="57"/>
      <c r="E858" s="57"/>
      <c r="F858" s="290" t="s">
        <v>59</v>
      </c>
      <c r="G858" s="290"/>
      <c r="H858" s="57"/>
      <c r="I858" s="290" t="s">
        <v>60</v>
      </c>
      <c r="J858" s="290"/>
      <c r="K858" s="290"/>
      <c r="L858" s="73"/>
      <c r="M858" s="57"/>
      <c r="N858" s="100"/>
      <c r="O858" s="101" t="s">
        <v>62</v>
      </c>
      <c r="P858" s="101">
        <v>30</v>
      </c>
      <c r="Q858" s="101">
        <v>1</v>
      </c>
      <c r="R858" s="101">
        <f t="shared" ref="R858:R867" si="154">IF(Q858="","",R857-Q858)</f>
        <v>24</v>
      </c>
      <c r="S858" s="105"/>
      <c r="T858" s="101" t="s">
        <v>62</v>
      </c>
      <c r="U858" s="177">
        <f>Y857</f>
        <v>17000</v>
      </c>
      <c r="V858" s="103"/>
      <c r="W858" s="177">
        <f t="shared" ref="W858:W867" si="155">IF(U858="","",U858+V858)</f>
        <v>17000</v>
      </c>
      <c r="X858" s="103">
        <v>3000</v>
      </c>
      <c r="Y858" s="177">
        <f t="shared" ref="Y858:Y867" si="156">IF(W858="","",W858-X858)</f>
        <v>14000</v>
      </c>
      <c r="Z858" s="106"/>
      <c r="AA858" s="57"/>
    </row>
    <row r="859" spans="1:27" s="55" customFormat="1" ht="21" customHeight="1" x14ac:dyDescent="0.25">
      <c r="A859" s="56"/>
      <c r="B859" s="57"/>
      <c r="C859" s="57"/>
      <c r="D859" s="57"/>
      <c r="E859" s="57"/>
      <c r="F859" s="57"/>
      <c r="G859" s="57"/>
      <c r="H859" s="74"/>
      <c r="L859" s="61"/>
      <c r="M859" s="57"/>
      <c r="N859" s="100"/>
      <c r="O859" s="101" t="s">
        <v>63</v>
      </c>
      <c r="P859" s="101">
        <v>30</v>
      </c>
      <c r="Q859" s="101">
        <v>0</v>
      </c>
      <c r="R859" s="101">
        <f t="shared" si="154"/>
        <v>24</v>
      </c>
      <c r="S859" s="105"/>
      <c r="T859" s="101" t="s">
        <v>63</v>
      </c>
      <c r="U859" s="177">
        <f>Y858</f>
        <v>14000</v>
      </c>
      <c r="V859" s="103"/>
      <c r="W859" s="177">
        <f t="shared" si="155"/>
        <v>14000</v>
      </c>
      <c r="X859" s="103">
        <v>3000</v>
      </c>
      <c r="Y859" s="177">
        <f t="shared" si="156"/>
        <v>11000</v>
      </c>
      <c r="Z859" s="106"/>
      <c r="AA859" s="57"/>
    </row>
    <row r="860" spans="1:27" s="55" customFormat="1" ht="21" customHeight="1" x14ac:dyDescent="0.25">
      <c r="A860" s="56"/>
      <c r="B860" s="291" t="s">
        <v>58</v>
      </c>
      <c r="C860" s="292"/>
      <c r="D860" s="57"/>
      <c r="E860" s="57"/>
      <c r="F860" s="75" t="s">
        <v>80</v>
      </c>
      <c r="G860" s="196">
        <f>IF($J$1="January",U856,IF($J$1="February",U857,IF($J$1="March",U858,IF($J$1="April",U859,IF($J$1="May",U860,IF($J$1="June",U861,IF($J$1="July",U862,IF($J$1="August",U863,IF($J$1="August",U863,IF($J$1="September",U864,IF($J$1="October",U865,IF($J$1="November",U866,IF($J$1="December",U867)))))))))))))</f>
        <v>58000</v>
      </c>
      <c r="H860" s="74"/>
      <c r="I860" s="76">
        <f>IF(C864&gt;=C863,$K$2,C862+C864)</f>
        <v>30</v>
      </c>
      <c r="J860" s="77" t="s">
        <v>77</v>
      </c>
      <c r="K860" s="78">
        <f>K856/$K$2*I860</f>
        <v>28000</v>
      </c>
      <c r="L860" s="79"/>
      <c r="M860" s="57"/>
      <c r="N860" s="100"/>
      <c r="O860" s="101" t="s">
        <v>64</v>
      </c>
      <c r="P860" s="101">
        <v>30</v>
      </c>
      <c r="Q860" s="101">
        <v>1</v>
      </c>
      <c r="R860" s="101">
        <f t="shared" si="154"/>
        <v>23</v>
      </c>
      <c r="S860" s="105"/>
      <c r="T860" s="101" t="s">
        <v>64</v>
      </c>
      <c r="U860" s="177">
        <f>Y859</f>
        <v>11000</v>
      </c>
      <c r="V860" s="103">
        <v>50000</v>
      </c>
      <c r="W860" s="177">
        <f t="shared" si="155"/>
        <v>61000</v>
      </c>
      <c r="X860" s="103">
        <v>3000</v>
      </c>
      <c r="Y860" s="177">
        <f t="shared" si="156"/>
        <v>58000</v>
      </c>
      <c r="Z860" s="106"/>
      <c r="AA860" s="57"/>
    </row>
    <row r="861" spans="1:27" s="55" customFormat="1" ht="21" customHeight="1" x14ac:dyDescent="0.25">
      <c r="A861" s="56"/>
      <c r="B861" s="66"/>
      <c r="C861" s="66"/>
      <c r="D861" s="57"/>
      <c r="E861" s="57"/>
      <c r="F861" s="75" t="s">
        <v>29</v>
      </c>
      <c r="G861" s="196">
        <f>IF($J$1="January",V856,IF($J$1="February",V857,IF($J$1="March",V858,IF($J$1="April",V859,IF($J$1="May",V860,IF($J$1="June",V861,IF($J$1="July",V862,IF($J$1="August",V863,IF($J$1="August",V863,IF($J$1="September",V864,IF($J$1="October",V865,IF($J$1="November",V866,IF($J$1="December",V867)))))))))))))</f>
        <v>226</v>
      </c>
      <c r="H861" s="74"/>
      <c r="I861" s="120">
        <v>47.14</v>
      </c>
      <c r="J861" s="77" t="s">
        <v>78</v>
      </c>
      <c r="K861" s="80">
        <f>K856/$K$2/8*I861</f>
        <v>5499.666666666667</v>
      </c>
      <c r="L861" s="81"/>
      <c r="M861" s="57"/>
      <c r="N861" s="100"/>
      <c r="O861" s="101" t="s">
        <v>65</v>
      </c>
      <c r="P861" s="101">
        <v>30</v>
      </c>
      <c r="Q861" s="101">
        <v>0</v>
      </c>
      <c r="R861" s="101">
        <f t="shared" si="154"/>
        <v>23</v>
      </c>
      <c r="S861" s="105"/>
      <c r="T861" s="101" t="s">
        <v>65</v>
      </c>
      <c r="U861" s="177">
        <f>Y860</f>
        <v>58000</v>
      </c>
      <c r="V861" s="103">
        <f>28500-28274</f>
        <v>226</v>
      </c>
      <c r="W861" s="177">
        <f t="shared" si="155"/>
        <v>58226</v>
      </c>
      <c r="X861" s="103">
        <v>3000</v>
      </c>
      <c r="Y861" s="177">
        <f t="shared" si="156"/>
        <v>55226</v>
      </c>
      <c r="Z861" s="106"/>
      <c r="AA861" s="57"/>
    </row>
    <row r="862" spans="1:27" s="55" customFormat="1" ht="21" customHeight="1" x14ac:dyDescent="0.25">
      <c r="A862" s="56"/>
      <c r="B862" s="75" t="s">
        <v>7</v>
      </c>
      <c r="C862" s="66">
        <f>IF($J$1="January",P856,IF($J$1="February",P857,IF($J$1="March",P858,IF($J$1="April",P859,IF($J$1="May",P860,IF($J$1="June",P861,IF($J$1="July",P862,IF($J$1="August",P863,IF($J$1="August",P863,IF($J$1="September",P864,IF($J$1="October",P865,IF($J$1="November",P866,IF($J$1="December",P867)))))))))))))</f>
        <v>30</v>
      </c>
      <c r="D862" s="57"/>
      <c r="E862" s="57"/>
      <c r="F862" s="75" t="s">
        <v>81</v>
      </c>
      <c r="G862" s="196">
        <f>IF($J$1="January",W856,IF($J$1="February",W857,IF($J$1="March",W858,IF($J$1="April",W859,IF($J$1="May",W860,IF($J$1="June",W861,IF($J$1="July",W862,IF($J$1="August",W863,IF($J$1="August",W863,IF($J$1="September",W864,IF($J$1="October",W865,IF($J$1="November",W866,IF($J$1="December",W867)))))))))))))</f>
        <v>58226</v>
      </c>
      <c r="H862" s="74"/>
      <c r="I862" s="293" t="s">
        <v>85</v>
      </c>
      <c r="J862" s="294"/>
      <c r="K862" s="80">
        <f>K860+K861</f>
        <v>33499.666666666664</v>
      </c>
      <c r="L862" s="81"/>
      <c r="M862" s="57"/>
      <c r="N862" s="100"/>
      <c r="O862" s="101" t="s">
        <v>66</v>
      </c>
      <c r="P862" s="101"/>
      <c r="Q862" s="101"/>
      <c r="R862" s="101" t="str">
        <f t="shared" si="154"/>
        <v/>
      </c>
      <c r="S862" s="105"/>
      <c r="T862" s="101" t="s">
        <v>66</v>
      </c>
      <c r="U862" s="177"/>
      <c r="V862" s="103"/>
      <c r="W862" s="177" t="str">
        <f t="shared" si="155"/>
        <v/>
      </c>
      <c r="X862" s="103"/>
      <c r="Y862" s="177" t="str">
        <f t="shared" si="156"/>
        <v/>
      </c>
      <c r="Z862" s="106"/>
      <c r="AA862" s="57"/>
    </row>
    <row r="863" spans="1:27" s="55" customFormat="1" ht="21" customHeight="1" x14ac:dyDescent="0.25">
      <c r="A863" s="56"/>
      <c r="B863" s="75" t="s">
        <v>6</v>
      </c>
      <c r="C863" s="66">
        <f>IF($J$1="January",Q856,IF($J$1="February",Q857,IF($J$1="March",Q858,IF($J$1="April",Q859,IF($J$1="May",Q860,IF($J$1="June",Q861,IF($J$1="July",Q862,IF($J$1="August",Q863,IF($J$1="August",Q863,IF($J$1="September",Q864,IF($J$1="October",Q865,IF($J$1="November",Q866,IF($J$1="December",Q867)))))))))))))</f>
        <v>0</v>
      </c>
      <c r="D863" s="57"/>
      <c r="E863" s="57"/>
      <c r="F863" s="75" t="s">
        <v>30</v>
      </c>
      <c r="G863" s="196">
        <f>IF($J$1="January",X856,IF($J$1="February",X857,IF($J$1="March",X858,IF($J$1="April",X859,IF($J$1="May",X860,IF($J$1="June",X861,IF($J$1="July",X862,IF($J$1="August",X863,IF($J$1="August",X863,IF($J$1="September",X864,IF($J$1="October",X865,IF($J$1="November",X866,IF($J$1="December",X867)))))))))))))</f>
        <v>3000</v>
      </c>
      <c r="H863" s="74"/>
      <c r="I863" s="293" t="s">
        <v>86</v>
      </c>
      <c r="J863" s="294"/>
      <c r="K863" s="70">
        <f>G863</f>
        <v>3000</v>
      </c>
      <c r="L863" s="82"/>
      <c r="M863" s="57"/>
      <c r="N863" s="100"/>
      <c r="O863" s="101" t="s">
        <v>67</v>
      </c>
      <c r="P863" s="101"/>
      <c r="Q863" s="101"/>
      <c r="R863" s="101" t="str">
        <f t="shared" si="154"/>
        <v/>
      </c>
      <c r="S863" s="105"/>
      <c r="T863" s="101" t="s">
        <v>67</v>
      </c>
      <c r="U863" s="177"/>
      <c r="V863" s="103"/>
      <c r="W863" s="177" t="str">
        <f t="shared" si="155"/>
        <v/>
      </c>
      <c r="X863" s="103"/>
      <c r="Y863" s="177" t="str">
        <f t="shared" si="156"/>
        <v/>
      </c>
      <c r="Z863" s="106"/>
      <c r="AA863" s="57"/>
    </row>
    <row r="864" spans="1:27" s="55" customFormat="1" ht="21" customHeight="1" x14ac:dyDescent="0.25">
      <c r="A864" s="56"/>
      <c r="B864" s="83" t="s">
        <v>84</v>
      </c>
      <c r="C864" s="66">
        <f>IF($J$1="January",R856,IF($J$1="February",R857,IF($J$1="March",R858,IF($J$1="April",R859,IF($J$1="May",R860,IF($J$1="June",R861,IF($J$1="July",R862,IF($J$1="August",R863,IF($J$1="August",R863,IF($J$1="September",R864,IF($J$1="October",R865,IF($J$1="November",R866,IF($J$1="December",R867)))))))))))))</f>
        <v>23</v>
      </c>
      <c r="D864" s="57"/>
      <c r="E864" s="57"/>
      <c r="F864" s="75" t="s">
        <v>83</v>
      </c>
      <c r="G864" s="196">
        <f>IF($J$1="January",Y856,IF($J$1="February",Y857,IF($J$1="March",Y858,IF($J$1="April",Y859,IF($J$1="May",Y860,IF($J$1="June",Y861,IF($J$1="July",Y862,IF($J$1="August",Y863,IF($J$1="August",Y863,IF($J$1="September",Y864,IF($J$1="October",Y865,IF($J$1="November",Y866,IF($J$1="December",Y867)))))))))))))</f>
        <v>55226</v>
      </c>
      <c r="H864" s="57"/>
      <c r="I864" s="295" t="s">
        <v>79</v>
      </c>
      <c r="J864" s="296"/>
      <c r="K864" s="84">
        <f>K862-K863</f>
        <v>30499.666666666664</v>
      </c>
      <c r="L864" s="85"/>
      <c r="M864" s="57"/>
      <c r="N864" s="100"/>
      <c r="O864" s="101" t="s">
        <v>72</v>
      </c>
      <c r="P864" s="101"/>
      <c r="Q864" s="101"/>
      <c r="R864" s="101" t="str">
        <f t="shared" si="154"/>
        <v/>
      </c>
      <c r="S864" s="105"/>
      <c r="T864" s="101" t="s">
        <v>72</v>
      </c>
      <c r="U864" s="177"/>
      <c r="V864" s="103"/>
      <c r="W864" s="177" t="str">
        <f t="shared" si="155"/>
        <v/>
      </c>
      <c r="X864" s="103"/>
      <c r="Y864" s="177" t="str">
        <f t="shared" si="156"/>
        <v/>
      </c>
      <c r="Z864" s="106"/>
      <c r="AA864" s="57"/>
    </row>
    <row r="865" spans="1:27" s="55" customFormat="1" ht="21" customHeight="1" x14ac:dyDescent="0.25">
      <c r="A865" s="56"/>
      <c r="B865" s="57"/>
      <c r="C865" s="57"/>
      <c r="D865" s="57"/>
      <c r="E865" s="57"/>
      <c r="F865" s="57"/>
      <c r="G865" s="57"/>
      <c r="H865" s="57"/>
      <c r="I865" s="198"/>
      <c r="J865" s="57"/>
      <c r="K865" s="57"/>
      <c r="L865" s="73"/>
      <c r="M865" s="57"/>
      <c r="N865" s="100"/>
      <c r="O865" s="101" t="s">
        <v>68</v>
      </c>
      <c r="P865" s="101"/>
      <c r="Q865" s="101"/>
      <c r="R865" s="101" t="str">
        <f t="shared" si="154"/>
        <v/>
      </c>
      <c r="S865" s="105"/>
      <c r="T865" s="101" t="s">
        <v>68</v>
      </c>
      <c r="U865" s="177"/>
      <c r="V865" s="103"/>
      <c r="W865" s="177" t="str">
        <f t="shared" si="155"/>
        <v/>
      </c>
      <c r="X865" s="103"/>
      <c r="Y865" s="177" t="str">
        <f t="shared" si="156"/>
        <v/>
      </c>
      <c r="Z865" s="106"/>
      <c r="AA865" s="57"/>
    </row>
    <row r="866" spans="1:27" s="55" customFormat="1" ht="21" customHeight="1" x14ac:dyDescent="0.25">
      <c r="A866" s="56"/>
      <c r="B866" s="284"/>
      <c r="C866" s="284"/>
      <c r="D866" s="284"/>
      <c r="E866" s="284"/>
      <c r="F866" s="284"/>
      <c r="G866" s="284"/>
      <c r="H866" s="284"/>
      <c r="I866" s="284"/>
      <c r="J866" s="284"/>
      <c r="K866" s="284"/>
      <c r="L866" s="73"/>
      <c r="M866" s="57"/>
      <c r="N866" s="100"/>
      <c r="O866" s="101" t="s">
        <v>73</v>
      </c>
      <c r="P866" s="101"/>
      <c r="Q866" s="101"/>
      <c r="R866" s="101" t="str">
        <f t="shared" si="154"/>
        <v/>
      </c>
      <c r="S866" s="105"/>
      <c r="T866" s="101" t="s">
        <v>73</v>
      </c>
      <c r="U866" s="177"/>
      <c r="V866" s="103"/>
      <c r="W866" s="177" t="str">
        <f t="shared" si="155"/>
        <v/>
      </c>
      <c r="X866" s="103"/>
      <c r="Y866" s="177" t="str">
        <f t="shared" si="156"/>
        <v/>
      </c>
      <c r="Z866" s="106"/>
      <c r="AA866" s="57"/>
    </row>
    <row r="867" spans="1:27" s="55" customFormat="1" ht="21" customHeight="1" x14ac:dyDescent="0.25">
      <c r="A867" s="56"/>
      <c r="B867" s="284"/>
      <c r="C867" s="284"/>
      <c r="D867" s="284"/>
      <c r="E867" s="284"/>
      <c r="F867" s="284"/>
      <c r="G867" s="284"/>
      <c r="H867" s="284"/>
      <c r="I867" s="284"/>
      <c r="J867" s="284"/>
      <c r="K867" s="284"/>
      <c r="L867" s="73"/>
      <c r="M867" s="57"/>
      <c r="N867" s="100"/>
      <c r="O867" s="101" t="s">
        <v>74</v>
      </c>
      <c r="P867" s="101"/>
      <c r="Q867" s="101"/>
      <c r="R867" s="101" t="str">
        <f t="shared" si="154"/>
        <v/>
      </c>
      <c r="S867" s="105"/>
      <c r="T867" s="101" t="s">
        <v>74</v>
      </c>
      <c r="U867" s="177"/>
      <c r="V867" s="103"/>
      <c r="W867" s="177" t="str">
        <f t="shared" si="155"/>
        <v/>
      </c>
      <c r="X867" s="103"/>
      <c r="Y867" s="177" t="str">
        <f t="shared" si="156"/>
        <v/>
      </c>
      <c r="Z867" s="106"/>
      <c r="AA867" s="57"/>
    </row>
    <row r="868" spans="1:27" s="55" customFormat="1" ht="21" customHeight="1" thickBot="1" x14ac:dyDescent="0.3">
      <c r="A868" s="86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8"/>
      <c r="N868" s="107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9"/>
    </row>
    <row r="869" spans="1:27" s="55" customFormat="1" ht="21" customHeight="1" thickBot="1" x14ac:dyDescent="0.3"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</row>
    <row r="870" spans="1:27" s="55" customFormat="1" ht="21" customHeight="1" x14ac:dyDescent="0.25">
      <c r="A870" s="297" t="s">
        <v>56</v>
      </c>
      <c r="B870" s="298"/>
      <c r="C870" s="298"/>
      <c r="D870" s="298"/>
      <c r="E870" s="298"/>
      <c r="F870" s="298"/>
      <c r="G870" s="298"/>
      <c r="H870" s="298"/>
      <c r="I870" s="298"/>
      <c r="J870" s="298"/>
      <c r="K870" s="298"/>
      <c r="L870" s="299"/>
      <c r="M870" s="54"/>
      <c r="N870" s="93"/>
      <c r="O870" s="285" t="s">
        <v>58</v>
      </c>
      <c r="P870" s="286"/>
      <c r="Q870" s="286"/>
      <c r="R870" s="287"/>
      <c r="S870" s="94"/>
      <c r="T870" s="285" t="s">
        <v>59</v>
      </c>
      <c r="U870" s="286"/>
      <c r="V870" s="286"/>
      <c r="W870" s="286"/>
      <c r="X870" s="286"/>
      <c r="Y870" s="287"/>
      <c r="Z870" s="95"/>
      <c r="AA870" s="54"/>
    </row>
    <row r="871" spans="1:27" s="55" customFormat="1" ht="21" customHeight="1" x14ac:dyDescent="0.25">
      <c r="A871" s="56"/>
      <c r="B871" s="57"/>
      <c r="C871" s="288" t="s">
        <v>114</v>
      </c>
      <c r="D871" s="288"/>
      <c r="E871" s="288"/>
      <c r="F871" s="288"/>
      <c r="G871" s="58" t="str">
        <f>$J$1</f>
        <v>June</v>
      </c>
      <c r="H871" s="289">
        <f>$K$1</f>
        <v>2019</v>
      </c>
      <c r="I871" s="289"/>
      <c r="J871" s="57"/>
      <c r="K871" s="59"/>
      <c r="L871" s="60"/>
      <c r="M871" s="59"/>
      <c r="N871" s="96"/>
      <c r="O871" s="97" t="s">
        <v>69</v>
      </c>
      <c r="P871" s="97" t="s">
        <v>7</v>
      </c>
      <c r="Q871" s="97" t="s">
        <v>6</v>
      </c>
      <c r="R871" s="97" t="s">
        <v>70</v>
      </c>
      <c r="S871" s="98"/>
      <c r="T871" s="97" t="s">
        <v>69</v>
      </c>
      <c r="U871" s="97" t="s">
        <v>71</v>
      </c>
      <c r="V871" s="97" t="s">
        <v>29</v>
      </c>
      <c r="W871" s="97" t="s">
        <v>28</v>
      </c>
      <c r="X871" s="97" t="s">
        <v>30</v>
      </c>
      <c r="Y871" s="97" t="s">
        <v>75</v>
      </c>
      <c r="Z871" s="99"/>
      <c r="AA871" s="59"/>
    </row>
    <row r="872" spans="1:27" s="55" customFormat="1" ht="21" customHeight="1" x14ac:dyDescent="0.25">
      <c r="A872" s="56"/>
      <c r="B872" s="57"/>
      <c r="C872" s="57"/>
      <c r="D872" s="62"/>
      <c r="E872" s="62"/>
      <c r="F872" s="62"/>
      <c r="G872" s="62"/>
      <c r="H872" s="62"/>
      <c r="I872" s="57"/>
      <c r="J872" s="63" t="s">
        <v>1</v>
      </c>
      <c r="K872" s="64">
        <v>17000</v>
      </c>
      <c r="L872" s="65"/>
      <c r="M872" s="57"/>
      <c r="N872" s="100"/>
      <c r="O872" s="101" t="s">
        <v>61</v>
      </c>
      <c r="P872" s="101">
        <v>31</v>
      </c>
      <c r="Q872" s="101">
        <v>0</v>
      </c>
      <c r="R872" s="101">
        <v>0</v>
      </c>
      <c r="S872" s="102"/>
      <c r="T872" s="101" t="s">
        <v>61</v>
      </c>
      <c r="U872" s="103"/>
      <c r="V872" s="103"/>
      <c r="W872" s="103">
        <f>V872+U872</f>
        <v>0</v>
      </c>
      <c r="X872" s="103"/>
      <c r="Y872" s="103">
        <f>W872-X872</f>
        <v>0</v>
      </c>
      <c r="Z872" s="99"/>
      <c r="AA872" s="57"/>
    </row>
    <row r="873" spans="1:27" s="55" customFormat="1" ht="21" customHeight="1" x14ac:dyDescent="0.25">
      <c r="A873" s="56"/>
      <c r="B873" s="57" t="s">
        <v>0</v>
      </c>
      <c r="C873" s="67" t="s">
        <v>119</v>
      </c>
      <c r="D873" s="57"/>
      <c r="E873" s="57"/>
      <c r="F873" s="57"/>
      <c r="G873" s="57"/>
      <c r="H873" s="68"/>
      <c r="I873" s="62"/>
      <c r="J873" s="57"/>
      <c r="K873" s="57"/>
      <c r="L873" s="69"/>
      <c r="M873" s="54"/>
      <c r="N873" s="104"/>
      <c r="O873" s="101" t="s">
        <v>87</v>
      </c>
      <c r="P873" s="101">
        <v>28</v>
      </c>
      <c r="Q873" s="101">
        <v>0</v>
      </c>
      <c r="R873" s="101">
        <v>0</v>
      </c>
      <c r="S873" s="105"/>
      <c r="T873" s="101" t="s">
        <v>87</v>
      </c>
      <c r="U873" s="177">
        <f>Y872</f>
        <v>0</v>
      </c>
      <c r="V873" s="103"/>
      <c r="W873" s="177">
        <f>IF(U873="","",U873+V873)</f>
        <v>0</v>
      </c>
      <c r="X873" s="103"/>
      <c r="Y873" s="177">
        <f>IF(W873="","",W873-X873)</f>
        <v>0</v>
      </c>
      <c r="Z873" s="106"/>
      <c r="AA873" s="54"/>
    </row>
    <row r="874" spans="1:27" s="55" customFormat="1" ht="21" customHeight="1" x14ac:dyDescent="0.25">
      <c r="A874" s="56"/>
      <c r="B874" s="71" t="s">
        <v>57</v>
      </c>
      <c r="C874" s="72"/>
      <c r="D874" s="57"/>
      <c r="E874" s="57"/>
      <c r="F874" s="290" t="s">
        <v>59</v>
      </c>
      <c r="G874" s="290"/>
      <c r="H874" s="57"/>
      <c r="I874" s="290" t="s">
        <v>60</v>
      </c>
      <c r="J874" s="290"/>
      <c r="K874" s="290"/>
      <c r="L874" s="73"/>
      <c r="M874" s="57"/>
      <c r="N874" s="100"/>
      <c r="O874" s="101" t="s">
        <v>62</v>
      </c>
      <c r="P874" s="101">
        <v>31</v>
      </c>
      <c r="Q874" s="101">
        <v>0</v>
      </c>
      <c r="R874" s="101">
        <f t="shared" ref="R874:R883" si="157">IF(Q874="","",R873-Q874)</f>
        <v>0</v>
      </c>
      <c r="S874" s="105"/>
      <c r="T874" s="101" t="s">
        <v>62</v>
      </c>
      <c r="U874" s="177">
        <f>IF($J$1="April",Y873,Y873)</f>
        <v>0</v>
      </c>
      <c r="V874" s="103"/>
      <c r="W874" s="177">
        <f t="shared" ref="W874:W883" si="158">IF(U874="","",U874+V874)</f>
        <v>0</v>
      </c>
      <c r="X874" s="103"/>
      <c r="Y874" s="177">
        <f t="shared" ref="Y874:Y883" si="159">IF(W874="","",W874-X874)</f>
        <v>0</v>
      </c>
      <c r="Z874" s="106"/>
      <c r="AA874" s="57"/>
    </row>
    <row r="875" spans="1:27" s="55" customFormat="1" ht="21" customHeight="1" x14ac:dyDescent="0.25">
      <c r="A875" s="56"/>
      <c r="B875" s="57"/>
      <c r="C875" s="57"/>
      <c r="D875" s="57"/>
      <c r="E875" s="57"/>
      <c r="F875" s="57"/>
      <c r="G875" s="57"/>
      <c r="H875" s="74"/>
      <c r="L875" s="61"/>
      <c r="M875" s="57"/>
      <c r="N875" s="100"/>
      <c r="O875" s="101" t="s">
        <v>63</v>
      </c>
      <c r="P875" s="101">
        <v>30</v>
      </c>
      <c r="Q875" s="101">
        <v>0</v>
      </c>
      <c r="R875" s="101">
        <f t="shared" si="157"/>
        <v>0</v>
      </c>
      <c r="S875" s="105"/>
      <c r="T875" s="101" t="s">
        <v>63</v>
      </c>
      <c r="U875" s="177">
        <f>IF($J$1="April",Y874,Y874)</f>
        <v>0</v>
      </c>
      <c r="V875" s="103"/>
      <c r="W875" s="177">
        <f t="shared" si="158"/>
        <v>0</v>
      </c>
      <c r="X875" s="103"/>
      <c r="Y875" s="177">
        <f t="shared" si="159"/>
        <v>0</v>
      </c>
      <c r="Z875" s="106"/>
      <c r="AA875" s="57"/>
    </row>
    <row r="876" spans="1:27" s="55" customFormat="1" ht="21" customHeight="1" x14ac:dyDescent="0.25">
      <c r="A876" s="56"/>
      <c r="B876" s="291" t="s">
        <v>58</v>
      </c>
      <c r="C876" s="292"/>
      <c r="D876" s="57"/>
      <c r="E876" s="57"/>
      <c r="F876" s="75" t="s">
        <v>80</v>
      </c>
      <c r="G876" s="70">
        <f>IF($J$1="January",U872,IF($J$1="February",U873,IF($J$1="March",U874,IF($J$1="April",U875,IF($J$1="May",U876,IF($J$1="June",U877,IF($J$1="July",U878,IF($J$1="August",U879,IF($J$1="August",U879,IF($J$1="September",U880,IF($J$1="October",U881,IF($J$1="November",U882,IF($J$1="December",U883)))))))))))))</f>
        <v>0</v>
      </c>
      <c r="H876" s="74"/>
      <c r="I876" s="76">
        <f>IF(C880&gt;0,$K$2,C878)</f>
        <v>30</v>
      </c>
      <c r="J876" s="77" t="s">
        <v>77</v>
      </c>
      <c r="K876" s="78">
        <f>K872/$K$2*I876</f>
        <v>17000</v>
      </c>
      <c r="L876" s="79"/>
      <c r="M876" s="57"/>
      <c r="N876" s="100"/>
      <c r="O876" s="101" t="s">
        <v>64</v>
      </c>
      <c r="P876" s="101">
        <v>31</v>
      </c>
      <c r="Q876" s="101">
        <v>0</v>
      </c>
      <c r="R876" s="101">
        <f t="shared" si="157"/>
        <v>0</v>
      </c>
      <c r="S876" s="105"/>
      <c r="T876" s="101" t="s">
        <v>64</v>
      </c>
      <c r="U876" s="177">
        <f>IF($J$1="May",Y875,Y875)</f>
        <v>0</v>
      </c>
      <c r="V876" s="103"/>
      <c r="W876" s="177">
        <f t="shared" si="158"/>
        <v>0</v>
      </c>
      <c r="X876" s="103"/>
      <c r="Y876" s="177">
        <f t="shared" si="159"/>
        <v>0</v>
      </c>
      <c r="Z876" s="106"/>
      <c r="AA876" s="57"/>
    </row>
    <row r="877" spans="1:27" s="55" customFormat="1" ht="21" customHeight="1" x14ac:dyDescent="0.25">
      <c r="A877" s="56"/>
      <c r="B877" s="66"/>
      <c r="C877" s="66"/>
      <c r="D877" s="57"/>
      <c r="E877" s="57"/>
      <c r="F877" s="75" t="s">
        <v>29</v>
      </c>
      <c r="G877" s="70">
        <f>IF($J$1="January",V872,IF($J$1="February",V873,IF($J$1="March",V874,IF($J$1="April",V875,IF($J$1="May",V876,IF($J$1="June",V877,IF($J$1="July",V878,IF($J$1="August",V879,IF($J$1="August",V879,IF($J$1="September",V880,IF($J$1="October",V881,IF($J$1="November",V882,IF($J$1="December",V883)))))))))))))</f>
        <v>0</v>
      </c>
      <c r="H877" s="74"/>
      <c r="I877" s="120">
        <v>134.12</v>
      </c>
      <c r="J877" s="77" t="s">
        <v>78</v>
      </c>
      <c r="K877" s="80">
        <f>K872/$K$2/8*I877</f>
        <v>9500.1666666666661</v>
      </c>
      <c r="L877" s="81"/>
      <c r="M877" s="57"/>
      <c r="N877" s="100"/>
      <c r="O877" s="101" t="s">
        <v>65</v>
      </c>
      <c r="P877" s="101">
        <v>30</v>
      </c>
      <c r="Q877" s="101">
        <v>0</v>
      </c>
      <c r="R877" s="101">
        <f t="shared" si="157"/>
        <v>0</v>
      </c>
      <c r="S877" s="105"/>
      <c r="T877" s="101" t="s">
        <v>65</v>
      </c>
      <c r="U877" s="177">
        <f>IF($J$1="May",Y876,Y876)</f>
        <v>0</v>
      </c>
      <c r="V877" s="103"/>
      <c r="W877" s="177">
        <f t="shared" si="158"/>
        <v>0</v>
      </c>
      <c r="X877" s="103"/>
      <c r="Y877" s="177">
        <f t="shared" si="159"/>
        <v>0</v>
      </c>
      <c r="Z877" s="106"/>
      <c r="AA877" s="57"/>
    </row>
    <row r="878" spans="1:27" s="55" customFormat="1" ht="21" customHeight="1" x14ac:dyDescent="0.25">
      <c r="A878" s="56"/>
      <c r="B878" s="75" t="s">
        <v>7</v>
      </c>
      <c r="C878" s="66">
        <f>IF($J$1="January",P872,IF($J$1="February",P873,IF($J$1="March",P874,IF($J$1="April",P875,IF($J$1="May",P876,IF($J$1="June",P877,IF($J$1="July",P878,IF($J$1="August",P879,IF($J$1="August",P879,IF($J$1="September",P880,IF($J$1="October",P881,IF($J$1="November",P882,IF($J$1="December",P883)))))))))))))</f>
        <v>30</v>
      </c>
      <c r="D878" s="57"/>
      <c r="E878" s="57"/>
      <c r="F878" s="75" t="s">
        <v>81</v>
      </c>
      <c r="G878" s="70">
        <f>IF($J$1="January",W872,IF($J$1="February",W873,IF($J$1="March",W874,IF($J$1="April",W875,IF($J$1="May",W876,IF($J$1="June",W877,IF($J$1="July",W878,IF($J$1="August",W879,IF($J$1="August",W879,IF($J$1="September",W880,IF($J$1="October",W881,IF($J$1="November",W882,IF($J$1="December",W883)))))))))))))</f>
        <v>0</v>
      </c>
      <c r="H878" s="74"/>
      <c r="I878" s="293" t="s">
        <v>85</v>
      </c>
      <c r="J878" s="294"/>
      <c r="K878" s="80">
        <f>K876+K877</f>
        <v>26500.166666666664</v>
      </c>
      <c r="L878" s="81"/>
      <c r="M878" s="57"/>
      <c r="N878" s="100"/>
      <c r="O878" s="101" t="s">
        <v>66</v>
      </c>
      <c r="P878" s="101"/>
      <c r="Q878" s="101"/>
      <c r="R878" s="101" t="str">
        <f t="shared" si="157"/>
        <v/>
      </c>
      <c r="S878" s="105"/>
      <c r="T878" s="101" t="s">
        <v>66</v>
      </c>
      <c r="U878" s="177" t="str">
        <f>IF($J$1="July",Y877,"")</f>
        <v/>
      </c>
      <c r="V878" s="103"/>
      <c r="W878" s="177" t="str">
        <f t="shared" si="158"/>
        <v/>
      </c>
      <c r="X878" s="103"/>
      <c r="Y878" s="177" t="str">
        <f t="shared" si="159"/>
        <v/>
      </c>
      <c r="Z878" s="106"/>
      <c r="AA878" s="57"/>
    </row>
    <row r="879" spans="1:27" s="55" customFormat="1" ht="21" customHeight="1" x14ac:dyDescent="0.25">
      <c r="A879" s="56"/>
      <c r="B879" s="75" t="s">
        <v>6</v>
      </c>
      <c r="C879" s="66">
        <f>IF($J$1="January",Q872,IF($J$1="February",Q873,IF($J$1="March",Q874,IF($J$1="April",Q875,IF($J$1="May",Q876,IF($J$1="June",Q877,IF($J$1="July",Q878,IF($J$1="August",Q879,IF($J$1="August",Q879,IF($J$1="September",Q880,IF($J$1="October",Q881,IF($J$1="November",Q882,IF($J$1="December",Q883)))))))))))))</f>
        <v>0</v>
      </c>
      <c r="D879" s="57"/>
      <c r="E879" s="57"/>
      <c r="F879" s="75" t="s">
        <v>30</v>
      </c>
      <c r="G879" s="70">
        <f>IF($J$1="January",X872,IF($J$1="February",X873,IF($J$1="March",X874,IF($J$1="April",X875,IF($J$1="May",X876,IF($J$1="June",X877,IF($J$1="July",X878,IF($J$1="August",X879,IF($J$1="August",X879,IF($J$1="September",X880,IF($J$1="October",X881,IF($J$1="November",X882,IF($J$1="December",X883)))))))))))))</f>
        <v>0</v>
      </c>
      <c r="H879" s="74"/>
      <c r="I879" s="293" t="s">
        <v>86</v>
      </c>
      <c r="J879" s="294"/>
      <c r="K879" s="70">
        <f>G879</f>
        <v>0</v>
      </c>
      <c r="L879" s="82"/>
      <c r="M879" s="57"/>
      <c r="N879" s="100"/>
      <c r="O879" s="101" t="s">
        <v>67</v>
      </c>
      <c r="P879" s="101"/>
      <c r="Q879" s="101"/>
      <c r="R879" s="101" t="str">
        <f t="shared" si="157"/>
        <v/>
      </c>
      <c r="S879" s="105"/>
      <c r="T879" s="101" t="s">
        <v>67</v>
      </c>
      <c r="U879" s="177" t="str">
        <f>IF($J$1="September",Y878,"")</f>
        <v/>
      </c>
      <c r="V879" s="103"/>
      <c r="W879" s="177" t="str">
        <f t="shared" si="158"/>
        <v/>
      </c>
      <c r="X879" s="103"/>
      <c r="Y879" s="177" t="str">
        <f t="shared" si="159"/>
        <v/>
      </c>
      <c r="Z879" s="106"/>
      <c r="AA879" s="57"/>
    </row>
    <row r="880" spans="1:27" s="55" customFormat="1" ht="21" customHeight="1" x14ac:dyDescent="0.25">
      <c r="A880" s="56"/>
      <c r="B880" s="83" t="s">
        <v>84</v>
      </c>
      <c r="C880" s="66">
        <f>IF($J$1="January",R872,IF($J$1="February",R873,IF($J$1="March",R874,IF($J$1="April",R875,IF($J$1="May",R876,IF($J$1="June",R877,IF($J$1="July",R878,IF($J$1="August",R879,IF($J$1="August",R879,IF($J$1="September",R880,IF($J$1="October",R881,IF($J$1="November",R882,IF($J$1="December",R883)))))))))))))</f>
        <v>0</v>
      </c>
      <c r="D880" s="57"/>
      <c r="E880" s="57"/>
      <c r="F880" s="75" t="s">
        <v>83</v>
      </c>
      <c r="G880" s="70">
        <f>IF($J$1="January",Y872,IF($J$1="February",Y873,IF($J$1="March",Y874,IF($J$1="April",Y875,IF($J$1="May",Y876,IF($J$1="June",Y877,IF($J$1="July",Y878,IF($J$1="August",Y879,IF($J$1="August",Y879,IF($J$1="September",Y880,IF($J$1="October",Y881,IF($J$1="November",Y882,IF($J$1="December",Y883)))))))))))))</f>
        <v>0</v>
      </c>
      <c r="H880" s="57"/>
      <c r="I880" s="295" t="s">
        <v>79</v>
      </c>
      <c r="J880" s="296"/>
      <c r="K880" s="84">
        <f>K878-K879</f>
        <v>26500.166666666664</v>
      </c>
      <c r="L880" s="85"/>
      <c r="M880" s="57"/>
      <c r="N880" s="100"/>
      <c r="O880" s="101" t="s">
        <v>72</v>
      </c>
      <c r="P880" s="101"/>
      <c r="Q880" s="101"/>
      <c r="R880" s="101" t="str">
        <f t="shared" si="157"/>
        <v/>
      </c>
      <c r="S880" s="105"/>
      <c r="T880" s="101" t="s">
        <v>72</v>
      </c>
      <c r="U880" s="177" t="str">
        <f>IF($J$1="September",Y879,"")</f>
        <v/>
      </c>
      <c r="V880" s="103"/>
      <c r="W880" s="177" t="str">
        <f t="shared" si="158"/>
        <v/>
      </c>
      <c r="X880" s="103"/>
      <c r="Y880" s="177" t="str">
        <f t="shared" si="159"/>
        <v/>
      </c>
      <c r="Z880" s="106"/>
      <c r="AA880" s="57"/>
    </row>
    <row r="881" spans="1:27" s="55" customFormat="1" ht="21" customHeight="1" x14ac:dyDescent="0.25">
      <c r="A881" s="56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73"/>
      <c r="M881" s="57"/>
      <c r="N881" s="100"/>
      <c r="O881" s="101" t="s">
        <v>68</v>
      </c>
      <c r="P881" s="101"/>
      <c r="Q881" s="101"/>
      <c r="R881" s="101" t="str">
        <f t="shared" si="157"/>
        <v/>
      </c>
      <c r="S881" s="105"/>
      <c r="T881" s="101" t="s">
        <v>68</v>
      </c>
      <c r="U881" s="177" t="str">
        <f>IF($J$1="October",Y880,"")</f>
        <v/>
      </c>
      <c r="V881" s="103"/>
      <c r="W881" s="177" t="str">
        <f t="shared" si="158"/>
        <v/>
      </c>
      <c r="X881" s="103"/>
      <c r="Y881" s="177" t="str">
        <f t="shared" si="159"/>
        <v/>
      </c>
      <c r="Z881" s="106"/>
      <c r="AA881" s="57"/>
    </row>
    <row r="882" spans="1:27" s="55" customFormat="1" ht="21" customHeight="1" x14ac:dyDescent="0.25">
      <c r="A882" s="56"/>
      <c r="B882" s="284" t="s">
        <v>116</v>
      </c>
      <c r="C882" s="284"/>
      <c r="D882" s="284"/>
      <c r="E882" s="284"/>
      <c r="F882" s="284"/>
      <c r="G882" s="284"/>
      <c r="H882" s="284"/>
      <c r="I882" s="284"/>
      <c r="J882" s="284"/>
      <c r="K882" s="284"/>
      <c r="L882" s="73"/>
      <c r="M882" s="57"/>
      <c r="N882" s="100"/>
      <c r="O882" s="101" t="s">
        <v>73</v>
      </c>
      <c r="P882" s="101"/>
      <c r="Q882" s="101"/>
      <c r="R882" s="101" t="str">
        <f t="shared" si="157"/>
        <v/>
      </c>
      <c r="S882" s="105"/>
      <c r="T882" s="101" t="s">
        <v>73</v>
      </c>
      <c r="U882" s="177" t="str">
        <f>IF($J$1="November",Y881,"")</f>
        <v/>
      </c>
      <c r="V882" s="103"/>
      <c r="W882" s="177" t="str">
        <f t="shared" si="158"/>
        <v/>
      </c>
      <c r="X882" s="103"/>
      <c r="Y882" s="177" t="str">
        <f t="shared" si="159"/>
        <v/>
      </c>
      <c r="Z882" s="106"/>
      <c r="AA882" s="57"/>
    </row>
    <row r="883" spans="1:27" s="55" customFormat="1" ht="21" customHeight="1" x14ac:dyDescent="0.25">
      <c r="A883" s="56"/>
      <c r="B883" s="284"/>
      <c r="C883" s="284"/>
      <c r="D883" s="284"/>
      <c r="E883" s="284"/>
      <c r="F883" s="284"/>
      <c r="G883" s="284"/>
      <c r="H883" s="284"/>
      <c r="I883" s="284"/>
      <c r="J883" s="284"/>
      <c r="K883" s="284"/>
      <c r="L883" s="73"/>
      <c r="M883" s="57"/>
      <c r="N883" s="100"/>
      <c r="O883" s="101" t="s">
        <v>74</v>
      </c>
      <c r="P883" s="101"/>
      <c r="Q883" s="101"/>
      <c r="R883" s="101" t="str">
        <f t="shared" si="157"/>
        <v/>
      </c>
      <c r="S883" s="105"/>
      <c r="T883" s="101" t="s">
        <v>74</v>
      </c>
      <c r="U883" s="177" t="str">
        <f>IF($J$1="Dec",Y882,"")</f>
        <v/>
      </c>
      <c r="V883" s="103"/>
      <c r="W883" s="177" t="str">
        <f t="shared" si="158"/>
        <v/>
      </c>
      <c r="X883" s="103"/>
      <c r="Y883" s="177" t="str">
        <f t="shared" si="159"/>
        <v/>
      </c>
      <c r="Z883" s="106"/>
      <c r="AA883" s="57"/>
    </row>
    <row r="884" spans="1:27" s="55" customFormat="1" ht="21" customHeight="1" thickBot="1" x14ac:dyDescent="0.3">
      <c r="A884" s="86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8"/>
      <c r="N884" s="107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9"/>
    </row>
    <row r="885" spans="1:27" s="55" customFormat="1" ht="21" customHeight="1" thickBot="1" x14ac:dyDescent="0.3"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</row>
    <row r="886" spans="1:27" s="55" customFormat="1" ht="21" customHeight="1" x14ac:dyDescent="0.25">
      <c r="A886" s="308" t="s">
        <v>56</v>
      </c>
      <c r="B886" s="309"/>
      <c r="C886" s="309"/>
      <c r="D886" s="309"/>
      <c r="E886" s="309"/>
      <c r="F886" s="309"/>
      <c r="G886" s="309"/>
      <c r="H886" s="309"/>
      <c r="I886" s="309"/>
      <c r="J886" s="309"/>
      <c r="K886" s="309"/>
      <c r="L886" s="310"/>
      <c r="M886" s="54"/>
      <c r="N886" s="93"/>
      <c r="O886" s="285" t="s">
        <v>58</v>
      </c>
      <c r="P886" s="286"/>
      <c r="Q886" s="286"/>
      <c r="R886" s="287"/>
      <c r="S886" s="94"/>
      <c r="T886" s="285" t="s">
        <v>59</v>
      </c>
      <c r="U886" s="286"/>
      <c r="V886" s="286"/>
      <c r="W886" s="286"/>
      <c r="X886" s="286"/>
      <c r="Y886" s="287"/>
      <c r="Z886" s="95"/>
      <c r="AA886" s="54"/>
    </row>
    <row r="887" spans="1:27" s="55" customFormat="1" ht="21" customHeight="1" x14ac:dyDescent="0.25">
      <c r="A887" s="56"/>
      <c r="B887" s="57"/>
      <c r="C887" s="288" t="s">
        <v>114</v>
      </c>
      <c r="D887" s="288"/>
      <c r="E887" s="288"/>
      <c r="F887" s="288"/>
      <c r="G887" s="58" t="str">
        <f>$J$1</f>
        <v>June</v>
      </c>
      <c r="H887" s="289">
        <f>$K$1</f>
        <v>2019</v>
      </c>
      <c r="I887" s="289"/>
      <c r="J887" s="57"/>
      <c r="K887" s="59"/>
      <c r="L887" s="60"/>
      <c r="M887" s="59"/>
      <c r="N887" s="96"/>
      <c r="O887" s="97" t="s">
        <v>69</v>
      </c>
      <c r="P887" s="97" t="s">
        <v>7</v>
      </c>
      <c r="Q887" s="97" t="s">
        <v>6</v>
      </c>
      <c r="R887" s="97" t="s">
        <v>70</v>
      </c>
      <c r="S887" s="98"/>
      <c r="T887" s="97" t="s">
        <v>69</v>
      </c>
      <c r="U887" s="97" t="s">
        <v>71</v>
      </c>
      <c r="V887" s="97" t="s">
        <v>29</v>
      </c>
      <c r="W887" s="97" t="s">
        <v>28</v>
      </c>
      <c r="X887" s="97" t="s">
        <v>30</v>
      </c>
      <c r="Y887" s="97" t="s">
        <v>75</v>
      </c>
      <c r="Z887" s="99"/>
      <c r="AA887" s="59"/>
    </row>
    <row r="888" spans="1:27" s="55" customFormat="1" ht="21" customHeight="1" x14ac:dyDescent="0.25">
      <c r="A888" s="56"/>
      <c r="B888" s="57"/>
      <c r="C888" s="57"/>
      <c r="D888" s="62"/>
      <c r="E888" s="62"/>
      <c r="F888" s="62"/>
      <c r="G888" s="62"/>
      <c r="H888" s="62"/>
      <c r="I888" s="57"/>
      <c r="J888" s="63" t="s">
        <v>1</v>
      </c>
      <c r="K888" s="64"/>
      <c r="L888" s="65"/>
      <c r="M888" s="57"/>
      <c r="N888" s="100"/>
      <c r="O888" s="101" t="s">
        <v>61</v>
      </c>
      <c r="P888" s="101"/>
      <c r="Q888" s="101"/>
      <c r="R888" s="101">
        <v>0</v>
      </c>
      <c r="S888" s="102"/>
      <c r="T888" s="101" t="s">
        <v>61</v>
      </c>
      <c r="U888" s="103"/>
      <c r="V888" s="103"/>
      <c r="W888" s="103">
        <f>V888+U888</f>
        <v>0</v>
      </c>
      <c r="X888" s="103"/>
      <c r="Y888" s="103">
        <f>W888-X888</f>
        <v>0</v>
      </c>
      <c r="Z888" s="99"/>
      <c r="AA888" s="57"/>
    </row>
    <row r="889" spans="1:27" s="55" customFormat="1" ht="21" customHeight="1" x14ac:dyDescent="0.25">
      <c r="A889" s="56"/>
      <c r="B889" s="57" t="s">
        <v>0</v>
      </c>
      <c r="C889" s="67"/>
      <c r="D889" s="57"/>
      <c r="E889" s="57"/>
      <c r="F889" s="57"/>
      <c r="G889" s="57"/>
      <c r="H889" s="68"/>
      <c r="I889" s="62"/>
      <c r="J889" s="57"/>
      <c r="K889" s="57"/>
      <c r="L889" s="69"/>
      <c r="M889" s="54"/>
      <c r="N889" s="104"/>
      <c r="O889" s="101" t="s">
        <v>87</v>
      </c>
      <c r="P889" s="101"/>
      <c r="Q889" s="101"/>
      <c r="R889" s="101" t="str">
        <f>IF(Q889="","",R888-Q889)</f>
        <v/>
      </c>
      <c r="S889" s="105"/>
      <c r="T889" s="101" t="s">
        <v>87</v>
      </c>
      <c r="U889" s="177">
        <f>Y888</f>
        <v>0</v>
      </c>
      <c r="V889" s="103"/>
      <c r="W889" s="177">
        <f>IF(U889="","",U889+V889)</f>
        <v>0</v>
      </c>
      <c r="X889" s="103"/>
      <c r="Y889" s="177">
        <f>IF(W889="","",W889-X889)</f>
        <v>0</v>
      </c>
      <c r="Z889" s="106"/>
      <c r="AA889" s="54"/>
    </row>
    <row r="890" spans="1:27" s="55" customFormat="1" ht="21" customHeight="1" x14ac:dyDescent="0.25">
      <c r="A890" s="56"/>
      <c r="B890" s="71" t="s">
        <v>57</v>
      </c>
      <c r="C890" s="72"/>
      <c r="D890" s="57"/>
      <c r="E890" s="57"/>
      <c r="F890" s="290" t="s">
        <v>59</v>
      </c>
      <c r="G890" s="290"/>
      <c r="H890" s="57"/>
      <c r="I890" s="290" t="s">
        <v>60</v>
      </c>
      <c r="J890" s="290"/>
      <c r="K890" s="290"/>
      <c r="L890" s="73"/>
      <c r="M890" s="57"/>
      <c r="N890" s="100"/>
      <c r="O890" s="101" t="s">
        <v>62</v>
      </c>
      <c r="P890" s="101"/>
      <c r="Q890" s="101"/>
      <c r="R890" s="101" t="str">
        <f t="shared" ref="R890:R898" si="160">IF(Q890="","",R889-Q890)</f>
        <v/>
      </c>
      <c r="S890" s="105"/>
      <c r="T890" s="101" t="s">
        <v>62</v>
      </c>
      <c r="U890" s="177">
        <f>IF($J$1="April",Y889,Y889)</f>
        <v>0</v>
      </c>
      <c r="V890" s="103"/>
      <c r="W890" s="177">
        <f t="shared" ref="W890:W899" si="161">IF(U890="","",U890+V890)</f>
        <v>0</v>
      </c>
      <c r="X890" s="103"/>
      <c r="Y890" s="177">
        <f t="shared" ref="Y890:Y899" si="162">IF(W890="","",W890-X890)</f>
        <v>0</v>
      </c>
      <c r="Z890" s="106"/>
      <c r="AA890" s="57"/>
    </row>
    <row r="891" spans="1:27" s="55" customFormat="1" ht="21" customHeight="1" x14ac:dyDescent="0.25">
      <c r="A891" s="56"/>
      <c r="B891" s="57"/>
      <c r="C891" s="57"/>
      <c r="D891" s="57"/>
      <c r="E891" s="57"/>
      <c r="F891" s="57"/>
      <c r="G891" s="57"/>
      <c r="H891" s="74"/>
      <c r="L891" s="61"/>
      <c r="M891" s="57"/>
      <c r="N891" s="100"/>
      <c r="O891" s="101" t="s">
        <v>63</v>
      </c>
      <c r="P891" s="101"/>
      <c r="Q891" s="101"/>
      <c r="R891" s="101" t="str">
        <f t="shared" si="160"/>
        <v/>
      </c>
      <c r="S891" s="105"/>
      <c r="T891" s="101" t="s">
        <v>63</v>
      </c>
      <c r="U891" s="177">
        <f>IF($J$1="April",Y890,Y890)</f>
        <v>0</v>
      </c>
      <c r="V891" s="103"/>
      <c r="W891" s="177">
        <f t="shared" si="161"/>
        <v>0</v>
      </c>
      <c r="X891" s="103"/>
      <c r="Y891" s="177">
        <f t="shared" si="162"/>
        <v>0</v>
      </c>
      <c r="Z891" s="106"/>
      <c r="AA891" s="57"/>
    </row>
    <row r="892" spans="1:27" s="55" customFormat="1" ht="21" customHeight="1" x14ac:dyDescent="0.25">
      <c r="A892" s="56"/>
      <c r="B892" s="291" t="s">
        <v>58</v>
      </c>
      <c r="C892" s="292"/>
      <c r="D892" s="57"/>
      <c r="E892" s="57"/>
      <c r="F892" s="75" t="s">
        <v>80</v>
      </c>
      <c r="G892" s="70">
        <f>IF($J$1="January",U888,IF($J$1="February",U889,IF($J$1="March",U890,IF($J$1="April",U891,IF($J$1="May",U892,IF($J$1="June",U893,IF($J$1="July",U894,IF($J$1="August",U895,IF($J$1="August",U895,IF($J$1="September",U896,IF($J$1="October",U897,IF($J$1="November",U898,IF($J$1="December",U899)))))))))))))</f>
        <v>0</v>
      </c>
      <c r="H892" s="74"/>
      <c r="I892" s="76">
        <f>IF(C896&gt;0,$K$2,C894)</f>
        <v>0</v>
      </c>
      <c r="J892" s="77" t="s">
        <v>77</v>
      </c>
      <c r="K892" s="78">
        <f>K888/$K$2*I892</f>
        <v>0</v>
      </c>
      <c r="L892" s="79"/>
      <c r="M892" s="57"/>
      <c r="N892" s="100"/>
      <c r="O892" s="101" t="s">
        <v>64</v>
      </c>
      <c r="P892" s="101"/>
      <c r="Q892" s="101"/>
      <c r="R892" s="101">
        <v>0</v>
      </c>
      <c r="S892" s="105"/>
      <c r="T892" s="101" t="s">
        <v>64</v>
      </c>
      <c r="U892" s="177">
        <f>IF($J$1="May",Y891,Y891)</f>
        <v>0</v>
      </c>
      <c r="V892" s="103"/>
      <c r="W892" s="177">
        <f t="shared" si="161"/>
        <v>0</v>
      </c>
      <c r="X892" s="103"/>
      <c r="Y892" s="177">
        <f t="shared" si="162"/>
        <v>0</v>
      </c>
      <c r="Z892" s="106"/>
      <c r="AA892" s="57"/>
    </row>
    <row r="893" spans="1:27" s="55" customFormat="1" ht="21" customHeight="1" x14ac:dyDescent="0.25">
      <c r="A893" s="56"/>
      <c r="B893" s="66"/>
      <c r="C893" s="66"/>
      <c r="D893" s="57"/>
      <c r="E893" s="57"/>
      <c r="F893" s="75" t="s">
        <v>29</v>
      </c>
      <c r="G893" s="70">
        <f>IF($J$1="January",V888,IF($J$1="February",V889,IF($J$1="March",V890,IF($J$1="April",V891,IF($J$1="May",V892,IF($J$1="June",V893,IF($J$1="July",V894,IF($J$1="August",V895,IF($J$1="August",V895,IF($J$1="September",V896,IF($J$1="October",V897,IF($J$1="November",V898,IF($J$1="December",V899)))))))))))))</f>
        <v>0</v>
      </c>
      <c r="H893" s="74"/>
      <c r="I893" s="120"/>
      <c r="J893" s="77" t="s">
        <v>78</v>
      </c>
      <c r="K893" s="80">
        <f>K888/$K$2/8*I893</f>
        <v>0</v>
      </c>
      <c r="L893" s="81"/>
      <c r="M893" s="57"/>
      <c r="N893" s="100"/>
      <c r="O893" s="101" t="s">
        <v>65</v>
      </c>
      <c r="P893" s="101"/>
      <c r="Q893" s="101"/>
      <c r="R893" s="101">
        <v>0</v>
      </c>
      <c r="S893" s="105"/>
      <c r="T893" s="101" t="s">
        <v>65</v>
      </c>
      <c r="U893" s="177">
        <f>IF($J$1="May",Y892,Y892)</f>
        <v>0</v>
      </c>
      <c r="V893" s="103"/>
      <c r="W893" s="177">
        <f t="shared" si="161"/>
        <v>0</v>
      </c>
      <c r="X893" s="103"/>
      <c r="Y893" s="177">
        <f t="shared" si="162"/>
        <v>0</v>
      </c>
      <c r="Z893" s="106"/>
      <c r="AA893" s="57"/>
    </row>
    <row r="894" spans="1:27" s="55" customFormat="1" ht="21" customHeight="1" x14ac:dyDescent="0.25">
      <c r="A894" s="56"/>
      <c r="B894" s="75" t="s">
        <v>7</v>
      </c>
      <c r="C894" s="66">
        <f>IF($J$1="January",P888,IF($J$1="February",P889,IF($J$1="March",P890,IF($J$1="April",P891,IF($J$1="May",P892,IF($J$1="June",P893,IF($J$1="July",P894,IF($J$1="August",P895,IF($J$1="August",P895,IF($J$1="September",P896,IF($J$1="October",P897,IF($J$1="November",P898,IF($J$1="December",P899)))))))))))))</f>
        <v>0</v>
      </c>
      <c r="D894" s="57"/>
      <c r="E894" s="57"/>
      <c r="F894" s="75" t="s">
        <v>81</v>
      </c>
      <c r="G894" s="70">
        <f>IF($J$1="January",W888,IF($J$1="February",W889,IF($J$1="March",W890,IF($J$1="April",W891,IF($J$1="May",W892,IF($J$1="June",W893,IF($J$1="July",W894,IF($J$1="August",W895,IF($J$1="August",W895,IF($J$1="September",W896,IF($J$1="October",W897,IF($J$1="November",W898,IF($J$1="December",W899)))))))))))))</f>
        <v>0</v>
      </c>
      <c r="H894" s="74"/>
      <c r="I894" s="293" t="s">
        <v>85</v>
      </c>
      <c r="J894" s="294"/>
      <c r="K894" s="80">
        <f>K892+K893</f>
        <v>0</v>
      </c>
      <c r="L894" s="81"/>
      <c r="M894" s="57"/>
      <c r="N894" s="100"/>
      <c r="O894" s="101" t="s">
        <v>66</v>
      </c>
      <c r="P894" s="101"/>
      <c r="Q894" s="101"/>
      <c r="R894" s="101">
        <v>0</v>
      </c>
      <c r="S894" s="105"/>
      <c r="T894" s="101" t="s">
        <v>66</v>
      </c>
      <c r="U894" s="177" t="str">
        <f>IF($J$1="July",Y893,"")</f>
        <v/>
      </c>
      <c r="V894" s="103"/>
      <c r="W894" s="177" t="str">
        <f t="shared" si="161"/>
        <v/>
      </c>
      <c r="X894" s="103"/>
      <c r="Y894" s="177" t="str">
        <f t="shared" si="162"/>
        <v/>
      </c>
      <c r="Z894" s="106"/>
      <c r="AA894" s="57"/>
    </row>
    <row r="895" spans="1:27" s="55" customFormat="1" ht="21" customHeight="1" x14ac:dyDescent="0.25">
      <c r="A895" s="56"/>
      <c r="B895" s="75" t="s">
        <v>6</v>
      </c>
      <c r="C895" s="66">
        <f>IF($J$1="January",Q888,IF($J$1="February",Q889,IF($J$1="March",Q890,IF($J$1="April",Q891,IF($J$1="May",Q892,IF($J$1="June",Q893,IF($J$1="July",Q894,IF($J$1="August",Q895,IF($J$1="August",Q895,IF($J$1="September",Q896,IF($J$1="October",Q897,IF($J$1="November",Q898,IF($J$1="December",Q899)))))))))))))</f>
        <v>0</v>
      </c>
      <c r="D895" s="57"/>
      <c r="E895" s="57"/>
      <c r="F895" s="75" t="s">
        <v>30</v>
      </c>
      <c r="G895" s="70">
        <f>IF($J$1="January",X888,IF($J$1="February",X889,IF($J$1="March",X890,IF($J$1="April",X891,IF($J$1="May",X892,IF($J$1="June",X893,IF($J$1="July",X894,IF($J$1="August",X895,IF($J$1="August",X895,IF($J$1="September",X896,IF($J$1="October",X897,IF($J$1="November",X898,IF($J$1="December",X899)))))))))))))</f>
        <v>0</v>
      </c>
      <c r="H895" s="74"/>
      <c r="I895" s="293" t="s">
        <v>86</v>
      </c>
      <c r="J895" s="294"/>
      <c r="K895" s="70">
        <f>G895</f>
        <v>0</v>
      </c>
      <c r="L895" s="82"/>
      <c r="M895" s="57"/>
      <c r="N895" s="100"/>
      <c r="O895" s="101" t="s">
        <v>67</v>
      </c>
      <c r="P895" s="101"/>
      <c r="Q895" s="101"/>
      <c r="R895" s="101">
        <v>0</v>
      </c>
      <c r="S895" s="105"/>
      <c r="T895" s="101" t="s">
        <v>67</v>
      </c>
      <c r="U895" s="177" t="str">
        <f>IF($J$1="September",Y894,"")</f>
        <v/>
      </c>
      <c r="V895" s="103"/>
      <c r="W895" s="177" t="str">
        <f t="shared" si="161"/>
        <v/>
      </c>
      <c r="X895" s="103"/>
      <c r="Y895" s="177" t="str">
        <f t="shared" si="162"/>
        <v/>
      </c>
      <c r="Z895" s="106"/>
      <c r="AA895" s="57"/>
    </row>
    <row r="896" spans="1:27" s="55" customFormat="1" ht="21" customHeight="1" x14ac:dyDescent="0.25">
      <c r="A896" s="56"/>
      <c r="B896" s="83" t="s">
        <v>84</v>
      </c>
      <c r="C896" s="66">
        <f>IF($J$1="January",R888,IF($J$1="February",R889,IF($J$1="March",R890,IF($J$1="April",R891,IF($J$1="May",R892,IF($J$1="June",R893,IF($J$1="July",R894,IF($J$1="August",R895,IF($J$1="August",R895,IF($J$1="September",R896,IF($J$1="October",R897,IF($J$1="November",R898,IF($J$1="December",R899)))))))))))))</f>
        <v>0</v>
      </c>
      <c r="D896" s="57"/>
      <c r="E896" s="57"/>
      <c r="F896" s="75" t="s">
        <v>83</v>
      </c>
      <c r="G896" s="70">
        <f>IF($J$1="January",Y888,IF($J$1="February",Y889,IF($J$1="March",Y890,IF($J$1="April",Y891,IF($J$1="May",Y892,IF($J$1="June",Y893,IF($J$1="July",Y894,IF($J$1="August",Y895,IF($J$1="August",Y895,IF($J$1="September",Y896,IF($J$1="October",Y897,IF($J$1="November",Y898,IF($J$1="December",Y899)))))))))))))</f>
        <v>0</v>
      </c>
      <c r="H896" s="57"/>
      <c r="I896" s="295" t="s">
        <v>79</v>
      </c>
      <c r="J896" s="296"/>
      <c r="K896" s="84">
        <f>K894-K895</f>
        <v>0</v>
      </c>
      <c r="L896" s="85"/>
      <c r="M896" s="57"/>
      <c r="N896" s="100"/>
      <c r="O896" s="101" t="s">
        <v>72</v>
      </c>
      <c r="P896" s="101"/>
      <c r="Q896" s="101"/>
      <c r="R896" s="101">
        <v>0</v>
      </c>
      <c r="S896" s="105"/>
      <c r="T896" s="101" t="s">
        <v>72</v>
      </c>
      <c r="U896" s="177" t="str">
        <f>IF($J$1="September",Y895,"")</f>
        <v/>
      </c>
      <c r="V896" s="103"/>
      <c r="W896" s="177" t="str">
        <f t="shared" si="161"/>
        <v/>
      </c>
      <c r="X896" s="103"/>
      <c r="Y896" s="177" t="str">
        <f t="shared" si="162"/>
        <v/>
      </c>
      <c r="Z896" s="106"/>
      <c r="AA896" s="57"/>
    </row>
    <row r="897" spans="1:27" s="55" customFormat="1" ht="21" customHeight="1" x14ac:dyDescent="0.25">
      <c r="A897" s="56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73"/>
      <c r="M897" s="57"/>
      <c r="N897" s="100"/>
      <c r="O897" s="101" t="s">
        <v>68</v>
      </c>
      <c r="P897" s="101"/>
      <c r="Q897" s="101"/>
      <c r="R897" s="101" t="str">
        <f t="shared" si="160"/>
        <v/>
      </c>
      <c r="S897" s="105"/>
      <c r="T897" s="101" t="s">
        <v>68</v>
      </c>
      <c r="U897" s="177" t="str">
        <f>IF($J$1="October",Y896,"")</f>
        <v/>
      </c>
      <c r="V897" s="103"/>
      <c r="W897" s="177" t="str">
        <f t="shared" si="161"/>
        <v/>
      </c>
      <c r="X897" s="103"/>
      <c r="Y897" s="177" t="str">
        <f t="shared" si="162"/>
        <v/>
      </c>
      <c r="Z897" s="106"/>
      <c r="AA897" s="57"/>
    </row>
    <row r="898" spans="1:27" s="55" customFormat="1" ht="21" customHeight="1" x14ac:dyDescent="0.25">
      <c r="A898" s="56"/>
      <c r="B898" s="284" t="s">
        <v>116</v>
      </c>
      <c r="C898" s="284"/>
      <c r="D898" s="284"/>
      <c r="E898" s="284"/>
      <c r="F898" s="284"/>
      <c r="G898" s="284"/>
      <c r="H898" s="284"/>
      <c r="I898" s="284"/>
      <c r="J898" s="284"/>
      <c r="K898" s="284"/>
      <c r="L898" s="73"/>
      <c r="M898" s="57"/>
      <c r="N898" s="100"/>
      <c r="O898" s="101" t="s">
        <v>73</v>
      </c>
      <c r="P898" s="101"/>
      <c r="Q898" s="101"/>
      <c r="R898" s="101" t="str">
        <f t="shared" si="160"/>
        <v/>
      </c>
      <c r="S898" s="105"/>
      <c r="T898" s="101" t="s">
        <v>73</v>
      </c>
      <c r="U898" s="177" t="str">
        <f>IF($J$1="November",Y897,"")</f>
        <v/>
      </c>
      <c r="V898" s="103"/>
      <c r="W898" s="177" t="str">
        <f t="shared" si="161"/>
        <v/>
      </c>
      <c r="X898" s="103"/>
      <c r="Y898" s="177" t="str">
        <f t="shared" si="162"/>
        <v/>
      </c>
      <c r="Z898" s="106"/>
      <c r="AA898" s="57"/>
    </row>
    <row r="899" spans="1:27" s="55" customFormat="1" ht="21" customHeight="1" x14ac:dyDescent="0.25">
      <c r="A899" s="56"/>
      <c r="B899" s="284"/>
      <c r="C899" s="284"/>
      <c r="D899" s="284"/>
      <c r="E899" s="284"/>
      <c r="F899" s="284"/>
      <c r="G899" s="284"/>
      <c r="H899" s="284"/>
      <c r="I899" s="284"/>
      <c r="J899" s="284"/>
      <c r="K899" s="284"/>
      <c r="L899" s="73"/>
      <c r="M899" s="57"/>
      <c r="N899" s="100"/>
      <c r="O899" s="101" t="s">
        <v>74</v>
      </c>
      <c r="P899" s="101"/>
      <c r="Q899" s="101"/>
      <c r="R899" s="101">
        <v>0</v>
      </c>
      <c r="S899" s="105"/>
      <c r="T899" s="101" t="s">
        <v>74</v>
      </c>
      <c r="U899" s="177" t="str">
        <f>IF($J$1="Dec",Y898,"")</f>
        <v/>
      </c>
      <c r="V899" s="103"/>
      <c r="W899" s="177" t="str">
        <f t="shared" si="161"/>
        <v/>
      </c>
      <c r="X899" s="103"/>
      <c r="Y899" s="177" t="str">
        <f t="shared" si="162"/>
        <v/>
      </c>
      <c r="Z899" s="106"/>
      <c r="AA899" s="57"/>
    </row>
    <row r="900" spans="1:27" s="55" customFormat="1" ht="21" customHeight="1" thickBot="1" x14ac:dyDescent="0.3">
      <c r="A900" s="86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8"/>
      <c r="N900" s="107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9"/>
    </row>
    <row r="901" spans="1:27" s="55" customFormat="1" ht="21" customHeight="1" thickBot="1" x14ac:dyDescent="0.3"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</row>
    <row r="902" spans="1:27" s="55" customFormat="1" ht="21" customHeight="1" x14ac:dyDescent="0.25">
      <c r="A902" s="297" t="s">
        <v>56</v>
      </c>
      <c r="B902" s="298"/>
      <c r="C902" s="298"/>
      <c r="D902" s="298"/>
      <c r="E902" s="298"/>
      <c r="F902" s="298"/>
      <c r="G902" s="298"/>
      <c r="H902" s="298"/>
      <c r="I902" s="298"/>
      <c r="J902" s="298"/>
      <c r="K902" s="298"/>
      <c r="L902" s="299"/>
      <c r="M902" s="54"/>
      <c r="N902" s="93"/>
      <c r="O902" s="285" t="s">
        <v>58</v>
      </c>
      <c r="P902" s="286"/>
      <c r="Q902" s="286"/>
      <c r="R902" s="287"/>
      <c r="S902" s="94"/>
      <c r="T902" s="285" t="s">
        <v>59</v>
      </c>
      <c r="U902" s="286"/>
      <c r="V902" s="286"/>
      <c r="W902" s="286"/>
      <c r="X902" s="286"/>
      <c r="Y902" s="287"/>
      <c r="Z902" s="95"/>
      <c r="AA902" s="54"/>
    </row>
    <row r="903" spans="1:27" s="55" customFormat="1" ht="21" customHeight="1" x14ac:dyDescent="0.25">
      <c r="A903" s="56"/>
      <c r="B903" s="57"/>
      <c r="C903" s="288" t="s">
        <v>114</v>
      </c>
      <c r="D903" s="288"/>
      <c r="E903" s="288"/>
      <c r="F903" s="288"/>
      <c r="G903" s="58" t="str">
        <f>$J$1</f>
        <v>June</v>
      </c>
      <c r="H903" s="289">
        <f>$K$1</f>
        <v>2019</v>
      </c>
      <c r="I903" s="289"/>
      <c r="J903" s="57"/>
      <c r="K903" s="59"/>
      <c r="L903" s="60"/>
      <c r="M903" s="59"/>
      <c r="N903" s="96"/>
      <c r="O903" s="97" t="s">
        <v>69</v>
      </c>
      <c r="P903" s="97" t="s">
        <v>7</v>
      </c>
      <c r="Q903" s="97" t="s">
        <v>6</v>
      </c>
      <c r="R903" s="97" t="s">
        <v>70</v>
      </c>
      <c r="S903" s="98"/>
      <c r="T903" s="97" t="s">
        <v>69</v>
      </c>
      <c r="U903" s="97" t="s">
        <v>71</v>
      </c>
      <c r="V903" s="97" t="s">
        <v>29</v>
      </c>
      <c r="W903" s="97" t="s">
        <v>28</v>
      </c>
      <c r="X903" s="97" t="s">
        <v>30</v>
      </c>
      <c r="Y903" s="97" t="s">
        <v>75</v>
      </c>
      <c r="Z903" s="99"/>
      <c r="AA903" s="59"/>
    </row>
    <row r="904" spans="1:27" s="55" customFormat="1" ht="21" customHeight="1" x14ac:dyDescent="0.25">
      <c r="A904" s="56"/>
      <c r="B904" s="57"/>
      <c r="C904" s="57"/>
      <c r="D904" s="62"/>
      <c r="E904" s="62"/>
      <c r="F904" s="62"/>
      <c r="G904" s="62"/>
      <c r="H904" s="62"/>
      <c r="I904" s="57"/>
      <c r="J904" s="63" t="s">
        <v>1</v>
      </c>
      <c r="K904" s="64">
        <v>18000</v>
      </c>
      <c r="L904" s="65"/>
      <c r="M904" s="57"/>
      <c r="N904" s="100"/>
      <c r="O904" s="101" t="s">
        <v>61</v>
      </c>
      <c r="P904" s="101">
        <v>30</v>
      </c>
      <c r="Q904" s="101">
        <v>1</v>
      </c>
      <c r="R904" s="101">
        <f>15-Q904</f>
        <v>14</v>
      </c>
      <c r="S904" s="102"/>
      <c r="T904" s="101" t="s">
        <v>61</v>
      </c>
      <c r="U904" s="103"/>
      <c r="V904" s="103"/>
      <c r="W904" s="103">
        <f>V904+U904</f>
        <v>0</v>
      </c>
      <c r="X904" s="103"/>
      <c r="Y904" s="103">
        <f>W904-X904</f>
        <v>0</v>
      </c>
      <c r="Z904" s="99"/>
      <c r="AA904" s="57"/>
    </row>
    <row r="905" spans="1:27" s="55" customFormat="1" ht="21" customHeight="1" x14ac:dyDescent="0.25">
      <c r="A905" s="56"/>
      <c r="B905" s="57" t="s">
        <v>0</v>
      </c>
      <c r="C905" s="67" t="s">
        <v>23</v>
      </c>
      <c r="D905" s="57"/>
      <c r="E905" s="57"/>
      <c r="F905" s="57"/>
      <c r="G905" s="57"/>
      <c r="H905" s="68"/>
      <c r="I905" s="62"/>
      <c r="J905" s="57"/>
      <c r="K905" s="57"/>
      <c r="L905" s="69"/>
      <c r="M905" s="54"/>
      <c r="N905" s="104"/>
      <c r="O905" s="101" t="s">
        <v>87</v>
      </c>
      <c r="P905" s="101">
        <v>23</v>
      </c>
      <c r="Q905" s="101">
        <v>5</v>
      </c>
      <c r="R905" s="101">
        <f>IF(Q905="","",R904-Q905)</f>
        <v>9</v>
      </c>
      <c r="S905" s="105"/>
      <c r="T905" s="101" t="s">
        <v>87</v>
      </c>
      <c r="U905" s="177">
        <f>Y904</f>
        <v>0</v>
      </c>
      <c r="V905" s="103"/>
      <c r="W905" s="177">
        <f>IF(U905="","",U905+V905)</f>
        <v>0</v>
      </c>
      <c r="X905" s="103"/>
      <c r="Y905" s="177">
        <f>IF(W905="","",W905-X905)</f>
        <v>0</v>
      </c>
      <c r="Z905" s="106"/>
      <c r="AA905" s="54"/>
    </row>
    <row r="906" spans="1:27" s="55" customFormat="1" ht="21" customHeight="1" x14ac:dyDescent="0.25">
      <c r="A906" s="56"/>
      <c r="B906" s="71" t="s">
        <v>57</v>
      </c>
      <c r="C906" s="72"/>
      <c r="D906" s="57"/>
      <c r="E906" s="57"/>
      <c r="F906" s="290" t="s">
        <v>59</v>
      </c>
      <c r="G906" s="290"/>
      <c r="H906" s="57"/>
      <c r="I906" s="290" t="s">
        <v>60</v>
      </c>
      <c r="J906" s="290"/>
      <c r="K906" s="290"/>
      <c r="L906" s="73"/>
      <c r="M906" s="57"/>
      <c r="N906" s="100"/>
      <c r="O906" s="101" t="s">
        <v>62</v>
      </c>
      <c r="P906" s="101">
        <v>31</v>
      </c>
      <c r="Q906" s="101">
        <v>0</v>
      </c>
      <c r="R906" s="101">
        <f t="shared" ref="R906:R915" si="163">IF(Q906="","",R905-Q906)</f>
        <v>9</v>
      </c>
      <c r="S906" s="105"/>
      <c r="T906" s="101" t="s">
        <v>62</v>
      </c>
      <c r="U906" s="177">
        <f>IF($J$1="April",Y905,Y905)</f>
        <v>0</v>
      </c>
      <c r="V906" s="103"/>
      <c r="W906" s="177">
        <f t="shared" ref="W906:W915" si="164">IF(U906="","",U906+V906)</f>
        <v>0</v>
      </c>
      <c r="X906" s="103"/>
      <c r="Y906" s="177">
        <f t="shared" ref="Y906:Y915" si="165">IF(W906="","",W906-X906)</f>
        <v>0</v>
      </c>
      <c r="Z906" s="106"/>
      <c r="AA906" s="57"/>
    </row>
    <row r="907" spans="1:27" s="55" customFormat="1" ht="21" customHeight="1" x14ac:dyDescent="0.25">
      <c r="A907" s="56"/>
      <c r="B907" s="57"/>
      <c r="C907" s="57"/>
      <c r="D907" s="57"/>
      <c r="E907" s="57"/>
      <c r="F907" s="57"/>
      <c r="G907" s="57"/>
      <c r="H907" s="74"/>
      <c r="L907" s="61"/>
      <c r="M907" s="57"/>
      <c r="N907" s="100"/>
      <c r="O907" s="101" t="s">
        <v>63</v>
      </c>
      <c r="P907" s="101">
        <v>29</v>
      </c>
      <c r="Q907" s="101">
        <v>1</v>
      </c>
      <c r="R907" s="101">
        <f t="shared" si="163"/>
        <v>8</v>
      </c>
      <c r="S907" s="105"/>
      <c r="T907" s="101" t="s">
        <v>63</v>
      </c>
      <c r="U907" s="177">
        <f>IF($J$1="April",Y906,Y906)</f>
        <v>0</v>
      </c>
      <c r="V907" s="103"/>
      <c r="W907" s="177">
        <f t="shared" si="164"/>
        <v>0</v>
      </c>
      <c r="X907" s="103"/>
      <c r="Y907" s="177">
        <f t="shared" si="165"/>
        <v>0</v>
      </c>
      <c r="Z907" s="106"/>
      <c r="AA907" s="57"/>
    </row>
    <row r="908" spans="1:27" s="55" customFormat="1" ht="21" customHeight="1" x14ac:dyDescent="0.25">
      <c r="A908" s="56"/>
      <c r="B908" s="291" t="s">
        <v>58</v>
      </c>
      <c r="C908" s="292"/>
      <c r="D908" s="57"/>
      <c r="E908" s="57"/>
      <c r="F908" s="75" t="s">
        <v>80</v>
      </c>
      <c r="G908" s="70">
        <f>IF($J$1="January",U904,IF($J$1="February",U905,IF($J$1="March",U906,IF($J$1="April",U907,IF($J$1="May",U908,IF($J$1="June",U909,IF($J$1="July",U910,IF($J$1="August",U911,IF($J$1="August",U911,IF($J$1="September",U912,IF($J$1="October",U913,IF($J$1="November",U914,IF($J$1="December",U915)))))))))))))</f>
        <v>0</v>
      </c>
      <c r="H908" s="74"/>
      <c r="I908" s="76">
        <f>IF(C912&gt;0,$K$2,C910)</f>
        <v>30</v>
      </c>
      <c r="J908" s="77" t="s">
        <v>77</v>
      </c>
      <c r="K908" s="78">
        <f>K904/$K$2*I908</f>
        <v>18000</v>
      </c>
      <c r="L908" s="79"/>
      <c r="M908" s="57"/>
      <c r="N908" s="100"/>
      <c r="O908" s="101" t="s">
        <v>64</v>
      </c>
      <c r="P908" s="101">
        <v>30</v>
      </c>
      <c r="Q908" s="101">
        <v>1</v>
      </c>
      <c r="R908" s="101">
        <f t="shared" si="163"/>
        <v>7</v>
      </c>
      <c r="S908" s="105"/>
      <c r="T908" s="101" t="s">
        <v>64</v>
      </c>
      <c r="U908" s="177">
        <f>IF($J$1="May",Y907,Y907)</f>
        <v>0</v>
      </c>
      <c r="V908" s="103"/>
      <c r="W908" s="177">
        <f t="shared" si="164"/>
        <v>0</v>
      </c>
      <c r="X908" s="103"/>
      <c r="Y908" s="177">
        <f t="shared" si="165"/>
        <v>0</v>
      </c>
      <c r="Z908" s="106"/>
      <c r="AA908" s="57"/>
    </row>
    <row r="909" spans="1:27" s="55" customFormat="1" ht="21" customHeight="1" x14ac:dyDescent="0.25">
      <c r="A909" s="56"/>
      <c r="B909" s="66"/>
      <c r="C909" s="66"/>
      <c r="D909" s="57"/>
      <c r="E909" s="57"/>
      <c r="F909" s="75" t="s">
        <v>29</v>
      </c>
      <c r="G909" s="70">
        <f>IF($J$1="January",V904,IF($J$1="February",V905,IF($J$1="March",V906,IF($J$1="April",V907,IF($J$1="May",V908,IF($J$1="June",V909,IF($J$1="July",V910,IF($J$1="August",V911,IF($J$1="August",V911,IF($J$1="September",V912,IF($J$1="October",V913,IF($J$1="November",V914,IF($J$1="December",V915)))))))))))))</f>
        <v>0</v>
      </c>
      <c r="H909" s="74"/>
      <c r="I909" s="120">
        <v>73.5</v>
      </c>
      <c r="J909" s="77" t="s">
        <v>78</v>
      </c>
      <c r="K909" s="80">
        <f>K904/$K$2/8*I909</f>
        <v>5512.5</v>
      </c>
      <c r="L909" s="81"/>
      <c r="M909" s="57"/>
      <c r="N909" s="100"/>
      <c r="O909" s="101" t="s">
        <v>65</v>
      </c>
      <c r="P909" s="101">
        <v>29</v>
      </c>
      <c r="Q909" s="101">
        <v>1</v>
      </c>
      <c r="R909" s="101">
        <f t="shared" si="163"/>
        <v>6</v>
      </c>
      <c r="S909" s="105"/>
      <c r="T909" s="101" t="s">
        <v>65</v>
      </c>
      <c r="U909" s="177">
        <f>IF($J$1="May",Y908,Y908)</f>
        <v>0</v>
      </c>
      <c r="V909" s="103"/>
      <c r="W909" s="177">
        <f t="shared" si="164"/>
        <v>0</v>
      </c>
      <c r="X909" s="103"/>
      <c r="Y909" s="177">
        <f t="shared" si="165"/>
        <v>0</v>
      </c>
      <c r="Z909" s="106"/>
      <c r="AA909" s="57"/>
    </row>
    <row r="910" spans="1:27" s="55" customFormat="1" ht="21" customHeight="1" x14ac:dyDescent="0.25">
      <c r="A910" s="56"/>
      <c r="B910" s="75" t="s">
        <v>7</v>
      </c>
      <c r="C910" s="66">
        <f>IF($J$1="January",P904,IF($J$1="February",P905,IF($J$1="March",P906,IF($J$1="April",P907,IF($J$1="May",P908,IF($J$1="June",P909,IF($J$1="July",P910,IF($J$1="August",P911,IF($J$1="August",P911,IF($J$1="September",P912,IF($J$1="October",P913,IF($J$1="November",P914,IF($J$1="December",P915)))))))))))))</f>
        <v>29</v>
      </c>
      <c r="D910" s="57"/>
      <c r="E910" s="57"/>
      <c r="F910" s="75" t="s">
        <v>81</v>
      </c>
      <c r="G910" s="70">
        <f>IF($J$1="January",W904,IF($J$1="February",W905,IF($J$1="March",W906,IF($J$1="April",W907,IF($J$1="May",W908,IF($J$1="June",W909,IF($J$1="July",W910,IF($J$1="August",W911,IF($J$1="August",W911,IF($J$1="September",W912,IF($J$1="October",W913,IF($J$1="November",W914,IF($J$1="December",W915)))))))))))))</f>
        <v>0</v>
      </c>
      <c r="H910" s="74"/>
      <c r="I910" s="293" t="s">
        <v>85</v>
      </c>
      <c r="J910" s="294"/>
      <c r="K910" s="80">
        <f>K908+K909</f>
        <v>23512.5</v>
      </c>
      <c r="L910" s="81"/>
      <c r="M910" s="57"/>
      <c r="N910" s="100"/>
      <c r="O910" s="101" t="s">
        <v>66</v>
      </c>
      <c r="P910" s="101"/>
      <c r="Q910" s="101"/>
      <c r="R910" s="101" t="str">
        <f t="shared" si="163"/>
        <v/>
      </c>
      <c r="S910" s="105"/>
      <c r="T910" s="101" t="s">
        <v>66</v>
      </c>
      <c r="U910" s="177" t="str">
        <f>IF($J$1="July",Y909,"")</f>
        <v/>
      </c>
      <c r="V910" s="103"/>
      <c r="W910" s="177" t="str">
        <f t="shared" si="164"/>
        <v/>
      </c>
      <c r="X910" s="103"/>
      <c r="Y910" s="177" t="str">
        <f t="shared" si="165"/>
        <v/>
      </c>
      <c r="Z910" s="106"/>
      <c r="AA910" s="57"/>
    </row>
    <row r="911" spans="1:27" s="55" customFormat="1" ht="21" customHeight="1" x14ac:dyDescent="0.25">
      <c r="A911" s="56"/>
      <c r="B911" s="75" t="s">
        <v>6</v>
      </c>
      <c r="C911" s="66">
        <f>IF($J$1="January",Q904,IF($J$1="February",Q905,IF($J$1="March",Q906,IF($J$1="April",Q907,IF($J$1="May",Q908,IF($J$1="June",Q909,IF($J$1="July",Q910,IF($J$1="August",Q911,IF($J$1="August",Q911,IF($J$1="September",Q912,IF($J$1="October",Q913,IF($J$1="November",Q914,IF($J$1="December",Q915)))))))))))))</f>
        <v>1</v>
      </c>
      <c r="D911" s="57"/>
      <c r="E911" s="57"/>
      <c r="F911" s="75" t="s">
        <v>30</v>
      </c>
      <c r="G911" s="70">
        <f>IF($J$1="January",X904,IF($J$1="February",X905,IF($J$1="March",X906,IF($J$1="April",X907,IF($J$1="May",X908,IF($J$1="June",X909,IF($J$1="July",X910,IF($J$1="August",X911,IF($J$1="August",X911,IF($J$1="September",X912,IF($J$1="October",X913,IF($J$1="November",X914,IF($J$1="December",X915)))))))))))))</f>
        <v>0</v>
      </c>
      <c r="H911" s="74"/>
      <c r="I911" s="293" t="s">
        <v>86</v>
      </c>
      <c r="J911" s="294"/>
      <c r="K911" s="70">
        <f>G911</f>
        <v>0</v>
      </c>
      <c r="L911" s="82"/>
      <c r="M911" s="57"/>
      <c r="N911" s="100"/>
      <c r="O911" s="101" t="s">
        <v>67</v>
      </c>
      <c r="P911" s="101"/>
      <c r="Q911" s="101"/>
      <c r="R911" s="101" t="str">
        <f t="shared" si="163"/>
        <v/>
      </c>
      <c r="S911" s="105"/>
      <c r="T911" s="101" t="s">
        <v>67</v>
      </c>
      <c r="U911" s="177" t="str">
        <f>IF($J$1="August",Y910,"")</f>
        <v/>
      </c>
      <c r="V911" s="103"/>
      <c r="W911" s="177" t="str">
        <f t="shared" si="164"/>
        <v/>
      </c>
      <c r="X911" s="103"/>
      <c r="Y911" s="177" t="str">
        <f t="shared" si="165"/>
        <v/>
      </c>
      <c r="Z911" s="106"/>
      <c r="AA911" s="57"/>
    </row>
    <row r="912" spans="1:27" s="55" customFormat="1" ht="21" customHeight="1" x14ac:dyDescent="0.25">
      <c r="A912" s="56"/>
      <c r="B912" s="83" t="s">
        <v>84</v>
      </c>
      <c r="C912" s="66">
        <f>IF($J$1="January",R904,IF($J$1="February",R905,IF($J$1="March",R906,IF($J$1="April",R907,IF($J$1="May",R908,IF($J$1="June",R909,IF($J$1="July",R910,IF($J$1="August",R911,IF($J$1="August",R911,IF($J$1="September",R912,IF($J$1="October",R913,IF($J$1="November",R914,IF($J$1="December",R915)))))))))))))</f>
        <v>6</v>
      </c>
      <c r="D912" s="57"/>
      <c r="E912" s="57"/>
      <c r="F912" s="75" t="s">
        <v>83</v>
      </c>
      <c r="G912" s="70">
        <f>IF($J$1="January",Y904,IF($J$1="February",Y905,IF($J$1="March",Y906,IF($J$1="April",Y907,IF($J$1="May",Y908,IF($J$1="June",Y909,IF($J$1="July",Y910,IF($J$1="August",Y911,IF($J$1="August",Y911,IF($J$1="September",Y912,IF($J$1="October",Y913,IF($J$1="November",Y914,IF($J$1="December",Y915)))))))))))))</f>
        <v>0</v>
      </c>
      <c r="H912" s="57"/>
      <c r="I912" s="295" t="s">
        <v>79</v>
      </c>
      <c r="J912" s="296"/>
      <c r="K912" s="84">
        <f>K910-K911</f>
        <v>23512.5</v>
      </c>
      <c r="L912" s="85"/>
      <c r="M912" s="57"/>
      <c r="N912" s="100"/>
      <c r="O912" s="101" t="s">
        <v>72</v>
      </c>
      <c r="P912" s="101"/>
      <c r="Q912" s="101"/>
      <c r="R912" s="101" t="str">
        <f t="shared" si="163"/>
        <v/>
      </c>
      <c r="S912" s="105"/>
      <c r="T912" s="101" t="s">
        <v>72</v>
      </c>
      <c r="U912" s="177" t="str">
        <f>IF($J$1="Sept",Y911,"")</f>
        <v/>
      </c>
      <c r="V912" s="103"/>
      <c r="W912" s="177" t="str">
        <f t="shared" si="164"/>
        <v/>
      </c>
      <c r="X912" s="103"/>
      <c r="Y912" s="177" t="str">
        <f t="shared" si="165"/>
        <v/>
      </c>
      <c r="Z912" s="106"/>
      <c r="AA912" s="57"/>
    </row>
    <row r="913" spans="1:27" s="55" customFormat="1" ht="21" customHeight="1" x14ac:dyDescent="0.25">
      <c r="A913" s="56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73"/>
      <c r="M913" s="57"/>
      <c r="N913" s="100"/>
      <c r="O913" s="101" t="s">
        <v>68</v>
      </c>
      <c r="P913" s="101"/>
      <c r="Q913" s="101"/>
      <c r="R913" s="101" t="str">
        <f t="shared" si="163"/>
        <v/>
      </c>
      <c r="S913" s="105"/>
      <c r="T913" s="101" t="s">
        <v>68</v>
      </c>
      <c r="U913" s="177" t="str">
        <f>IF($J$1="October",Y912,"")</f>
        <v/>
      </c>
      <c r="V913" s="103"/>
      <c r="W913" s="177" t="str">
        <f t="shared" si="164"/>
        <v/>
      </c>
      <c r="X913" s="103"/>
      <c r="Y913" s="177" t="str">
        <f t="shared" si="165"/>
        <v/>
      </c>
      <c r="Z913" s="106"/>
      <c r="AA913" s="57"/>
    </row>
    <row r="914" spans="1:27" s="55" customFormat="1" ht="21" customHeight="1" x14ac:dyDescent="0.25">
      <c r="A914" s="56"/>
      <c r="B914" s="284"/>
      <c r="C914" s="284"/>
      <c r="D914" s="284"/>
      <c r="E914" s="284"/>
      <c r="F914" s="284"/>
      <c r="G914" s="284"/>
      <c r="H914" s="284"/>
      <c r="I914" s="284"/>
      <c r="J914" s="284"/>
      <c r="K914" s="284"/>
      <c r="L914" s="73"/>
      <c r="M914" s="57"/>
      <c r="N914" s="100"/>
      <c r="O914" s="101" t="s">
        <v>73</v>
      </c>
      <c r="P914" s="101"/>
      <c r="Q914" s="101"/>
      <c r="R914" s="101" t="str">
        <f t="shared" si="163"/>
        <v/>
      </c>
      <c r="S914" s="105"/>
      <c r="T914" s="101" t="s">
        <v>73</v>
      </c>
      <c r="U914" s="177" t="str">
        <f>IF($J$1="November",Y913,"")</f>
        <v/>
      </c>
      <c r="V914" s="103"/>
      <c r="W914" s="177" t="str">
        <f t="shared" si="164"/>
        <v/>
      </c>
      <c r="X914" s="103"/>
      <c r="Y914" s="177" t="str">
        <f t="shared" si="165"/>
        <v/>
      </c>
      <c r="Z914" s="106"/>
      <c r="AA914" s="57"/>
    </row>
    <row r="915" spans="1:27" s="55" customFormat="1" ht="21" customHeight="1" x14ac:dyDescent="0.25">
      <c r="A915" s="56"/>
      <c r="B915" s="284"/>
      <c r="C915" s="284"/>
      <c r="D915" s="284"/>
      <c r="E915" s="284"/>
      <c r="F915" s="284"/>
      <c r="G915" s="284"/>
      <c r="H915" s="284"/>
      <c r="I915" s="284"/>
      <c r="J915" s="284"/>
      <c r="K915" s="284"/>
      <c r="L915" s="73"/>
      <c r="M915" s="57"/>
      <c r="N915" s="100"/>
      <c r="O915" s="101" t="s">
        <v>74</v>
      </c>
      <c r="P915" s="101"/>
      <c r="Q915" s="101"/>
      <c r="R915" s="101" t="str">
        <f t="shared" si="163"/>
        <v/>
      </c>
      <c r="S915" s="105"/>
      <c r="T915" s="101" t="s">
        <v>74</v>
      </c>
      <c r="U915" s="177" t="str">
        <f>IF($J$1="Dec",Y914,"")</f>
        <v/>
      </c>
      <c r="V915" s="103"/>
      <c r="W915" s="177" t="str">
        <f t="shared" si="164"/>
        <v/>
      </c>
      <c r="X915" s="103"/>
      <c r="Y915" s="177" t="str">
        <f t="shared" si="165"/>
        <v/>
      </c>
      <c r="Z915" s="106"/>
      <c r="AA915" s="57"/>
    </row>
    <row r="916" spans="1:27" s="55" customFormat="1" ht="21" customHeight="1" thickBot="1" x14ac:dyDescent="0.3">
      <c r="A916" s="86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8"/>
      <c r="N916" s="107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9"/>
    </row>
    <row r="917" spans="1:27" s="55" customFormat="1" ht="21" customHeight="1" thickBot="1" x14ac:dyDescent="0.3"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</row>
    <row r="918" spans="1:27" s="55" customFormat="1" ht="21" customHeight="1" x14ac:dyDescent="0.25">
      <c r="A918" s="300" t="s">
        <v>56</v>
      </c>
      <c r="B918" s="301"/>
      <c r="C918" s="301"/>
      <c r="D918" s="301"/>
      <c r="E918" s="301"/>
      <c r="F918" s="301"/>
      <c r="G918" s="301"/>
      <c r="H918" s="301"/>
      <c r="I918" s="301"/>
      <c r="J918" s="301"/>
      <c r="K918" s="301"/>
      <c r="L918" s="302"/>
      <c r="M918" s="144"/>
      <c r="N918" s="93"/>
      <c r="O918" s="285" t="s">
        <v>58</v>
      </c>
      <c r="P918" s="286"/>
      <c r="Q918" s="286"/>
      <c r="R918" s="287"/>
      <c r="S918" s="94"/>
      <c r="T918" s="285" t="s">
        <v>59</v>
      </c>
      <c r="U918" s="286"/>
      <c r="V918" s="286"/>
      <c r="W918" s="286"/>
      <c r="X918" s="286"/>
      <c r="Y918" s="287"/>
      <c r="Z918" s="95"/>
      <c r="AA918" s="144"/>
    </row>
    <row r="919" spans="1:27" s="55" customFormat="1" ht="21" customHeight="1" x14ac:dyDescent="0.25">
      <c r="A919" s="56"/>
      <c r="B919" s="57"/>
      <c r="C919" s="288" t="s">
        <v>114</v>
      </c>
      <c r="D919" s="288"/>
      <c r="E919" s="288"/>
      <c r="F919" s="288"/>
      <c r="G919" s="58" t="str">
        <f>$J$1</f>
        <v>June</v>
      </c>
      <c r="H919" s="289">
        <f>$K$1</f>
        <v>2019</v>
      </c>
      <c r="I919" s="289"/>
      <c r="J919" s="57"/>
      <c r="K919" s="59"/>
      <c r="L919" s="60"/>
      <c r="M919" s="59"/>
      <c r="N919" s="96"/>
      <c r="O919" s="97" t="s">
        <v>69</v>
      </c>
      <c r="P919" s="97" t="s">
        <v>7</v>
      </c>
      <c r="Q919" s="97" t="s">
        <v>6</v>
      </c>
      <c r="R919" s="97" t="s">
        <v>70</v>
      </c>
      <c r="S919" s="98"/>
      <c r="T919" s="97" t="s">
        <v>69</v>
      </c>
      <c r="U919" s="97" t="s">
        <v>71</v>
      </c>
      <c r="V919" s="97" t="s">
        <v>29</v>
      </c>
      <c r="W919" s="97" t="s">
        <v>28</v>
      </c>
      <c r="X919" s="97" t="s">
        <v>30</v>
      </c>
      <c r="Y919" s="97" t="s">
        <v>75</v>
      </c>
      <c r="Z919" s="99"/>
      <c r="AA919" s="59"/>
    </row>
    <row r="920" spans="1:27" s="55" customFormat="1" ht="21" customHeight="1" x14ac:dyDescent="0.25">
      <c r="A920" s="56"/>
      <c r="B920" s="57"/>
      <c r="C920" s="57"/>
      <c r="D920" s="62"/>
      <c r="E920" s="62"/>
      <c r="F920" s="62"/>
      <c r="G920" s="62"/>
      <c r="H920" s="62"/>
      <c r="I920" s="57"/>
      <c r="J920" s="63" t="s">
        <v>1</v>
      </c>
      <c r="K920" s="64"/>
      <c r="L920" s="65"/>
      <c r="M920" s="57"/>
      <c r="N920" s="100"/>
      <c r="O920" s="101" t="s">
        <v>61</v>
      </c>
      <c r="P920" s="101"/>
      <c r="Q920" s="101"/>
      <c r="R920" s="101">
        <v>0</v>
      </c>
      <c r="S920" s="102"/>
      <c r="T920" s="101" t="s">
        <v>61</v>
      </c>
      <c r="U920" s="103"/>
      <c r="V920" s="103"/>
      <c r="W920" s="103">
        <f>V920+U920</f>
        <v>0</v>
      </c>
      <c r="X920" s="103"/>
      <c r="Y920" s="103">
        <f>W920-X920</f>
        <v>0</v>
      </c>
      <c r="Z920" s="99"/>
      <c r="AA920" s="57"/>
    </row>
    <row r="921" spans="1:27" s="55" customFormat="1" ht="21" customHeight="1" x14ac:dyDescent="0.25">
      <c r="A921" s="56"/>
      <c r="B921" s="57" t="s">
        <v>0</v>
      </c>
      <c r="C921" s="112"/>
      <c r="D921" s="57"/>
      <c r="E921" s="57"/>
      <c r="F921" s="57"/>
      <c r="G921" s="57"/>
      <c r="H921" s="68"/>
      <c r="I921" s="62"/>
      <c r="J921" s="57"/>
      <c r="K921" s="57"/>
      <c r="L921" s="69"/>
      <c r="M921" s="144"/>
      <c r="N921" s="104"/>
      <c r="O921" s="101" t="s">
        <v>87</v>
      </c>
      <c r="P921" s="101"/>
      <c r="Q921" s="101"/>
      <c r="R921" s="101">
        <v>0</v>
      </c>
      <c r="S921" s="105"/>
      <c r="T921" s="101" t="s">
        <v>87</v>
      </c>
      <c r="U921" s="177">
        <f>Y920</f>
        <v>0</v>
      </c>
      <c r="V921" s="103"/>
      <c r="W921" s="177">
        <f>IF(U921="","",U921+V921)</f>
        <v>0</v>
      </c>
      <c r="X921" s="103"/>
      <c r="Y921" s="177">
        <f>IF(W921="","",W921-X921)</f>
        <v>0</v>
      </c>
      <c r="Z921" s="106"/>
      <c r="AA921" s="144"/>
    </row>
    <row r="922" spans="1:27" s="55" customFormat="1" ht="21" customHeight="1" x14ac:dyDescent="0.25">
      <c r="A922" s="56"/>
      <c r="B922" s="71" t="s">
        <v>57</v>
      </c>
      <c r="C922" s="72"/>
      <c r="D922" s="57"/>
      <c r="E922" s="57"/>
      <c r="F922" s="290" t="s">
        <v>59</v>
      </c>
      <c r="G922" s="290"/>
      <c r="H922" s="57"/>
      <c r="I922" s="290" t="s">
        <v>60</v>
      </c>
      <c r="J922" s="290"/>
      <c r="K922" s="290"/>
      <c r="L922" s="73"/>
      <c r="M922" s="57"/>
      <c r="N922" s="100"/>
      <c r="O922" s="101" t="s">
        <v>62</v>
      </c>
      <c r="P922" s="101"/>
      <c r="Q922" s="101"/>
      <c r="R922" s="101">
        <v>0</v>
      </c>
      <c r="S922" s="105"/>
      <c r="T922" s="101" t="s">
        <v>62</v>
      </c>
      <c r="U922" s="177">
        <f>IF($J$1="April",Y921,Y921)</f>
        <v>0</v>
      </c>
      <c r="V922" s="103"/>
      <c r="W922" s="177">
        <f t="shared" ref="W922:W931" si="166">IF(U922="","",U922+V922)</f>
        <v>0</v>
      </c>
      <c r="X922" s="103"/>
      <c r="Y922" s="177">
        <f t="shared" ref="Y922:Y931" si="167">IF(W922="","",W922-X922)</f>
        <v>0</v>
      </c>
      <c r="Z922" s="106"/>
      <c r="AA922" s="57"/>
    </row>
    <row r="923" spans="1:27" s="55" customFormat="1" ht="21" customHeight="1" x14ac:dyDescent="0.25">
      <c r="A923" s="56"/>
      <c r="B923" s="57"/>
      <c r="C923" s="57"/>
      <c r="D923" s="57"/>
      <c r="E923" s="57"/>
      <c r="F923" s="57"/>
      <c r="G923" s="57"/>
      <c r="H923" s="74"/>
      <c r="L923" s="61"/>
      <c r="M923" s="57"/>
      <c r="N923" s="100"/>
      <c r="O923" s="101" t="s">
        <v>63</v>
      </c>
      <c r="P923" s="101"/>
      <c r="Q923" s="101"/>
      <c r="R923" s="101">
        <v>0</v>
      </c>
      <c r="S923" s="105"/>
      <c r="T923" s="101" t="s">
        <v>63</v>
      </c>
      <c r="U923" s="177">
        <f>IF($J$1="April",Y922,Y922)</f>
        <v>0</v>
      </c>
      <c r="V923" s="103"/>
      <c r="W923" s="177">
        <f t="shared" si="166"/>
        <v>0</v>
      </c>
      <c r="X923" s="103"/>
      <c r="Y923" s="177">
        <f t="shared" si="167"/>
        <v>0</v>
      </c>
      <c r="Z923" s="106"/>
      <c r="AA923" s="57"/>
    </row>
    <row r="924" spans="1:27" s="55" customFormat="1" ht="21" customHeight="1" x14ac:dyDescent="0.25">
      <c r="A924" s="56"/>
      <c r="B924" s="291" t="s">
        <v>58</v>
      </c>
      <c r="C924" s="292"/>
      <c r="D924" s="57"/>
      <c r="E924" s="57"/>
      <c r="F924" s="75" t="s">
        <v>80</v>
      </c>
      <c r="G924" s="70">
        <f>IF($J$1="January",U920,IF($J$1="February",U921,IF($J$1="March",U922,IF($J$1="April",U923,IF($J$1="May",U924,IF($J$1="June",U925,IF($J$1="July",U926,IF($J$1="August",U927,IF($J$1="August",U927,IF($J$1="September",U928,IF($J$1="October",U929,IF($J$1="November",U930,IF($J$1="December",U931)))))))))))))</f>
        <v>0</v>
      </c>
      <c r="H924" s="74"/>
      <c r="I924" s="76"/>
      <c r="J924" s="77" t="s">
        <v>77</v>
      </c>
      <c r="K924" s="78">
        <f>K920/$K$2*I924</f>
        <v>0</v>
      </c>
      <c r="L924" s="79"/>
      <c r="M924" s="57"/>
      <c r="N924" s="100"/>
      <c r="O924" s="101" t="s">
        <v>64</v>
      </c>
      <c r="P924" s="101"/>
      <c r="Q924" s="101"/>
      <c r="R924" s="101" t="str">
        <f t="shared" ref="R924:R931" si="168">IF(Q924="","",R923-Q924)</f>
        <v/>
      </c>
      <c r="S924" s="105"/>
      <c r="T924" s="101" t="s">
        <v>64</v>
      </c>
      <c r="U924" s="177">
        <f>IF($J$1="May",Y923,Y923)</f>
        <v>0</v>
      </c>
      <c r="V924" s="103"/>
      <c r="W924" s="177">
        <f t="shared" si="166"/>
        <v>0</v>
      </c>
      <c r="X924" s="103"/>
      <c r="Y924" s="177">
        <f t="shared" si="167"/>
        <v>0</v>
      </c>
      <c r="Z924" s="106"/>
      <c r="AA924" s="57"/>
    </row>
    <row r="925" spans="1:27" s="55" customFormat="1" ht="21" customHeight="1" x14ac:dyDescent="0.25">
      <c r="A925" s="56"/>
      <c r="B925" s="66"/>
      <c r="C925" s="66"/>
      <c r="D925" s="57"/>
      <c r="E925" s="57"/>
      <c r="F925" s="75" t="s">
        <v>29</v>
      </c>
      <c r="G925" s="70">
        <f>IF($J$1="January",V920,IF($J$1="February",V921,IF($J$1="March",V922,IF($J$1="April",V923,IF($J$1="May",V924,IF($J$1="June",V925,IF($J$1="July",V926,IF($J$1="August",V927,IF($J$1="August",V927,IF($J$1="September",V928,IF($J$1="October",V929,IF($J$1="November",V930,IF($J$1="December",V931)))))))))))))</f>
        <v>0</v>
      </c>
      <c r="H925" s="74"/>
      <c r="I925" s="120"/>
      <c r="J925" s="77" t="s">
        <v>78</v>
      </c>
      <c r="K925" s="80">
        <f>K920/$K$2/8*I925</f>
        <v>0</v>
      </c>
      <c r="L925" s="81"/>
      <c r="M925" s="57"/>
      <c r="N925" s="100"/>
      <c r="O925" s="101" t="s">
        <v>65</v>
      </c>
      <c r="P925" s="101"/>
      <c r="Q925" s="101"/>
      <c r="R925" s="101" t="str">
        <f t="shared" si="168"/>
        <v/>
      </c>
      <c r="S925" s="105"/>
      <c r="T925" s="101" t="s">
        <v>65</v>
      </c>
      <c r="U925" s="177">
        <f>IF($J$1="May",Y924,Y924)</f>
        <v>0</v>
      </c>
      <c r="V925" s="103"/>
      <c r="W925" s="177">
        <f t="shared" si="166"/>
        <v>0</v>
      </c>
      <c r="X925" s="103"/>
      <c r="Y925" s="177">
        <f t="shared" si="167"/>
        <v>0</v>
      </c>
      <c r="Z925" s="106"/>
      <c r="AA925" s="57"/>
    </row>
    <row r="926" spans="1:27" s="55" customFormat="1" ht="21" customHeight="1" x14ac:dyDescent="0.25">
      <c r="A926" s="56"/>
      <c r="B926" s="75" t="s">
        <v>7</v>
      </c>
      <c r="C926" s="66">
        <f>IF($J$1="January",P920,IF($J$1="February",P921,IF($J$1="March",P922,IF($J$1="April",P923,IF($J$1="May",P924,IF($J$1="June",P925,IF($J$1="July",P926,IF($J$1="August",P927,IF($J$1="August",P927,IF($J$1="September",P928,IF($J$1="October",P929,IF($J$1="November",P930,IF($J$1="December",P931)))))))))))))</f>
        <v>0</v>
      </c>
      <c r="D926" s="57"/>
      <c r="E926" s="57"/>
      <c r="F926" s="75" t="s">
        <v>81</v>
      </c>
      <c r="G926" s="70">
        <f>IF($J$1="January",W920,IF($J$1="February",W921,IF($J$1="March",W922,IF($J$1="April",W923,IF($J$1="May",W924,IF($J$1="June",W925,IF($J$1="July",W926,IF($J$1="August",W927,IF($J$1="August",W927,IF($J$1="September",W928,IF($J$1="October",W929,IF($J$1="November",W930,IF($J$1="December",W931)))))))))))))</f>
        <v>0</v>
      </c>
      <c r="H926" s="74"/>
      <c r="I926" s="293" t="s">
        <v>85</v>
      </c>
      <c r="J926" s="294"/>
      <c r="K926" s="80">
        <f>K924+K925</f>
        <v>0</v>
      </c>
      <c r="L926" s="81"/>
      <c r="M926" s="57"/>
      <c r="N926" s="100"/>
      <c r="O926" s="101" t="s">
        <v>66</v>
      </c>
      <c r="P926" s="101"/>
      <c r="Q926" s="101"/>
      <c r="R926" s="101" t="str">
        <f t="shared" si="168"/>
        <v/>
      </c>
      <c r="S926" s="105"/>
      <c r="T926" s="101" t="s">
        <v>66</v>
      </c>
      <c r="U926" s="177" t="str">
        <f>IF($J$1="July",Y925,"")</f>
        <v/>
      </c>
      <c r="V926" s="103"/>
      <c r="W926" s="177" t="str">
        <f t="shared" si="166"/>
        <v/>
      </c>
      <c r="X926" s="103"/>
      <c r="Y926" s="177" t="str">
        <f t="shared" si="167"/>
        <v/>
      </c>
      <c r="Z926" s="106"/>
      <c r="AA926" s="57"/>
    </row>
    <row r="927" spans="1:27" s="55" customFormat="1" ht="21" customHeight="1" x14ac:dyDescent="0.25">
      <c r="A927" s="56"/>
      <c r="B927" s="75" t="s">
        <v>6</v>
      </c>
      <c r="C927" s="66">
        <f>IF($J$1="January",Q920,IF($J$1="February",Q921,IF($J$1="March",Q922,IF($J$1="April",Q923,IF($J$1="May",Q924,IF($J$1="June",Q925,IF($J$1="July",Q926,IF($J$1="August",Q927,IF($J$1="August",Q927,IF($J$1="September",Q928,IF($J$1="October",Q929,IF($J$1="November",Q930,IF($J$1="December",Q931)))))))))))))</f>
        <v>0</v>
      </c>
      <c r="D927" s="57"/>
      <c r="E927" s="57"/>
      <c r="F927" s="75" t="s">
        <v>30</v>
      </c>
      <c r="G927" s="70">
        <f>IF($J$1="January",X920,IF($J$1="February",X921,IF($J$1="March",X922,IF($J$1="April",X923,IF($J$1="May",X924,IF($J$1="June",X925,IF($J$1="July",X926,IF($J$1="August",X927,IF($J$1="August",X927,IF($J$1="September",X928,IF($J$1="October",X929,IF($J$1="November",X930,IF($J$1="December",X931)))))))))))))</f>
        <v>0</v>
      </c>
      <c r="H927" s="74"/>
      <c r="I927" s="293" t="s">
        <v>86</v>
      </c>
      <c r="J927" s="294"/>
      <c r="K927" s="70">
        <f>G927</f>
        <v>0</v>
      </c>
      <c r="L927" s="82"/>
      <c r="M927" s="57"/>
      <c r="N927" s="100"/>
      <c r="O927" s="101" t="s">
        <v>67</v>
      </c>
      <c r="P927" s="101"/>
      <c r="Q927" s="101"/>
      <c r="R927" s="101" t="str">
        <f t="shared" si="168"/>
        <v/>
      </c>
      <c r="S927" s="105"/>
      <c r="T927" s="101" t="s">
        <v>67</v>
      </c>
      <c r="U927" s="177" t="str">
        <f>IF($J$1="August",Y926,"")</f>
        <v/>
      </c>
      <c r="V927" s="103"/>
      <c r="W927" s="177" t="str">
        <f t="shared" si="166"/>
        <v/>
      </c>
      <c r="X927" s="103"/>
      <c r="Y927" s="177" t="str">
        <f t="shared" si="167"/>
        <v/>
      </c>
      <c r="Z927" s="106"/>
      <c r="AA927" s="57"/>
    </row>
    <row r="928" spans="1:27" s="55" customFormat="1" ht="21" customHeight="1" x14ac:dyDescent="0.25">
      <c r="A928" s="56"/>
      <c r="B928" s="83" t="s">
        <v>84</v>
      </c>
      <c r="C928" s="66" t="str">
        <f>IF($J$1="January",R920,IF($J$1="February",R921,IF($J$1="March",R922,IF($J$1="April",R923,IF($J$1="May",R924,IF($J$1="June",R925,IF($J$1="July",R926,IF($J$1="August",R927,IF($J$1="August",R927,IF($J$1="September",R928,IF($J$1="October",R929,IF($J$1="November",R930,IF($J$1="December",R931)))))))))))))</f>
        <v/>
      </c>
      <c r="D928" s="57"/>
      <c r="E928" s="57"/>
      <c r="F928" s="75" t="s">
        <v>83</v>
      </c>
      <c r="G928" s="70">
        <f>IF($J$1="January",Y920,IF($J$1="February",Y921,IF($J$1="March",Y922,IF($J$1="April",Y923,IF($J$1="May",Y924,IF($J$1="June",Y925,IF($J$1="July",Y926,IF($J$1="August",Y927,IF($J$1="August",Y927,IF($J$1="September",Y928,IF($J$1="October",Y929,IF($J$1="November",Y930,IF($J$1="December",Y931)))))))))))))</f>
        <v>0</v>
      </c>
      <c r="H928" s="57"/>
      <c r="I928" s="295" t="s">
        <v>79</v>
      </c>
      <c r="J928" s="296"/>
      <c r="K928" s="84">
        <f>K926-K927</f>
        <v>0</v>
      </c>
      <c r="L928" s="85"/>
      <c r="M928" s="57"/>
      <c r="N928" s="100"/>
      <c r="O928" s="101" t="s">
        <v>72</v>
      </c>
      <c r="P928" s="101"/>
      <c r="Q928" s="101"/>
      <c r="R928" s="101" t="str">
        <f t="shared" si="168"/>
        <v/>
      </c>
      <c r="S928" s="105"/>
      <c r="T928" s="101" t="s">
        <v>72</v>
      </c>
      <c r="U928" s="177" t="str">
        <f>IF($J$1="Sept",Y927,"")</f>
        <v/>
      </c>
      <c r="V928" s="103"/>
      <c r="W928" s="177" t="str">
        <f t="shared" si="166"/>
        <v/>
      </c>
      <c r="X928" s="103"/>
      <c r="Y928" s="177" t="str">
        <f t="shared" si="167"/>
        <v/>
      </c>
      <c r="Z928" s="106"/>
      <c r="AA928" s="57"/>
    </row>
    <row r="929" spans="1:27" s="55" customFormat="1" ht="21" customHeight="1" x14ac:dyDescent="0.25">
      <c r="A929" s="56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73"/>
      <c r="M929" s="57"/>
      <c r="N929" s="100"/>
      <c r="O929" s="101" t="s">
        <v>68</v>
      </c>
      <c r="P929" s="101"/>
      <c r="Q929" s="101"/>
      <c r="R929" s="101" t="str">
        <f t="shared" si="168"/>
        <v/>
      </c>
      <c r="S929" s="105"/>
      <c r="T929" s="101" t="s">
        <v>68</v>
      </c>
      <c r="U929" s="177" t="str">
        <f>IF($J$1="October",Y928,"")</f>
        <v/>
      </c>
      <c r="V929" s="103"/>
      <c r="W929" s="177" t="str">
        <f t="shared" si="166"/>
        <v/>
      </c>
      <c r="X929" s="103"/>
      <c r="Y929" s="177" t="str">
        <f t="shared" si="167"/>
        <v/>
      </c>
      <c r="Z929" s="106"/>
      <c r="AA929" s="57"/>
    </row>
    <row r="930" spans="1:27" s="55" customFormat="1" ht="21" customHeight="1" x14ac:dyDescent="0.25">
      <c r="A930" s="56"/>
      <c r="B930" s="284" t="s">
        <v>116</v>
      </c>
      <c r="C930" s="284"/>
      <c r="D930" s="284"/>
      <c r="E930" s="284"/>
      <c r="F930" s="284"/>
      <c r="G930" s="284"/>
      <c r="H930" s="284"/>
      <c r="I930" s="284"/>
      <c r="J930" s="284"/>
      <c r="K930" s="284"/>
      <c r="L930" s="73"/>
      <c r="M930" s="57"/>
      <c r="N930" s="100"/>
      <c r="O930" s="101" t="s">
        <v>73</v>
      </c>
      <c r="P930" s="101"/>
      <c r="Q930" s="101"/>
      <c r="R930" s="101" t="str">
        <f t="shared" si="168"/>
        <v/>
      </c>
      <c r="S930" s="105"/>
      <c r="T930" s="101" t="s">
        <v>73</v>
      </c>
      <c r="U930" s="177" t="str">
        <f>IF($J$1="November",Y929,"")</f>
        <v/>
      </c>
      <c r="V930" s="103"/>
      <c r="W930" s="177" t="str">
        <f t="shared" si="166"/>
        <v/>
      </c>
      <c r="X930" s="103"/>
      <c r="Y930" s="177" t="str">
        <f t="shared" si="167"/>
        <v/>
      </c>
      <c r="Z930" s="106"/>
      <c r="AA930" s="57"/>
    </row>
    <row r="931" spans="1:27" s="55" customFormat="1" ht="21" customHeight="1" x14ac:dyDescent="0.25">
      <c r="A931" s="56"/>
      <c r="B931" s="284"/>
      <c r="C931" s="284"/>
      <c r="D931" s="284"/>
      <c r="E931" s="284"/>
      <c r="F931" s="284"/>
      <c r="G931" s="284"/>
      <c r="H931" s="284"/>
      <c r="I931" s="284"/>
      <c r="J931" s="284"/>
      <c r="K931" s="284"/>
      <c r="L931" s="73"/>
      <c r="M931" s="57"/>
      <c r="N931" s="100"/>
      <c r="O931" s="101" t="s">
        <v>74</v>
      </c>
      <c r="P931" s="101"/>
      <c r="Q931" s="101"/>
      <c r="R931" s="101" t="str">
        <f t="shared" si="168"/>
        <v/>
      </c>
      <c r="S931" s="105"/>
      <c r="T931" s="101" t="s">
        <v>74</v>
      </c>
      <c r="U931" s="177" t="str">
        <f>IF($J$1="Dec",Y930,"")</f>
        <v/>
      </c>
      <c r="V931" s="103"/>
      <c r="W931" s="177" t="str">
        <f t="shared" si="166"/>
        <v/>
      </c>
      <c r="X931" s="103"/>
      <c r="Y931" s="177" t="str">
        <f t="shared" si="167"/>
        <v/>
      </c>
      <c r="Z931" s="106"/>
      <c r="AA931" s="57"/>
    </row>
    <row r="932" spans="1:27" s="55" customFormat="1" ht="21" customHeight="1" thickBot="1" x14ac:dyDescent="0.3">
      <c r="A932" s="86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8"/>
      <c r="N932" s="107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9"/>
    </row>
    <row r="933" spans="1:27" s="55" customFormat="1" ht="21" customHeight="1" thickBot="1" x14ac:dyDescent="0.3">
      <c r="A933" s="56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73"/>
      <c r="N933" s="100"/>
      <c r="O933" s="105"/>
      <c r="P933" s="105"/>
      <c r="Q933" s="105"/>
      <c r="R933" s="105"/>
      <c r="S933" s="105"/>
      <c r="T933" s="105"/>
      <c r="U933" s="105"/>
      <c r="V933" s="105"/>
      <c r="W933" s="105"/>
      <c r="X933" s="105"/>
      <c r="Y933" s="105"/>
      <c r="Z933" s="121"/>
    </row>
    <row r="934" spans="1:27" s="55" customFormat="1" ht="21" customHeight="1" x14ac:dyDescent="0.25">
      <c r="A934" s="297" t="s">
        <v>56</v>
      </c>
      <c r="B934" s="298"/>
      <c r="C934" s="298"/>
      <c r="D934" s="298"/>
      <c r="E934" s="298"/>
      <c r="F934" s="298"/>
      <c r="G934" s="298"/>
      <c r="H934" s="298"/>
      <c r="I934" s="298"/>
      <c r="J934" s="298"/>
      <c r="K934" s="298"/>
      <c r="L934" s="299"/>
      <c r="M934" s="54"/>
      <c r="N934" s="93"/>
      <c r="O934" s="285" t="s">
        <v>58</v>
      </c>
      <c r="P934" s="286"/>
      <c r="Q934" s="286"/>
      <c r="R934" s="287"/>
      <c r="S934" s="94"/>
      <c r="T934" s="285" t="s">
        <v>59</v>
      </c>
      <c r="U934" s="286"/>
      <c r="V934" s="286"/>
      <c r="W934" s="286"/>
      <c r="X934" s="286"/>
      <c r="Y934" s="287"/>
      <c r="Z934" s="95"/>
      <c r="AA934" s="54"/>
    </row>
    <row r="935" spans="1:27" s="55" customFormat="1" ht="21" customHeight="1" x14ac:dyDescent="0.25">
      <c r="A935" s="56"/>
      <c r="B935" s="57"/>
      <c r="C935" s="288" t="s">
        <v>114</v>
      </c>
      <c r="D935" s="288"/>
      <c r="E935" s="288"/>
      <c r="F935" s="288"/>
      <c r="G935" s="58" t="str">
        <f>$J$1</f>
        <v>June</v>
      </c>
      <c r="H935" s="289">
        <f>$K$1</f>
        <v>2019</v>
      </c>
      <c r="I935" s="289"/>
      <c r="J935" s="57"/>
      <c r="K935" s="59"/>
      <c r="L935" s="60"/>
      <c r="M935" s="59"/>
      <c r="N935" s="96"/>
      <c r="O935" s="97" t="s">
        <v>69</v>
      </c>
      <c r="P935" s="97" t="s">
        <v>7</v>
      </c>
      <c r="Q935" s="97" t="s">
        <v>6</v>
      </c>
      <c r="R935" s="97" t="s">
        <v>70</v>
      </c>
      <c r="S935" s="98"/>
      <c r="T935" s="97" t="s">
        <v>69</v>
      </c>
      <c r="U935" s="97" t="s">
        <v>71</v>
      </c>
      <c r="V935" s="97" t="s">
        <v>29</v>
      </c>
      <c r="W935" s="97" t="s">
        <v>28</v>
      </c>
      <c r="X935" s="97" t="s">
        <v>30</v>
      </c>
      <c r="Y935" s="97" t="s">
        <v>75</v>
      </c>
      <c r="Z935" s="99"/>
      <c r="AA935" s="59"/>
    </row>
    <row r="936" spans="1:27" s="55" customFormat="1" ht="21" customHeight="1" x14ac:dyDescent="0.25">
      <c r="A936" s="56"/>
      <c r="B936" s="57"/>
      <c r="C936" s="57"/>
      <c r="D936" s="62"/>
      <c r="E936" s="62"/>
      <c r="F936" s="62"/>
      <c r="G936" s="62"/>
      <c r="H936" s="62"/>
      <c r="I936" s="57"/>
      <c r="J936" s="63" t="s">
        <v>1</v>
      </c>
      <c r="K936" s="64">
        <f>12000+1000</f>
        <v>13000</v>
      </c>
      <c r="L936" s="65"/>
      <c r="M936" s="57"/>
      <c r="N936" s="100"/>
      <c r="O936" s="101" t="s">
        <v>61</v>
      </c>
      <c r="P936" s="101">
        <v>8</v>
      </c>
      <c r="Q936" s="101">
        <v>0</v>
      </c>
      <c r="R936" s="101"/>
      <c r="S936" s="102"/>
      <c r="T936" s="101" t="s">
        <v>61</v>
      </c>
      <c r="U936" s="103"/>
      <c r="V936" s="103"/>
      <c r="W936" s="103">
        <f>V936+U936</f>
        <v>0</v>
      </c>
      <c r="X936" s="103"/>
      <c r="Y936" s="103">
        <f>W936-X936</f>
        <v>0</v>
      </c>
      <c r="Z936" s="99"/>
      <c r="AA936" s="57"/>
    </row>
    <row r="937" spans="1:27" s="55" customFormat="1" ht="21" customHeight="1" x14ac:dyDescent="0.25">
      <c r="A937" s="56"/>
      <c r="B937" s="57" t="s">
        <v>0</v>
      </c>
      <c r="C937" s="67" t="s">
        <v>169</v>
      </c>
      <c r="D937" s="57"/>
      <c r="E937" s="57"/>
      <c r="F937" s="57"/>
      <c r="G937" s="57"/>
      <c r="H937" s="68"/>
      <c r="I937" s="62"/>
      <c r="J937" s="57"/>
      <c r="K937" s="57"/>
      <c r="L937" s="69"/>
      <c r="M937" s="54"/>
      <c r="N937" s="104"/>
      <c r="O937" s="101" t="s">
        <v>87</v>
      </c>
      <c r="P937" s="101">
        <v>28</v>
      </c>
      <c r="Q937" s="101">
        <v>0</v>
      </c>
      <c r="R937" s="101">
        <v>0</v>
      </c>
      <c r="S937" s="105"/>
      <c r="T937" s="101" t="s">
        <v>87</v>
      </c>
      <c r="U937" s="177">
        <f>Y936</f>
        <v>0</v>
      </c>
      <c r="V937" s="103"/>
      <c r="W937" s="177">
        <f>IF(U937="","",U937+V937)</f>
        <v>0</v>
      </c>
      <c r="X937" s="103"/>
      <c r="Y937" s="177">
        <f>IF(W937="","",W937-X937)</f>
        <v>0</v>
      </c>
      <c r="Z937" s="106"/>
      <c r="AA937" s="54"/>
    </row>
    <row r="938" spans="1:27" s="55" customFormat="1" ht="21" customHeight="1" x14ac:dyDescent="0.25">
      <c r="A938" s="56"/>
      <c r="B938" s="71" t="s">
        <v>57</v>
      </c>
      <c r="C938" s="72"/>
      <c r="D938" s="57"/>
      <c r="E938" s="57"/>
      <c r="F938" s="290" t="s">
        <v>59</v>
      </c>
      <c r="G938" s="290"/>
      <c r="H938" s="57"/>
      <c r="I938" s="290" t="s">
        <v>60</v>
      </c>
      <c r="J938" s="290"/>
      <c r="K938" s="290"/>
      <c r="L938" s="73"/>
      <c r="M938" s="57"/>
      <c r="N938" s="100"/>
      <c r="O938" s="101" t="s">
        <v>62</v>
      </c>
      <c r="P938" s="101">
        <v>31</v>
      </c>
      <c r="Q938" s="101">
        <v>0</v>
      </c>
      <c r="R938" s="101">
        <f t="shared" ref="R938:R947" si="169">IF(Q938="","",R937-Q938)</f>
        <v>0</v>
      </c>
      <c r="S938" s="105"/>
      <c r="T938" s="101" t="s">
        <v>62</v>
      </c>
      <c r="U938" s="177">
        <f>IF($J$1="April",Y937,Y937)</f>
        <v>0</v>
      </c>
      <c r="V938" s="103"/>
      <c r="W938" s="177">
        <f t="shared" ref="W938:W947" si="170">IF(U938="","",U938+V938)</f>
        <v>0</v>
      </c>
      <c r="X938" s="103"/>
      <c r="Y938" s="177">
        <f t="shared" ref="Y938:Y947" si="171">IF(W938="","",W938-X938)</f>
        <v>0</v>
      </c>
      <c r="Z938" s="106"/>
      <c r="AA938" s="57"/>
    </row>
    <row r="939" spans="1:27" s="55" customFormat="1" ht="21" customHeight="1" x14ac:dyDescent="0.25">
      <c r="A939" s="56"/>
      <c r="B939" s="57"/>
      <c r="C939" s="57"/>
      <c r="D939" s="57"/>
      <c r="E939" s="57"/>
      <c r="F939" s="57"/>
      <c r="G939" s="57"/>
      <c r="H939" s="74"/>
      <c r="L939" s="61"/>
      <c r="M939" s="57"/>
      <c r="N939" s="100"/>
      <c r="O939" s="101" t="s">
        <v>63</v>
      </c>
      <c r="P939" s="101">
        <v>30</v>
      </c>
      <c r="Q939" s="101">
        <v>0</v>
      </c>
      <c r="R939" s="101">
        <f t="shared" si="169"/>
        <v>0</v>
      </c>
      <c r="S939" s="105"/>
      <c r="T939" s="101" t="s">
        <v>63</v>
      </c>
      <c r="U939" s="177">
        <f>IF($J$1="April",Y938,Y938)</f>
        <v>0</v>
      </c>
      <c r="V939" s="103"/>
      <c r="W939" s="177">
        <f t="shared" si="170"/>
        <v>0</v>
      </c>
      <c r="X939" s="103"/>
      <c r="Y939" s="177">
        <f t="shared" si="171"/>
        <v>0</v>
      </c>
      <c r="Z939" s="106"/>
      <c r="AA939" s="57"/>
    </row>
    <row r="940" spans="1:27" s="55" customFormat="1" ht="21" customHeight="1" x14ac:dyDescent="0.25">
      <c r="A940" s="56"/>
      <c r="B940" s="291" t="s">
        <v>58</v>
      </c>
      <c r="C940" s="292"/>
      <c r="D940" s="57"/>
      <c r="E940" s="57"/>
      <c r="F940" s="75" t="s">
        <v>80</v>
      </c>
      <c r="G940" s="70">
        <f>IF($J$1="January",U936,IF($J$1="February",U937,IF($J$1="March",U938,IF($J$1="April",U939,IF($J$1="May",U940,IF($J$1="June",U941,IF($J$1="July",U942,IF($J$1="August",U943,IF($J$1="August",U943,IF($J$1="September",U944,IF($J$1="October",U945,IF($J$1="November",U946,IF($J$1="December",U947)))))))))))))</f>
        <v>0</v>
      </c>
      <c r="H940" s="74"/>
      <c r="I940" s="76">
        <f>IF(C944&gt;0,$K$2,C942)</f>
        <v>29</v>
      </c>
      <c r="J940" s="77" t="s">
        <v>77</v>
      </c>
      <c r="K940" s="78">
        <f>K936/$K$2*I940</f>
        <v>12566.666666666666</v>
      </c>
      <c r="L940" s="79"/>
      <c r="M940" s="57"/>
      <c r="N940" s="100"/>
      <c r="O940" s="101" t="s">
        <v>64</v>
      </c>
      <c r="P940" s="101">
        <v>31</v>
      </c>
      <c r="Q940" s="101">
        <v>0</v>
      </c>
      <c r="R940" s="101">
        <f t="shared" si="169"/>
        <v>0</v>
      </c>
      <c r="S940" s="105"/>
      <c r="T940" s="101" t="s">
        <v>64</v>
      </c>
      <c r="U940" s="177">
        <f>IF($J$1="May",Y939,Y939)</f>
        <v>0</v>
      </c>
      <c r="V940" s="103"/>
      <c r="W940" s="177">
        <f t="shared" si="170"/>
        <v>0</v>
      </c>
      <c r="X940" s="103"/>
      <c r="Y940" s="177">
        <f t="shared" si="171"/>
        <v>0</v>
      </c>
      <c r="Z940" s="106"/>
      <c r="AA940" s="57"/>
    </row>
    <row r="941" spans="1:27" s="55" customFormat="1" ht="21" customHeight="1" x14ac:dyDescent="0.25">
      <c r="A941" s="56"/>
      <c r="B941" s="66"/>
      <c r="C941" s="66"/>
      <c r="D941" s="57"/>
      <c r="E941" s="57"/>
      <c r="F941" s="75" t="s">
        <v>29</v>
      </c>
      <c r="G941" s="70">
        <f>IF($J$1="January",V936,IF($J$1="February",V937,IF($J$1="March",V938,IF($J$1="April",V939,IF($J$1="May",V940,IF($J$1="June",V941,IF($J$1="July",V942,IF($J$1="August",V943,IF($J$1="August",V943,IF($J$1="September",V944,IF($J$1="October",V945,IF($J$1="November",V946,IF($J$1="December",V947)))))))))))))</f>
        <v>0</v>
      </c>
      <c r="H941" s="74"/>
      <c r="I941" s="120">
        <v>9</v>
      </c>
      <c r="J941" s="77" t="s">
        <v>78</v>
      </c>
      <c r="K941" s="80">
        <f>K936/$K$2/8*I941</f>
        <v>487.5</v>
      </c>
      <c r="L941" s="81"/>
      <c r="M941" s="57"/>
      <c r="N941" s="100"/>
      <c r="O941" s="101" t="s">
        <v>65</v>
      </c>
      <c r="P941" s="101">
        <v>29</v>
      </c>
      <c r="Q941" s="101">
        <v>1</v>
      </c>
      <c r="R941" s="101">
        <f t="shared" si="169"/>
        <v>-1</v>
      </c>
      <c r="S941" s="105"/>
      <c r="T941" s="101" t="s">
        <v>65</v>
      </c>
      <c r="U941" s="177">
        <f>IF($J$1="May",Y940,Y940)</f>
        <v>0</v>
      </c>
      <c r="V941" s="103"/>
      <c r="W941" s="177">
        <f t="shared" si="170"/>
        <v>0</v>
      </c>
      <c r="X941" s="103"/>
      <c r="Y941" s="177">
        <f t="shared" si="171"/>
        <v>0</v>
      </c>
      <c r="Z941" s="106"/>
      <c r="AA941" s="57"/>
    </row>
    <row r="942" spans="1:27" s="55" customFormat="1" ht="21" customHeight="1" x14ac:dyDescent="0.25">
      <c r="A942" s="56"/>
      <c r="B942" s="75" t="s">
        <v>7</v>
      </c>
      <c r="C942" s="66">
        <f>IF($J$1="January",P936,IF($J$1="February",P937,IF($J$1="March",P938,IF($J$1="April",P939,IF($J$1="May",P940,IF($J$1="June",P941,IF($J$1="July",P942,IF($J$1="August",P943,IF($J$1="August",P943,IF($J$1="September",P944,IF($J$1="October",P945,IF($J$1="November",P946,IF($J$1="December",P947)))))))))))))</f>
        <v>29</v>
      </c>
      <c r="D942" s="57"/>
      <c r="E942" s="57"/>
      <c r="F942" s="75" t="s">
        <v>81</v>
      </c>
      <c r="G942" s="70">
        <f>IF($J$1="January",W936,IF($J$1="February",W937,IF($J$1="March",W938,IF($J$1="April",W939,IF($J$1="May",W940,IF($J$1="June",W941,IF($J$1="July",W942,IF($J$1="August",W943,IF($J$1="August",W943,IF($J$1="September",W944,IF($J$1="October",W945,IF($J$1="November",W946,IF($J$1="December",W947)))))))))))))</f>
        <v>0</v>
      </c>
      <c r="H942" s="74"/>
      <c r="I942" s="293" t="s">
        <v>85</v>
      </c>
      <c r="J942" s="294"/>
      <c r="K942" s="80">
        <f>K940+K941</f>
        <v>13054.166666666666</v>
      </c>
      <c r="L942" s="81"/>
      <c r="M942" s="57"/>
      <c r="N942" s="100"/>
      <c r="O942" s="101" t="s">
        <v>66</v>
      </c>
      <c r="P942" s="101"/>
      <c r="Q942" s="101"/>
      <c r="R942" s="101">
        <v>0</v>
      </c>
      <c r="S942" s="105"/>
      <c r="T942" s="101" t="s">
        <v>66</v>
      </c>
      <c r="U942" s="177" t="str">
        <f>IF($J$1="July",Y941,"")</f>
        <v/>
      </c>
      <c r="V942" s="103"/>
      <c r="W942" s="177" t="str">
        <f t="shared" si="170"/>
        <v/>
      </c>
      <c r="X942" s="103"/>
      <c r="Y942" s="177" t="str">
        <f t="shared" si="171"/>
        <v/>
      </c>
      <c r="Z942" s="106"/>
      <c r="AA942" s="57"/>
    </row>
    <row r="943" spans="1:27" s="55" customFormat="1" ht="21" customHeight="1" x14ac:dyDescent="0.25">
      <c r="A943" s="56"/>
      <c r="B943" s="75" t="s">
        <v>6</v>
      </c>
      <c r="C943" s="66">
        <f>IF($J$1="January",Q936,IF($J$1="February",Q937,IF($J$1="March",Q938,IF($J$1="April",Q939,IF($J$1="May",Q940,IF($J$1="June",Q941,IF($J$1="July",Q942,IF($J$1="August",Q943,IF($J$1="August",Q943,IF($J$1="September",Q944,IF($J$1="October",Q945,IF($J$1="November",Q946,IF($J$1="December",Q947)))))))))))))</f>
        <v>1</v>
      </c>
      <c r="D943" s="57"/>
      <c r="E943" s="57"/>
      <c r="F943" s="75" t="s">
        <v>30</v>
      </c>
      <c r="G943" s="70">
        <f>IF($J$1="January",X936,IF($J$1="February",X937,IF($J$1="March",X938,IF($J$1="April",X939,IF($J$1="May",X940,IF($J$1="June",X941,IF($J$1="July",X942,IF($J$1="August",X943,IF($J$1="August",X943,IF($J$1="September",X944,IF($J$1="October",X945,IF($J$1="November",X946,IF($J$1="December",X947)))))))))))))</f>
        <v>0</v>
      </c>
      <c r="H943" s="74"/>
      <c r="I943" s="293" t="s">
        <v>86</v>
      </c>
      <c r="J943" s="294"/>
      <c r="K943" s="70">
        <f>G943</f>
        <v>0</v>
      </c>
      <c r="L943" s="82"/>
      <c r="M943" s="57"/>
      <c r="N943" s="100"/>
      <c r="O943" s="101" t="s">
        <v>67</v>
      </c>
      <c r="P943" s="101"/>
      <c r="Q943" s="101"/>
      <c r="R943" s="101">
        <v>0</v>
      </c>
      <c r="S943" s="105"/>
      <c r="T943" s="101" t="s">
        <v>67</v>
      </c>
      <c r="U943" s="177" t="str">
        <f>IF($J$1="August",Y942,"")</f>
        <v/>
      </c>
      <c r="V943" s="103"/>
      <c r="W943" s="177" t="str">
        <f t="shared" si="170"/>
        <v/>
      </c>
      <c r="X943" s="103"/>
      <c r="Y943" s="177" t="str">
        <f t="shared" si="171"/>
        <v/>
      </c>
      <c r="Z943" s="106"/>
      <c r="AA943" s="57"/>
    </row>
    <row r="944" spans="1:27" s="55" customFormat="1" ht="21" customHeight="1" x14ac:dyDescent="0.25">
      <c r="A944" s="56"/>
      <c r="B944" s="83" t="s">
        <v>84</v>
      </c>
      <c r="C944" s="66">
        <f>IF($J$1="January",R936,IF($J$1="February",R937,IF($J$1="March",R938,IF($J$1="April",R939,IF($J$1="May",R940,IF($J$1="June",R941,IF($J$1="July",R942,IF($J$1="August",R943,IF($J$1="August",R943,IF($J$1="September",R944,IF($J$1="October",R945,IF($J$1="November",R946,IF($J$1="December",R947)))))))))))))</f>
        <v>-1</v>
      </c>
      <c r="D944" s="57"/>
      <c r="E944" s="57"/>
      <c r="F944" s="75" t="s">
        <v>83</v>
      </c>
      <c r="G944" s="70">
        <f>IF($J$1="January",Y936,IF($J$1="February",Y937,IF($J$1="March",Y938,IF($J$1="April",Y939,IF($J$1="May",Y940,IF($J$1="June",Y941,IF($J$1="July",Y942,IF($J$1="August",Y943,IF($J$1="August",Y943,IF($J$1="September",Y944,IF($J$1="October",Y945,IF($J$1="November",Y946,IF($J$1="December",Y947)))))))))))))</f>
        <v>0</v>
      </c>
      <c r="H944" s="57"/>
      <c r="I944" s="295" t="s">
        <v>79</v>
      </c>
      <c r="J944" s="296"/>
      <c r="K944" s="84">
        <f>K942-K943</f>
        <v>13054.166666666666</v>
      </c>
      <c r="L944" s="85"/>
      <c r="M944" s="57"/>
      <c r="N944" s="100"/>
      <c r="O944" s="101" t="s">
        <v>72</v>
      </c>
      <c r="P944" s="101"/>
      <c r="Q944" s="101"/>
      <c r="R944" s="101" t="str">
        <f t="shared" si="169"/>
        <v/>
      </c>
      <c r="S944" s="105"/>
      <c r="T944" s="101" t="s">
        <v>72</v>
      </c>
      <c r="U944" s="177" t="str">
        <f>IF($J$1="Sept",Y943,"")</f>
        <v/>
      </c>
      <c r="V944" s="103"/>
      <c r="W944" s="177" t="str">
        <f t="shared" si="170"/>
        <v/>
      </c>
      <c r="X944" s="103"/>
      <c r="Y944" s="177" t="str">
        <f t="shared" si="171"/>
        <v/>
      </c>
      <c r="Z944" s="106"/>
      <c r="AA944" s="57"/>
    </row>
    <row r="945" spans="1:27" s="55" customFormat="1" ht="21" customHeight="1" x14ac:dyDescent="0.25">
      <c r="A945" s="56"/>
      <c r="B945" s="57"/>
      <c r="C945" s="57"/>
      <c r="D945" s="57"/>
      <c r="E945" s="57"/>
      <c r="F945" s="57"/>
      <c r="G945" s="57"/>
      <c r="H945" s="57"/>
      <c r="I945" s="57"/>
      <c r="J945" s="194"/>
      <c r="K945" s="57"/>
      <c r="L945" s="73"/>
      <c r="M945" s="57"/>
      <c r="N945" s="100"/>
      <c r="O945" s="101" t="s">
        <v>68</v>
      </c>
      <c r="P945" s="101"/>
      <c r="Q945" s="101"/>
      <c r="R945" s="101" t="str">
        <f t="shared" si="169"/>
        <v/>
      </c>
      <c r="S945" s="105"/>
      <c r="T945" s="101" t="s">
        <v>68</v>
      </c>
      <c r="U945" s="177" t="str">
        <f>IF($J$1="October",Y944,"")</f>
        <v/>
      </c>
      <c r="V945" s="103"/>
      <c r="W945" s="177" t="str">
        <f t="shared" si="170"/>
        <v/>
      </c>
      <c r="X945" s="103"/>
      <c r="Y945" s="177" t="str">
        <f t="shared" si="171"/>
        <v/>
      </c>
      <c r="Z945" s="106"/>
      <c r="AA945" s="57"/>
    </row>
    <row r="946" spans="1:27" s="55" customFormat="1" ht="21" customHeight="1" x14ac:dyDescent="0.25">
      <c r="A946" s="56"/>
      <c r="B946" s="284" t="s">
        <v>116</v>
      </c>
      <c r="C946" s="284"/>
      <c r="D946" s="284"/>
      <c r="E946" s="284"/>
      <c r="F946" s="284"/>
      <c r="G946" s="284"/>
      <c r="H946" s="284"/>
      <c r="I946" s="284"/>
      <c r="J946" s="284"/>
      <c r="K946" s="284"/>
      <c r="L946" s="73"/>
      <c r="M946" s="57"/>
      <c r="N946" s="100"/>
      <c r="O946" s="101" t="s">
        <v>73</v>
      </c>
      <c r="P946" s="101"/>
      <c r="Q946" s="101"/>
      <c r="R946" s="101" t="str">
        <f t="shared" si="169"/>
        <v/>
      </c>
      <c r="S946" s="105"/>
      <c r="T946" s="101" t="s">
        <v>73</v>
      </c>
      <c r="U946" s="177" t="str">
        <f>IF($J$1="November",Y945,"")</f>
        <v/>
      </c>
      <c r="V946" s="103"/>
      <c r="W946" s="177" t="str">
        <f t="shared" si="170"/>
        <v/>
      </c>
      <c r="X946" s="103"/>
      <c r="Y946" s="177" t="str">
        <f t="shared" si="171"/>
        <v/>
      </c>
      <c r="Z946" s="106"/>
      <c r="AA946" s="57"/>
    </row>
    <row r="947" spans="1:27" s="55" customFormat="1" ht="21" customHeight="1" x14ac:dyDescent="0.25">
      <c r="A947" s="56"/>
      <c r="B947" s="284"/>
      <c r="C947" s="284"/>
      <c r="D947" s="284"/>
      <c r="E947" s="284"/>
      <c r="F947" s="284"/>
      <c r="G947" s="284"/>
      <c r="H947" s="284"/>
      <c r="I947" s="284"/>
      <c r="J947" s="284"/>
      <c r="K947" s="284"/>
      <c r="L947" s="73"/>
      <c r="M947" s="57"/>
      <c r="N947" s="100"/>
      <c r="O947" s="101" t="s">
        <v>74</v>
      </c>
      <c r="P947" s="101"/>
      <c r="Q947" s="101"/>
      <c r="R947" s="101" t="str">
        <f t="shared" si="169"/>
        <v/>
      </c>
      <c r="S947" s="105"/>
      <c r="T947" s="101" t="s">
        <v>74</v>
      </c>
      <c r="U947" s="177" t="str">
        <f>IF($J$1="Dec",Y946,"")</f>
        <v/>
      </c>
      <c r="V947" s="103"/>
      <c r="W947" s="177" t="str">
        <f t="shared" si="170"/>
        <v/>
      </c>
      <c r="X947" s="103"/>
      <c r="Y947" s="177" t="str">
        <f t="shared" si="171"/>
        <v/>
      </c>
      <c r="Z947" s="106"/>
      <c r="AA947" s="57"/>
    </row>
    <row r="948" spans="1:27" s="55" customFormat="1" ht="21" customHeight="1" thickBot="1" x14ac:dyDescent="0.3">
      <c r="A948" s="86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8"/>
      <c r="N948" s="107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9"/>
    </row>
    <row r="949" spans="1:27" s="55" customFormat="1" ht="21" customHeight="1" thickBot="1" x14ac:dyDescent="0.3"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</row>
    <row r="950" spans="1:27" s="55" customFormat="1" ht="21" customHeight="1" x14ac:dyDescent="0.25">
      <c r="A950" s="297" t="s">
        <v>56</v>
      </c>
      <c r="B950" s="298"/>
      <c r="C950" s="298"/>
      <c r="D950" s="298"/>
      <c r="E950" s="298"/>
      <c r="F950" s="298"/>
      <c r="G950" s="298"/>
      <c r="H950" s="298"/>
      <c r="I950" s="298"/>
      <c r="J950" s="298"/>
      <c r="K950" s="298"/>
      <c r="L950" s="299"/>
      <c r="M950" s="54"/>
      <c r="N950" s="93"/>
      <c r="O950" s="285" t="s">
        <v>58</v>
      </c>
      <c r="P950" s="286"/>
      <c r="Q950" s="286"/>
      <c r="R950" s="287"/>
      <c r="S950" s="94"/>
      <c r="T950" s="285" t="s">
        <v>59</v>
      </c>
      <c r="U950" s="286"/>
      <c r="V950" s="286"/>
      <c r="W950" s="286"/>
      <c r="X950" s="286"/>
      <c r="Y950" s="287"/>
      <c r="Z950" s="95"/>
      <c r="AA950" s="54"/>
    </row>
    <row r="951" spans="1:27" s="55" customFormat="1" ht="21" customHeight="1" x14ac:dyDescent="0.25">
      <c r="A951" s="56"/>
      <c r="B951" s="57"/>
      <c r="C951" s="288" t="s">
        <v>114</v>
      </c>
      <c r="D951" s="288"/>
      <c r="E951" s="288"/>
      <c r="F951" s="288"/>
      <c r="G951" s="58" t="str">
        <f>$J$1</f>
        <v>June</v>
      </c>
      <c r="H951" s="289">
        <f>$K$1</f>
        <v>2019</v>
      </c>
      <c r="I951" s="289"/>
      <c r="J951" s="57"/>
      <c r="K951" s="59"/>
      <c r="L951" s="60"/>
      <c r="M951" s="59"/>
      <c r="N951" s="96"/>
      <c r="O951" s="97" t="s">
        <v>69</v>
      </c>
      <c r="P951" s="97" t="s">
        <v>7</v>
      </c>
      <c r="Q951" s="97" t="s">
        <v>6</v>
      </c>
      <c r="R951" s="97" t="s">
        <v>70</v>
      </c>
      <c r="S951" s="98"/>
      <c r="T951" s="97" t="s">
        <v>69</v>
      </c>
      <c r="U951" s="97" t="s">
        <v>71</v>
      </c>
      <c r="V951" s="97" t="s">
        <v>29</v>
      </c>
      <c r="W951" s="97" t="s">
        <v>28</v>
      </c>
      <c r="X951" s="97" t="s">
        <v>30</v>
      </c>
      <c r="Y951" s="97" t="s">
        <v>75</v>
      </c>
      <c r="Z951" s="99"/>
      <c r="AA951" s="59"/>
    </row>
    <row r="952" spans="1:27" s="55" customFormat="1" ht="21" customHeight="1" x14ac:dyDescent="0.25">
      <c r="A952" s="56"/>
      <c r="B952" s="57"/>
      <c r="C952" s="57"/>
      <c r="D952" s="62"/>
      <c r="E952" s="62"/>
      <c r="F952" s="62"/>
      <c r="G952" s="62"/>
      <c r="H952" s="62"/>
      <c r="I952" s="57"/>
      <c r="J952" s="63" t="s">
        <v>1</v>
      </c>
      <c r="K952" s="64">
        <v>22000</v>
      </c>
      <c r="L952" s="65"/>
      <c r="M952" s="57"/>
      <c r="N952" s="100"/>
      <c r="O952" s="101" t="s">
        <v>61</v>
      </c>
      <c r="P952" s="101">
        <v>28</v>
      </c>
      <c r="Q952" s="101">
        <v>3</v>
      </c>
      <c r="R952" s="101"/>
      <c r="S952" s="102"/>
      <c r="T952" s="101" t="s">
        <v>61</v>
      </c>
      <c r="U952" s="103"/>
      <c r="V952" s="103">
        <v>2000</v>
      </c>
      <c r="W952" s="103">
        <f>V952+U952</f>
        <v>2000</v>
      </c>
      <c r="X952" s="103">
        <v>2000</v>
      </c>
      <c r="Y952" s="103">
        <f>W952-X952</f>
        <v>0</v>
      </c>
      <c r="Z952" s="99"/>
      <c r="AA952" s="57"/>
    </row>
    <row r="953" spans="1:27" s="55" customFormat="1" ht="21" customHeight="1" x14ac:dyDescent="0.25">
      <c r="A953" s="56"/>
      <c r="B953" s="57" t="s">
        <v>0</v>
      </c>
      <c r="C953" s="67" t="s">
        <v>148</v>
      </c>
      <c r="D953" s="57"/>
      <c r="E953" s="57"/>
      <c r="F953" s="57"/>
      <c r="G953" s="57"/>
      <c r="H953" s="68"/>
      <c r="I953" s="62"/>
      <c r="J953" s="57"/>
      <c r="K953" s="57"/>
      <c r="L953" s="69"/>
      <c r="M953" s="54"/>
      <c r="N953" s="104"/>
      <c r="O953" s="101" t="s">
        <v>87</v>
      </c>
      <c r="P953" s="101">
        <v>28</v>
      </c>
      <c r="Q953" s="101">
        <v>0</v>
      </c>
      <c r="R953" s="101">
        <f>IF(Q953="","",R952-Q953)</f>
        <v>0</v>
      </c>
      <c r="S953" s="105"/>
      <c r="T953" s="101" t="s">
        <v>87</v>
      </c>
      <c r="U953" s="177">
        <f>Y952</f>
        <v>0</v>
      </c>
      <c r="V953" s="103"/>
      <c r="W953" s="177">
        <f>IF(U953="","",U953+V953)</f>
        <v>0</v>
      </c>
      <c r="X953" s="103"/>
      <c r="Y953" s="177">
        <f>IF(W953="","",W953-X953)</f>
        <v>0</v>
      </c>
      <c r="Z953" s="106"/>
      <c r="AA953" s="54"/>
    </row>
    <row r="954" spans="1:27" s="55" customFormat="1" ht="21" customHeight="1" x14ac:dyDescent="0.25">
      <c r="A954" s="56"/>
      <c r="B954" s="71" t="s">
        <v>57</v>
      </c>
      <c r="C954" s="72"/>
      <c r="D954" s="57"/>
      <c r="E954" s="57"/>
      <c r="F954" s="290" t="s">
        <v>59</v>
      </c>
      <c r="G954" s="290"/>
      <c r="H954" s="57"/>
      <c r="I954" s="290" t="s">
        <v>60</v>
      </c>
      <c r="J954" s="290"/>
      <c r="K954" s="290"/>
      <c r="L954" s="73"/>
      <c r="M954" s="57"/>
      <c r="N954" s="100"/>
      <c r="O954" s="101" t="s">
        <v>62</v>
      </c>
      <c r="P954" s="101">
        <v>29</v>
      </c>
      <c r="Q954" s="101">
        <v>2</v>
      </c>
      <c r="R954" s="101">
        <v>0</v>
      </c>
      <c r="S954" s="105"/>
      <c r="T954" s="101" t="s">
        <v>62</v>
      </c>
      <c r="U954" s="177">
        <f>IF($J$1="April",Y953,Y953)</f>
        <v>0</v>
      </c>
      <c r="V954" s="103">
        <v>1000</v>
      </c>
      <c r="W954" s="177">
        <f t="shared" ref="W954:W961" si="172">IF(U954="","",U954+V954)</f>
        <v>1000</v>
      </c>
      <c r="X954" s="103">
        <v>1000</v>
      </c>
      <c r="Y954" s="177">
        <f t="shared" ref="Y954:Y961" si="173">IF(W954="","",W954-X954)</f>
        <v>0</v>
      </c>
      <c r="Z954" s="106"/>
      <c r="AA954" s="57"/>
    </row>
    <row r="955" spans="1:27" s="55" customFormat="1" ht="21" customHeight="1" x14ac:dyDescent="0.25">
      <c r="A955" s="56"/>
      <c r="B955" s="57"/>
      <c r="C955" s="57"/>
      <c r="D955" s="57"/>
      <c r="E955" s="57"/>
      <c r="F955" s="57"/>
      <c r="G955" s="57"/>
      <c r="H955" s="74"/>
      <c r="L955" s="61"/>
      <c r="M955" s="57"/>
      <c r="N955" s="100"/>
      <c r="O955" s="101" t="s">
        <v>63</v>
      </c>
      <c r="P955" s="101">
        <v>30</v>
      </c>
      <c r="Q955" s="101">
        <v>0</v>
      </c>
      <c r="R955" s="101">
        <f t="shared" ref="R955:R963" si="174">IF(Q955="","",R954-Q955)</f>
        <v>0</v>
      </c>
      <c r="S955" s="105"/>
      <c r="T955" s="101" t="s">
        <v>63</v>
      </c>
      <c r="U955" s="177"/>
      <c r="V955" s="103">
        <v>3000</v>
      </c>
      <c r="W955" s="177">
        <f>V955+U955</f>
        <v>3000</v>
      </c>
      <c r="X955" s="103">
        <v>3000</v>
      </c>
      <c r="Y955" s="177">
        <f t="shared" si="173"/>
        <v>0</v>
      </c>
      <c r="Z955" s="106"/>
      <c r="AA955" s="57"/>
    </row>
    <row r="956" spans="1:27" s="55" customFormat="1" ht="21" customHeight="1" x14ac:dyDescent="0.25">
      <c r="A956" s="56"/>
      <c r="B956" s="291" t="s">
        <v>58</v>
      </c>
      <c r="C956" s="292"/>
      <c r="D956" s="57"/>
      <c r="E956" s="57"/>
      <c r="F956" s="75" t="s">
        <v>80</v>
      </c>
      <c r="G956" s="196">
        <f>IF($J$1="January",U952,IF($J$1="February",U953,IF($J$1="March",U954,IF($J$1="April",U955,IF($J$1="May",U956,IF($J$1="June",U957,IF($J$1="July",U958,IF($J$1="August",U959,IF($J$1="August",U959,IF($J$1="September",U960,IF($J$1="October",U961,IF($J$1="November",U962,IF($J$1="December",U963)))))))))))))</f>
        <v>0</v>
      </c>
      <c r="H956" s="74"/>
      <c r="I956" s="76">
        <f>IF(C960&gt;0,$K$2,C958)</f>
        <v>27</v>
      </c>
      <c r="J956" s="77" t="s">
        <v>77</v>
      </c>
      <c r="K956" s="78">
        <f>K952/$K$2*I956</f>
        <v>19800</v>
      </c>
      <c r="L956" s="79"/>
      <c r="M956" s="57"/>
      <c r="N956" s="100"/>
      <c r="O956" s="101" t="s">
        <v>64</v>
      </c>
      <c r="P956" s="101">
        <v>31</v>
      </c>
      <c r="Q956" s="101">
        <v>0</v>
      </c>
      <c r="R956" s="101">
        <f t="shared" si="174"/>
        <v>0</v>
      </c>
      <c r="S956" s="105"/>
      <c r="T956" s="101" t="s">
        <v>64</v>
      </c>
      <c r="U956" s="177">
        <f>Y955</f>
        <v>0</v>
      </c>
      <c r="V956" s="103">
        <v>1000</v>
      </c>
      <c r="W956" s="177">
        <f t="shared" si="172"/>
        <v>1000</v>
      </c>
      <c r="X956" s="103">
        <v>1000</v>
      </c>
      <c r="Y956" s="177">
        <f t="shared" si="173"/>
        <v>0</v>
      </c>
      <c r="Z956" s="106"/>
      <c r="AA956" s="57"/>
    </row>
    <row r="957" spans="1:27" s="55" customFormat="1" ht="21" customHeight="1" x14ac:dyDescent="0.25">
      <c r="A957" s="56"/>
      <c r="B957" s="66"/>
      <c r="C957" s="66"/>
      <c r="D957" s="57"/>
      <c r="E957" s="57"/>
      <c r="F957" s="75" t="s">
        <v>29</v>
      </c>
      <c r="G957" s="196">
        <f>IF($J$1="January",V952,IF($J$1="February",V953,IF($J$1="March",V954,IF($J$1="April",V955,IF($J$1="May",V956,IF($J$1="June",V957,IF($J$1="July",V958,IF($J$1="August",V959,IF($J$1="August",V959,IF($J$1="September",V960,IF($J$1="October",V961,IF($J$1="November",V962,IF($J$1="December",V963)))))))))))))</f>
        <v>350</v>
      </c>
      <c r="H957" s="74"/>
      <c r="I957" s="120">
        <v>38</v>
      </c>
      <c r="J957" s="77" t="s">
        <v>78</v>
      </c>
      <c r="K957" s="70">
        <f>K952/$K$2/8*I957</f>
        <v>3483.3333333333335</v>
      </c>
      <c r="L957" s="81"/>
      <c r="M957" s="57"/>
      <c r="N957" s="100"/>
      <c r="O957" s="101" t="s">
        <v>65</v>
      </c>
      <c r="P957" s="101">
        <v>27</v>
      </c>
      <c r="Q957" s="101">
        <v>3</v>
      </c>
      <c r="R957" s="101">
        <f t="shared" si="174"/>
        <v>-3</v>
      </c>
      <c r="S957" s="105"/>
      <c r="T957" s="101" t="s">
        <v>65</v>
      </c>
      <c r="U957" s="177">
        <f>Y956</f>
        <v>0</v>
      </c>
      <c r="V957" s="103">
        <v>350</v>
      </c>
      <c r="W957" s="177">
        <f t="shared" si="172"/>
        <v>350</v>
      </c>
      <c r="X957" s="103">
        <v>350</v>
      </c>
      <c r="Y957" s="177">
        <f t="shared" si="173"/>
        <v>0</v>
      </c>
      <c r="Z957" s="106"/>
      <c r="AA957" s="57"/>
    </row>
    <row r="958" spans="1:27" s="55" customFormat="1" ht="21" customHeight="1" x14ac:dyDescent="0.25">
      <c r="A958" s="56"/>
      <c r="B958" s="75" t="s">
        <v>7</v>
      </c>
      <c r="C958" s="66">
        <f>IF($J$1="January",P952,IF($J$1="February",P953,IF($J$1="March",P954,IF($J$1="April",P955,IF($J$1="May",P956,IF($J$1="June",P957,IF($J$1="July",P958,IF($J$1="August",P959,IF($J$1="August",P959,IF($J$1="September",P960,IF($J$1="October",P961,IF($J$1="November",P962,IF($J$1="December",P963)))))))))))))</f>
        <v>27</v>
      </c>
      <c r="D958" s="57"/>
      <c r="E958" s="57"/>
      <c r="F958" s="75" t="s">
        <v>81</v>
      </c>
      <c r="G958" s="196">
        <f>IF($J$1="January",W952,IF($J$1="February",W953,IF($J$1="March",W954,IF($J$1="April",W955,IF($J$1="May",W956,IF($J$1="June",W957,IF($J$1="July",W958,IF($J$1="August",W959,IF($J$1="August",W959,IF($J$1="September",W960,IF($J$1="October",W961,IF($J$1="November",W962,IF($J$1="December",W963)))))))))))))</f>
        <v>350</v>
      </c>
      <c r="H958" s="74"/>
      <c r="I958" s="293" t="s">
        <v>85</v>
      </c>
      <c r="J958" s="294"/>
      <c r="K958" s="80">
        <f>K956+K957</f>
        <v>23283.333333333332</v>
      </c>
      <c r="L958" s="81"/>
      <c r="M958" s="57"/>
      <c r="N958" s="100"/>
      <c r="O958" s="101" t="s">
        <v>66</v>
      </c>
      <c r="P958" s="101"/>
      <c r="Q958" s="101"/>
      <c r="R958" s="101" t="str">
        <f t="shared" si="174"/>
        <v/>
      </c>
      <c r="S958" s="105"/>
      <c r="T958" s="101" t="s">
        <v>66</v>
      </c>
      <c r="U958" s="177"/>
      <c r="V958" s="103"/>
      <c r="W958" s="177" t="str">
        <f t="shared" si="172"/>
        <v/>
      </c>
      <c r="X958" s="103"/>
      <c r="Y958" s="177" t="str">
        <f t="shared" si="173"/>
        <v/>
      </c>
      <c r="Z958" s="106"/>
      <c r="AA958" s="57"/>
    </row>
    <row r="959" spans="1:27" s="55" customFormat="1" ht="21" customHeight="1" x14ac:dyDescent="0.25">
      <c r="A959" s="56"/>
      <c r="B959" s="75" t="s">
        <v>6</v>
      </c>
      <c r="C959" s="66">
        <f>IF($J$1="January",Q952,IF($J$1="February",Q953,IF($J$1="March",Q954,IF($J$1="April",Q955,IF($J$1="May",Q956,IF($J$1="June",Q957,IF($J$1="July",Q958,IF($J$1="August",Q959,IF($J$1="August",Q959,IF($J$1="September",Q960,IF($J$1="October",Q961,IF($J$1="November",Q962,IF($J$1="December",Q963)))))))))))))</f>
        <v>3</v>
      </c>
      <c r="D959" s="57"/>
      <c r="E959" s="57"/>
      <c r="F959" s="75" t="s">
        <v>30</v>
      </c>
      <c r="G959" s="196">
        <f>IF($J$1="January",X952,IF($J$1="February",X953,IF($J$1="March",X954,IF($J$1="April",X955,IF($J$1="May",X956,IF($J$1="June",X957,IF($J$1="July",X958,IF($J$1="August",X959,IF($J$1="August",X959,IF($J$1="September",X960,IF($J$1="October",X961,IF($J$1="November",X962,IF($J$1="December",X963)))))))))))))</f>
        <v>350</v>
      </c>
      <c r="H959" s="74"/>
      <c r="I959" s="293" t="s">
        <v>86</v>
      </c>
      <c r="J959" s="294"/>
      <c r="K959" s="70">
        <f>G959</f>
        <v>350</v>
      </c>
      <c r="L959" s="82"/>
      <c r="M959" s="57"/>
      <c r="N959" s="100"/>
      <c r="O959" s="101" t="s">
        <v>67</v>
      </c>
      <c r="P959" s="101"/>
      <c r="Q959" s="101"/>
      <c r="R959" s="101" t="str">
        <f t="shared" si="174"/>
        <v/>
      </c>
      <c r="S959" s="105"/>
      <c r="T959" s="101" t="s">
        <v>67</v>
      </c>
      <c r="U959" s="177"/>
      <c r="V959" s="103"/>
      <c r="W959" s="177" t="str">
        <f t="shared" si="172"/>
        <v/>
      </c>
      <c r="X959" s="103"/>
      <c r="Y959" s="177" t="str">
        <f t="shared" si="173"/>
        <v/>
      </c>
      <c r="Z959" s="106"/>
      <c r="AA959" s="57"/>
    </row>
    <row r="960" spans="1:27" s="55" customFormat="1" ht="21" customHeight="1" x14ac:dyDescent="0.25">
      <c r="A960" s="56"/>
      <c r="B960" s="83" t="s">
        <v>84</v>
      </c>
      <c r="C960" s="66">
        <f>IF($J$1="January",R952,IF($J$1="February",R953,IF($J$1="March",R954,IF($J$1="April",R955,IF($J$1="May",R956,IF($J$1="June",R957,IF($J$1="July",R958,IF($J$1="August",R959,IF($J$1="August",R959,IF($J$1="September",R960,IF($J$1="October",R961,IF($J$1="November",R962,IF($J$1="December",R963)))))))))))))</f>
        <v>-3</v>
      </c>
      <c r="D960" s="57"/>
      <c r="E960" s="57"/>
      <c r="F960" s="75" t="s">
        <v>83</v>
      </c>
      <c r="G960" s="196">
        <f>IF($J$1="January",Y952,IF($J$1="February",Y953,IF($J$1="March",Y954,IF($J$1="April",Y955,IF($J$1="May",Y956,IF($J$1="June",Y957,IF($J$1="July",Y958,IF($J$1="August",Y959,IF($J$1="August",Y959,IF($J$1="September",Y960,IF($J$1="October",Y961,IF($J$1="November",Y962,IF($J$1="December",Y963)))))))))))))</f>
        <v>0</v>
      </c>
      <c r="H960" s="57"/>
      <c r="I960" s="295" t="s">
        <v>79</v>
      </c>
      <c r="J960" s="296"/>
      <c r="K960" s="84">
        <f>K958-K959</f>
        <v>22933.333333333332</v>
      </c>
      <c r="L960" s="85"/>
      <c r="M960" s="57"/>
      <c r="N960" s="100"/>
      <c r="O960" s="101" t="s">
        <v>72</v>
      </c>
      <c r="P960" s="101"/>
      <c r="Q960" s="101"/>
      <c r="R960" s="101" t="str">
        <f t="shared" si="174"/>
        <v/>
      </c>
      <c r="S960" s="105"/>
      <c r="T960" s="101" t="s">
        <v>72</v>
      </c>
      <c r="U960" s="177"/>
      <c r="V960" s="103"/>
      <c r="W960" s="177" t="str">
        <f t="shared" si="172"/>
        <v/>
      </c>
      <c r="X960" s="103"/>
      <c r="Y960" s="177" t="str">
        <f t="shared" si="173"/>
        <v/>
      </c>
      <c r="Z960" s="106"/>
      <c r="AA960" s="57"/>
    </row>
    <row r="961" spans="1:27" s="55" customFormat="1" ht="21" customHeight="1" x14ac:dyDescent="0.25">
      <c r="A961" s="56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73"/>
      <c r="M961" s="57"/>
      <c r="N961" s="100"/>
      <c r="O961" s="101" t="s">
        <v>68</v>
      </c>
      <c r="P961" s="101"/>
      <c r="Q961" s="101"/>
      <c r="R961" s="101">
        <v>0</v>
      </c>
      <c r="S961" s="105"/>
      <c r="T961" s="101" t="s">
        <v>68</v>
      </c>
      <c r="U961" s="177"/>
      <c r="V961" s="103"/>
      <c r="W961" s="177" t="str">
        <f t="shared" si="172"/>
        <v/>
      </c>
      <c r="X961" s="103"/>
      <c r="Y961" s="177" t="str">
        <f t="shared" si="173"/>
        <v/>
      </c>
      <c r="Z961" s="106"/>
      <c r="AA961" s="57"/>
    </row>
    <row r="962" spans="1:27" s="55" customFormat="1" ht="21" customHeight="1" x14ac:dyDescent="0.25">
      <c r="A962" s="56"/>
      <c r="B962" s="284" t="s">
        <v>116</v>
      </c>
      <c r="C962" s="284"/>
      <c r="D962" s="284"/>
      <c r="E962" s="284"/>
      <c r="F962" s="284"/>
      <c r="G962" s="284"/>
      <c r="H962" s="284"/>
      <c r="I962" s="284"/>
      <c r="J962" s="284"/>
      <c r="K962" s="284"/>
      <c r="L962" s="73"/>
      <c r="M962" s="57"/>
      <c r="N962" s="100"/>
      <c r="O962" s="101" t="s">
        <v>73</v>
      </c>
      <c r="P962" s="101"/>
      <c r="Q962" s="101"/>
      <c r="R962" s="101" t="str">
        <f t="shared" si="174"/>
        <v/>
      </c>
      <c r="S962" s="105"/>
      <c r="T962" s="101" t="s">
        <v>73</v>
      </c>
      <c r="U962" s="177"/>
      <c r="V962" s="103"/>
      <c r="W962" s="177" t="str">
        <f>IF(U962="","",U962+V962)</f>
        <v/>
      </c>
      <c r="X962" s="103"/>
      <c r="Y962" s="177" t="str">
        <f>IF(W962="","",W962-X962)</f>
        <v/>
      </c>
      <c r="Z962" s="106"/>
      <c r="AA962" s="57"/>
    </row>
    <row r="963" spans="1:27" s="55" customFormat="1" ht="21" customHeight="1" x14ac:dyDescent="0.25">
      <c r="A963" s="56"/>
      <c r="B963" s="284"/>
      <c r="C963" s="284"/>
      <c r="D963" s="284"/>
      <c r="E963" s="284"/>
      <c r="F963" s="284"/>
      <c r="G963" s="284"/>
      <c r="H963" s="284"/>
      <c r="I963" s="284"/>
      <c r="J963" s="284"/>
      <c r="K963" s="284"/>
      <c r="L963" s="73"/>
      <c r="M963" s="57"/>
      <c r="N963" s="100"/>
      <c r="O963" s="101" t="s">
        <v>74</v>
      </c>
      <c r="P963" s="101"/>
      <c r="Q963" s="101"/>
      <c r="R963" s="101" t="str">
        <f t="shared" si="174"/>
        <v/>
      </c>
      <c r="S963" s="105"/>
      <c r="T963" s="101" t="s">
        <v>74</v>
      </c>
      <c r="U963" s="177"/>
      <c r="V963" s="103"/>
      <c r="W963" s="177" t="str">
        <f>IF(U963="","",U963+V963)</f>
        <v/>
      </c>
      <c r="X963" s="103"/>
      <c r="Y963" s="177" t="str">
        <f>IF(W963="","",W963-X963)</f>
        <v/>
      </c>
      <c r="Z963" s="106"/>
      <c r="AA963" s="57"/>
    </row>
    <row r="964" spans="1:27" s="55" customFormat="1" ht="21" customHeight="1" thickBot="1" x14ac:dyDescent="0.3">
      <c r="A964" s="86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8"/>
      <c r="N964" s="107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9"/>
    </row>
    <row r="965" spans="1:27" s="55" customFormat="1" ht="21" customHeight="1" thickBot="1" x14ac:dyDescent="0.3"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</row>
    <row r="966" spans="1:27" s="55" customFormat="1" ht="21" customHeight="1" x14ac:dyDescent="0.25">
      <c r="A966" s="297" t="s">
        <v>56</v>
      </c>
      <c r="B966" s="298"/>
      <c r="C966" s="298"/>
      <c r="D966" s="298"/>
      <c r="E966" s="298"/>
      <c r="F966" s="298"/>
      <c r="G966" s="298"/>
      <c r="H966" s="298"/>
      <c r="I966" s="298"/>
      <c r="J966" s="298"/>
      <c r="K966" s="298"/>
      <c r="L966" s="299"/>
      <c r="M966" s="54"/>
      <c r="N966" s="93"/>
      <c r="O966" s="285" t="s">
        <v>58</v>
      </c>
      <c r="P966" s="286"/>
      <c r="Q966" s="286"/>
      <c r="R966" s="287"/>
      <c r="S966" s="94"/>
      <c r="T966" s="285" t="s">
        <v>59</v>
      </c>
      <c r="U966" s="286"/>
      <c r="V966" s="286"/>
      <c r="W966" s="286"/>
      <c r="X966" s="286"/>
      <c r="Y966" s="287"/>
      <c r="Z966" s="95"/>
      <c r="AA966" s="54"/>
    </row>
    <row r="967" spans="1:27" s="55" customFormat="1" ht="21" customHeight="1" x14ac:dyDescent="0.25">
      <c r="A967" s="56"/>
      <c r="B967" s="57"/>
      <c r="C967" s="288" t="s">
        <v>114</v>
      </c>
      <c r="D967" s="288"/>
      <c r="E967" s="288"/>
      <c r="F967" s="288"/>
      <c r="G967" s="58" t="str">
        <f>$J$1</f>
        <v>June</v>
      </c>
      <c r="H967" s="289">
        <f>$K$1</f>
        <v>2019</v>
      </c>
      <c r="I967" s="289"/>
      <c r="J967" s="57"/>
      <c r="K967" s="59"/>
      <c r="L967" s="60"/>
      <c r="M967" s="59"/>
      <c r="N967" s="96"/>
      <c r="O967" s="97" t="s">
        <v>69</v>
      </c>
      <c r="P967" s="97" t="s">
        <v>7</v>
      </c>
      <c r="Q967" s="97" t="s">
        <v>6</v>
      </c>
      <c r="R967" s="97" t="s">
        <v>70</v>
      </c>
      <c r="S967" s="98"/>
      <c r="T967" s="97" t="s">
        <v>69</v>
      </c>
      <c r="U967" s="97" t="s">
        <v>71</v>
      </c>
      <c r="V967" s="97" t="s">
        <v>29</v>
      </c>
      <c r="W967" s="97" t="s">
        <v>28</v>
      </c>
      <c r="X967" s="97" t="s">
        <v>30</v>
      </c>
      <c r="Y967" s="97" t="s">
        <v>75</v>
      </c>
      <c r="Z967" s="99"/>
      <c r="AA967" s="59"/>
    </row>
    <row r="968" spans="1:27" s="55" customFormat="1" ht="21" customHeight="1" x14ac:dyDescent="0.25">
      <c r="A968" s="56"/>
      <c r="B968" s="57"/>
      <c r="C968" s="57"/>
      <c r="D968" s="62"/>
      <c r="E968" s="62"/>
      <c r="F968" s="62"/>
      <c r="G968" s="62"/>
      <c r="H968" s="62"/>
      <c r="I968" s="57"/>
      <c r="J968" s="63" t="s">
        <v>1</v>
      </c>
      <c r="K968" s="64">
        <v>15000</v>
      </c>
      <c r="L968" s="65"/>
      <c r="M968" s="57"/>
      <c r="N968" s="100"/>
      <c r="O968" s="101" t="s">
        <v>61</v>
      </c>
      <c r="P968" s="101"/>
      <c r="Q968" s="101"/>
      <c r="R968" s="101">
        <v>0</v>
      </c>
      <c r="S968" s="102"/>
      <c r="T968" s="101" t="s">
        <v>61</v>
      </c>
      <c r="U968" s="103"/>
      <c r="V968" s="103"/>
      <c r="W968" s="103">
        <f>V968+U968</f>
        <v>0</v>
      </c>
      <c r="X968" s="103"/>
      <c r="Y968" s="103">
        <f>W968-X968</f>
        <v>0</v>
      </c>
      <c r="Z968" s="99"/>
      <c r="AA968" s="57"/>
    </row>
    <row r="969" spans="1:27" s="55" customFormat="1" ht="21" customHeight="1" x14ac:dyDescent="0.25">
      <c r="A969" s="56"/>
      <c r="B969" s="57" t="s">
        <v>0</v>
      </c>
      <c r="C969" s="67" t="s">
        <v>194</v>
      </c>
      <c r="D969" s="57"/>
      <c r="E969" s="57"/>
      <c r="F969" s="57"/>
      <c r="G969" s="57"/>
      <c r="H969" s="68"/>
      <c r="I969" s="62"/>
      <c r="J969" s="57"/>
      <c r="K969" s="57"/>
      <c r="L969" s="69"/>
      <c r="M969" s="54"/>
      <c r="N969" s="104"/>
      <c r="O969" s="101" t="s">
        <v>87</v>
      </c>
      <c r="P969" s="101"/>
      <c r="Q969" s="101"/>
      <c r="R969" s="101">
        <v>0</v>
      </c>
      <c r="S969" s="105"/>
      <c r="T969" s="101" t="s">
        <v>87</v>
      </c>
      <c r="U969" s="177">
        <f>Y968</f>
        <v>0</v>
      </c>
      <c r="V969" s="103"/>
      <c r="W969" s="177">
        <f>IF(U969="","",U969+V969)</f>
        <v>0</v>
      </c>
      <c r="X969" s="103"/>
      <c r="Y969" s="177">
        <f>IF(W969="","",W969-X969)</f>
        <v>0</v>
      </c>
      <c r="Z969" s="106"/>
      <c r="AA969" s="54"/>
    </row>
    <row r="970" spans="1:27" s="55" customFormat="1" ht="21" customHeight="1" x14ac:dyDescent="0.25">
      <c r="A970" s="56"/>
      <c r="B970" s="71" t="s">
        <v>57</v>
      </c>
      <c r="C970" s="72"/>
      <c r="D970" s="57"/>
      <c r="E970" s="57"/>
      <c r="F970" s="290" t="s">
        <v>59</v>
      </c>
      <c r="G970" s="290"/>
      <c r="H970" s="57"/>
      <c r="I970" s="290" t="s">
        <v>60</v>
      </c>
      <c r="J970" s="290"/>
      <c r="K970" s="290"/>
      <c r="L970" s="73"/>
      <c r="M970" s="57"/>
      <c r="N970" s="100"/>
      <c r="O970" s="101" t="s">
        <v>62</v>
      </c>
      <c r="P970" s="101"/>
      <c r="Q970" s="101"/>
      <c r="R970" s="101" t="str">
        <f t="shared" ref="R970:R979" si="175">IF(Q970="","",R969-Q970)</f>
        <v/>
      </c>
      <c r="S970" s="105"/>
      <c r="T970" s="101" t="s">
        <v>62</v>
      </c>
      <c r="U970" s="177">
        <f>IF($J$1="April",Y969,Y969)</f>
        <v>0</v>
      </c>
      <c r="V970" s="103"/>
      <c r="W970" s="177">
        <f t="shared" ref="W970:W979" si="176">IF(U970="","",U970+V970)</f>
        <v>0</v>
      </c>
      <c r="X970" s="103"/>
      <c r="Y970" s="177">
        <f t="shared" ref="Y970:Y979" si="177">IF(W970="","",W970-X970)</f>
        <v>0</v>
      </c>
      <c r="Z970" s="106"/>
      <c r="AA970" s="57"/>
    </row>
    <row r="971" spans="1:27" s="55" customFormat="1" ht="21" customHeight="1" x14ac:dyDescent="0.25">
      <c r="A971" s="56"/>
      <c r="B971" s="57"/>
      <c r="C971" s="57"/>
      <c r="D971" s="57"/>
      <c r="E971" s="57"/>
      <c r="F971" s="57"/>
      <c r="G971" s="57"/>
      <c r="H971" s="74"/>
      <c r="L971" s="61"/>
      <c r="M971" s="57"/>
      <c r="N971" s="100"/>
      <c r="O971" s="101" t="s">
        <v>63</v>
      </c>
      <c r="P971" s="101"/>
      <c r="Q971" s="101"/>
      <c r="R971" s="101" t="str">
        <f t="shared" si="175"/>
        <v/>
      </c>
      <c r="S971" s="105"/>
      <c r="T971" s="101" t="s">
        <v>63</v>
      </c>
      <c r="U971" s="177">
        <f>IF($J$1="April",Y970,Y970)</f>
        <v>0</v>
      </c>
      <c r="V971" s="103"/>
      <c r="W971" s="177">
        <f t="shared" si="176"/>
        <v>0</v>
      </c>
      <c r="X971" s="103"/>
      <c r="Y971" s="177">
        <f t="shared" si="177"/>
        <v>0</v>
      </c>
      <c r="Z971" s="106"/>
      <c r="AA971" s="57"/>
    </row>
    <row r="972" spans="1:27" s="55" customFormat="1" ht="21" customHeight="1" x14ac:dyDescent="0.25">
      <c r="A972" s="56"/>
      <c r="B972" s="291" t="s">
        <v>58</v>
      </c>
      <c r="C972" s="292"/>
      <c r="D972" s="57"/>
      <c r="E972" s="57"/>
      <c r="F972" s="75" t="s">
        <v>80</v>
      </c>
      <c r="G972" s="70">
        <f>IF($J$1="January",U968,IF($J$1="February",U969,IF($J$1="March",U970,IF($J$1="April",U971,IF($J$1="May",U972,IF($J$1="June",U973,IF($J$1="July",U974,IF($J$1="August",U975,IF($J$1="August",U975,IF($J$1="September",U976,IF($J$1="October",U977,IF($J$1="November",U978,IF($J$1="December",U979)))))))))))))</f>
        <v>0</v>
      </c>
      <c r="H972" s="74"/>
      <c r="I972" s="76">
        <f>IF(C976&gt;0,$K$2,C974)</f>
        <v>22</v>
      </c>
      <c r="J972" s="77" t="s">
        <v>77</v>
      </c>
      <c r="K972" s="78">
        <f>K968/$K$2*I972</f>
        <v>11000</v>
      </c>
      <c r="L972" s="79"/>
      <c r="M972" s="57"/>
      <c r="N972" s="100"/>
      <c r="O972" s="101" t="s">
        <v>64</v>
      </c>
      <c r="P972" s="101"/>
      <c r="Q972" s="101"/>
      <c r="R972" s="101" t="str">
        <f t="shared" si="175"/>
        <v/>
      </c>
      <c r="S972" s="105"/>
      <c r="T972" s="101" t="s">
        <v>64</v>
      </c>
      <c r="U972" s="177">
        <f>IF($J$1="May",Y971,Y971)</f>
        <v>0</v>
      </c>
      <c r="V972" s="103"/>
      <c r="W972" s="177">
        <f t="shared" si="176"/>
        <v>0</v>
      </c>
      <c r="X972" s="103"/>
      <c r="Y972" s="177">
        <f t="shared" si="177"/>
        <v>0</v>
      </c>
      <c r="Z972" s="106"/>
      <c r="AA972" s="57"/>
    </row>
    <row r="973" spans="1:27" s="55" customFormat="1" ht="21" customHeight="1" x14ac:dyDescent="0.25">
      <c r="A973" s="56"/>
      <c r="B973" s="66"/>
      <c r="C973" s="66"/>
      <c r="D973" s="57"/>
      <c r="E973" s="57"/>
      <c r="F973" s="75" t="s">
        <v>29</v>
      </c>
      <c r="G973" s="70">
        <f>IF($J$1="January",V968,IF($J$1="February",V969,IF($J$1="March",V970,IF($J$1="April",V971,IF($J$1="May",V972,IF($J$1="June",V973,IF($J$1="July",V974,IF($J$1="August",V975,IF($J$1="August",V975,IF($J$1="September",V976,IF($J$1="October",V977,IF($J$1="November",V978,IF($J$1="December",V979)))))))))))))</f>
        <v>0</v>
      </c>
      <c r="H973" s="74"/>
      <c r="I973" s="120">
        <v>19</v>
      </c>
      <c r="J973" s="77" t="s">
        <v>78</v>
      </c>
      <c r="K973" s="80">
        <f>K968/$K$2/8*I973</f>
        <v>1187.5</v>
      </c>
      <c r="L973" s="81"/>
      <c r="M973" s="57"/>
      <c r="N973" s="100"/>
      <c r="O973" s="101" t="s">
        <v>65</v>
      </c>
      <c r="P973" s="101">
        <v>22</v>
      </c>
      <c r="Q973" s="101">
        <v>8</v>
      </c>
      <c r="R973" s="101">
        <v>0</v>
      </c>
      <c r="S973" s="105"/>
      <c r="T973" s="101" t="s">
        <v>65</v>
      </c>
      <c r="U973" s="177">
        <f>IF($J$1="May",Y972,Y972)</f>
        <v>0</v>
      </c>
      <c r="V973" s="103"/>
      <c r="W973" s="177">
        <f t="shared" si="176"/>
        <v>0</v>
      </c>
      <c r="X973" s="103"/>
      <c r="Y973" s="177">
        <f t="shared" si="177"/>
        <v>0</v>
      </c>
      <c r="Z973" s="106"/>
      <c r="AA973" s="57"/>
    </row>
    <row r="974" spans="1:27" s="55" customFormat="1" ht="21" customHeight="1" x14ac:dyDescent="0.25">
      <c r="A974" s="56"/>
      <c r="B974" s="75" t="s">
        <v>7</v>
      </c>
      <c r="C974" s="66">
        <f>IF($J$1="January",P968,IF($J$1="February",P969,IF($J$1="March",P970,IF($J$1="April",P971,IF($J$1="May",P972,IF($J$1="June",P973,IF($J$1="July",P974,IF($J$1="August",P975,IF($J$1="August",P975,IF($J$1="September",P976,IF($J$1="October",P977,IF($J$1="November",P978,IF($J$1="December",P979)))))))))))))</f>
        <v>22</v>
      </c>
      <c r="D974" s="57"/>
      <c r="E974" s="57"/>
      <c r="F974" s="75" t="s">
        <v>81</v>
      </c>
      <c r="G974" s="70">
        <f>IF($J$1="January",W968,IF($J$1="February",W969,IF($J$1="March",W970,IF($J$1="April",W971,IF($J$1="May",W972,IF($J$1="June",W973,IF($J$1="July",W974,IF($J$1="August",W975,IF($J$1="August",W975,IF($J$1="September",W976,IF($J$1="October",W977,IF($J$1="November",W978,IF($J$1="December",W979)))))))))))))</f>
        <v>0</v>
      </c>
      <c r="H974" s="74"/>
      <c r="I974" s="293" t="s">
        <v>85</v>
      </c>
      <c r="J974" s="294"/>
      <c r="K974" s="80">
        <f>K972+K973</f>
        <v>12187.5</v>
      </c>
      <c r="L974" s="81"/>
      <c r="M974" s="57"/>
      <c r="N974" s="100"/>
      <c r="O974" s="101" t="s">
        <v>66</v>
      </c>
      <c r="P974" s="101"/>
      <c r="Q974" s="101"/>
      <c r="R974" s="101">
        <v>0</v>
      </c>
      <c r="S974" s="105"/>
      <c r="T974" s="101" t="s">
        <v>66</v>
      </c>
      <c r="U974" s="177" t="str">
        <f>IF($J$1="July",Y973,"")</f>
        <v/>
      </c>
      <c r="V974" s="103"/>
      <c r="W974" s="177" t="str">
        <f t="shared" si="176"/>
        <v/>
      </c>
      <c r="X974" s="103"/>
      <c r="Y974" s="177" t="str">
        <f t="shared" si="177"/>
        <v/>
      </c>
      <c r="Z974" s="106"/>
      <c r="AA974" s="57"/>
    </row>
    <row r="975" spans="1:27" s="55" customFormat="1" ht="21" customHeight="1" x14ac:dyDescent="0.25">
      <c r="A975" s="56"/>
      <c r="B975" s="75" t="s">
        <v>6</v>
      </c>
      <c r="C975" s="66">
        <f>IF($J$1="January",Q968,IF($J$1="February",Q969,IF($J$1="March",Q970,IF($J$1="April",Q971,IF($J$1="May",Q972,IF($J$1="June",Q973,IF($J$1="July",Q974,IF($J$1="August",Q975,IF($J$1="August",Q975,IF($J$1="September",Q976,IF($J$1="October",Q977,IF($J$1="November",Q978,IF($J$1="December",Q979)))))))))))))</f>
        <v>8</v>
      </c>
      <c r="D975" s="57"/>
      <c r="E975" s="57"/>
      <c r="F975" s="75" t="s">
        <v>30</v>
      </c>
      <c r="G975" s="70">
        <f>IF($J$1="January",X968,IF($J$1="February",X969,IF($J$1="March",X970,IF($J$1="April",X971,IF($J$1="May",X972,IF($J$1="June",X973,IF($J$1="July",X974,IF($J$1="August",X975,IF($J$1="August",X975,IF($J$1="September",X976,IF($J$1="October",X977,IF($J$1="November",X978,IF($J$1="December",X979)))))))))))))</f>
        <v>0</v>
      </c>
      <c r="H975" s="74"/>
      <c r="I975" s="293" t="s">
        <v>86</v>
      </c>
      <c r="J975" s="294"/>
      <c r="K975" s="70">
        <f>G975</f>
        <v>0</v>
      </c>
      <c r="L975" s="82"/>
      <c r="M975" s="57"/>
      <c r="N975" s="100"/>
      <c r="O975" s="101" t="s">
        <v>67</v>
      </c>
      <c r="P975" s="101"/>
      <c r="Q975" s="101"/>
      <c r="R975" s="101">
        <v>0</v>
      </c>
      <c r="S975" s="105"/>
      <c r="T975" s="101" t="s">
        <v>67</v>
      </c>
      <c r="U975" s="177" t="str">
        <f>IF($J$1="August",Y974,"")</f>
        <v/>
      </c>
      <c r="V975" s="103"/>
      <c r="W975" s="177" t="str">
        <f t="shared" si="176"/>
        <v/>
      </c>
      <c r="X975" s="103"/>
      <c r="Y975" s="177" t="str">
        <f t="shared" si="177"/>
        <v/>
      </c>
      <c r="Z975" s="106"/>
      <c r="AA975" s="57"/>
    </row>
    <row r="976" spans="1:27" s="55" customFormat="1" ht="21" customHeight="1" x14ac:dyDescent="0.25">
      <c r="A976" s="56"/>
      <c r="B976" s="83" t="s">
        <v>84</v>
      </c>
      <c r="C976" s="66">
        <f>IF($J$1="January",R968,IF($J$1="February",R969,IF($J$1="March",R970,IF($J$1="April",R971,IF($J$1="May",R972,IF($J$1="June",R973,IF($J$1="July",R974,IF($J$1="August",R975,IF($J$1="August",R975,IF($J$1="September",R976,IF($J$1="October",R977,IF($J$1="November",R978,IF($J$1="December",R979)))))))))))))</f>
        <v>0</v>
      </c>
      <c r="D976" s="57"/>
      <c r="E976" s="57"/>
      <c r="F976" s="75" t="s">
        <v>83</v>
      </c>
      <c r="G976" s="70">
        <f>IF($J$1="January",Y968,IF($J$1="February",Y969,IF($J$1="March",Y970,IF($J$1="April",Y971,IF($J$1="May",Y972,IF($J$1="June",Y973,IF($J$1="July",Y974,IF($J$1="August",Y975,IF($J$1="August",Y975,IF($J$1="September",Y976,IF($J$1="October",Y977,IF($J$1="November",Y978,IF($J$1="December",Y979)))))))))))))</f>
        <v>0</v>
      </c>
      <c r="H976" s="57"/>
      <c r="I976" s="295" t="s">
        <v>79</v>
      </c>
      <c r="J976" s="296"/>
      <c r="K976" s="84">
        <f>K974-K975</f>
        <v>12187.5</v>
      </c>
      <c r="L976" s="85"/>
      <c r="M976" s="57"/>
      <c r="N976" s="100"/>
      <c r="O976" s="101" t="s">
        <v>72</v>
      </c>
      <c r="P976" s="101"/>
      <c r="Q976" s="101"/>
      <c r="R976" s="101">
        <v>0</v>
      </c>
      <c r="S976" s="105"/>
      <c r="T976" s="101" t="s">
        <v>72</v>
      </c>
      <c r="U976" s="177" t="str">
        <f>IF($J$1="Sept",Y975,"")</f>
        <v/>
      </c>
      <c r="V976" s="103"/>
      <c r="W976" s="177" t="str">
        <f t="shared" si="176"/>
        <v/>
      </c>
      <c r="X976" s="103"/>
      <c r="Y976" s="177" t="str">
        <f t="shared" si="177"/>
        <v/>
      </c>
      <c r="Z976" s="106"/>
      <c r="AA976" s="57"/>
    </row>
    <row r="977" spans="1:27" s="55" customFormat="1" ht="21" customHeight="1" x14ac:dyDescent="0.25">
      <c r="A977" s="56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73"/>
      <c r="M977" s="57"/>
      <c r="N977" s="100"/>
      <c r="O977" s="101" t="s">
        <v>68</v>
      </c>
      <c r="P977" s="101"/>
      <c r="Q977" s="101"/>
      <c r="R977" s="101" t="str">
        <f t="shared" si="175"/>
        <v/>
      </c>
      <c r="S977" s="105"/>
      <c r="T977" s="101" t="s">
        <v>68</v>
      </c>
      <c r="U977" s="177" t="str">
        <f>IF($J$1="October",Y976,"")</f>
        <v/>
      </c>
      <c r="V977" s="103"/>
      <c r="W977" s="177" t="str">
        <f t="shared" si="176"/>
        <v/>
      </c>
      <c r="X977" s="103"/>
      <c r="Y977" s="177" t="str">
        <f t="shared" si="177"/>
        <v/>
      </c>
      <c r="Z977" s="106"/>
      <c r="AA977" s="57"/>
    </row>
    <row r="978" spans="1:27" s="55" customFormat="1" ht="21" customHeight="1" x14ac:dyDescent="0.25">
      <c r="A978" s="56"/>
      <c r="B978" s="284" t="s">
        <v>116</v>
      </c>
      <c r="C978" s="284"/>
      <c r="D978" s="284"/>
      <c r="E978" s="284"/>
      <c r="F978" s="284"/>
      <c r="G978" s="284"/>
      <c r="H978" s="284"/>
      <c r="I978" s="284"/>
      <c r="J978" s="284"/>
      <c r="K978" s="284"/>
      <c r="L978" s="73"/>
      <c r="M978" s="57"/>
      <c r="N978" s="100"/>
      <c r="O978" s="101" t="s">
        <v>73</v>
      </c>
      <c r="P978" s="101"/>
      <c r="Q978" s="101"/>
      <c r="R978" s="101" t="str">
        <f t="shared" si="175"/>
        <v/>
      </c>
      <c r="S978" s="105"/>
      <c r="T978" s="101" t="s">
        <v>73</v>
      </c>
      <c r="U978" s="177" t="str">
        <f>IF($J$1="November",Y977,"")</f>
        <v/>
      </c>
      <c r="V978" s="103"/>
      <c r="W978" s="177" t="str">
        <f t="shared" si="176"/>
        <v/>
      </c>
      <c r="X978" s="103"/>
      <c r="Y978" s="177" t="str">
        <f t="shared" si="177"/>
        <v/>
      </c>
      <c r="Z978" s="106"/>
      <c r="AA978" s="57"/>
    </row>
    <row r="979" spans="1:27" s="55" customFormat="1" ht="21" customHeight="1" x14ac:dyDescent="0.25">
      <c r="A979" s="56"/>
      <c r="B979" s="284"/>
      <c r="C979" s="284"/>
      <c r="D979" s="284"/>
      <c r="E979" s="284"/>
      <c r="F979" s="284"/>
      <c r="G979" s="284"/>
      <c r="H979" s="284"/>
      <c r="I979" s="284"/>
      <c r="J979" s="284"/>
      <c r="K979" s="284"/>
      <c r="L979" s="73"/>
      <c r="M979" s="57"/>
      <c r="N979" s="100"/>
      <c r="O979" s="101" t="s">
        <v>74</v>
      </c>
      <c r="P979" s="101"/>
      <c r="Q979" s="101"/>
      <c r="R979" s="101" t="str">
        <f t="shared" si="175"/>
        <v/>
      </c>
      <c r="S979" s="105"/>
      <c r="T979" s="101" t="s">
        <v>74</v>
      </c>
      <c r="U979" s="177" t="str">
        <f>IF($J$1="Dec",Y978,"")</f>
        <v/>
      </c>
      <c r="V979" s="103"/>
      <c r="W979" s="177" t="str">
        <f t="shared" si="176"/>
        <v/>
      </c>
      <c r="X979" s="103"/>
      <c r="Y979" s="177" t="str">
        <f t="shared" si="177"/>
        <v/>
      </c>
      <c r="Z979" s="106"/>
      <c r="AA979" s="57"/>
    </row>
    <row r="980" spans="1:27" s="55" customFormat="1" ht="21" customHeight="1" thickBot="1" x14ac:dyDescent="0.3">
      <c r="A980" s="86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8"/>
      <c r="N980" s="107"/>
      <c r="O980" s="108"/>
      <c r="P980" s="108"/>
      <c r="Q980" s="108"/>
      <c r="R980" s="108"/>
      <c r="S980" s="108"/>
      <c r="T980" s="108"/>
      <c r="U980" s="108"/>
      <c r="V980" s="108"/>
      <c r="W980" s="108"/>
      <c r="X980" s="108"/>
      <c r="Y980" s="108"/>
      <c r="Z980" s="109"/>
    </row>
    <row r="981" spans="1:27" s="55" customFormat="1" ht="21" customHeight="1" thickBot="1" x14ac:dyDescent="0.3"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  <c r="Z981" s="92"/>
    </row>
    <row r="982" spans="1:27" s="55" customFormat="1" ht="21" customHeight="1" x14ac:dyDescent="0.25">
      <c r="A982" s="297" t="s">
        <v>56</v>
      </c>
      <c r="B982" s="298"/>
      <c r="C982" s="298"/>
      <c r="D982" s="298"/>
      <c r="E982" s="298"/>
      <c r="F982" s="298"/>
      <c r="G982" s="298"/>
      <c r="H982" s="298"/>
      <c r="I982" s="298"/>
      <c r="J982" s="298"/>
      <c r="K982" s="298"/>
      <c r="L982" s="299"/>
      <c r="M982" s="54"/>
      <c r="N982" s="93"/>
      <c r="O982" s="285" t="s">
        <v>58</v>
      </c>
      <c r="P982" s="286"/>
      <c r="Q982" s="286"/>
      <c r="R982" s="287"/>
      <c r="S982" s="94"/>
      <c r="T982" s="285" t="s">
        <v>59</v>
      </c>
      <c r="U982" s="286"/>
      <c r="V982" s="286"/>
      <c r="W982" s="286"/>
      <c r="X982" s="286"/>
      <c r="Y982" s="287"/>
      <c r="Z982" s="95"/>
      <c r="AA982" s="54"/>
    </row>
    <row r="983" spans="1:27" s="55" customFormat="1" ht="21" customHeight="1" x14ac:dyDescent="0.25">
      <c r="A983" s="56"/>
      <c r="B983" s="57"/>
      <c r="C983" s="288" t="s">
        <v>114</v>
      </c>
      <c r="D983" s="288"/>
      <c r="E983" s="288"/>
      <c r="F983" s="288"/>
      <c r="G983" s="58" t="str">
        <f>$J$1</f>
        <v>June</v>
      </c>
      <c r="H983" s="289">
        <f>$K$1</f>
        <v>2019</v>
      </c>
      <c r="I983" s="289"/>
      <c r="J983" s="57"/>
      <c r="K983" s="59"/>
      <c r="L983" s="60"/>
      <c r="M983" s="59"/>
      <c r="N983" s="96"/>
      <c r="O983" s="97" t="s">
        <v>69</v>
      </c>
      <c r="P983" s="97" t="s">
        <v>7</v>
      </c>
      <c r="Q983" s="97" t="s">
        <v>6</v>
      </c>
      <c r="R983" s="97" t="s">
        <v>70</v>
      </c>
      <c r="S983" s="98"/>
      <c r="T983" s="97" t="s">
        <v>69</v>
      </c>
      <c r="U983" s="97" t="s">
        <v>71</v>
      </c>
      <c r="V983" s="97" t="s">
        <v>29</v>
      </c>
      <c r="W983" s="97" t="s">
        <v>28</v>
      </c>
      <c r="X983" s="97" t="s">
        <v>30</v>
      </c>
      <c r="Y983" s="97" t="s">
        <v>75</v>
      </c>
      <c r="Z983" s="99"/>
      <c r="AA983" s="59"/>
    </row>
    <row r="984" spans="1:27" s="55" customFormat="1" ht="21" customHeight="1" x14ac:dyDescent="0.25">
      <c r="A984" s="56"/>
      <c r="B984" s="57"/>
      <c r="C984" s="57"/>
      <c r="D984" s="62"/>
      <c r="E984" s="62"/>
      <c r="F984" s="62"/>
      <c r="G984" s="62"/>
      <c r="H984" s="62"/>
      <c r="I984" s="57"/>
      <c r="J984" s="63" t="s">
        <v>1</v>
      </c>
      <c r="K984" s="64">
        <v>21000</v>
      </c>
      <c r="L984" s="65"/>
      <c r="M984" s="57"/>
      <c r="N984" s="100"/>
      <c r="O984" s="101" t="s">
        <v>61</v>
      </c>
      <c r="P984" s="101">
        <v>23</v>
      </c>
      <c r="Q984" s="101">
        <v>8</v>
      </c>
      <c r="R984" s="101">
        <f>15-Q984</f>
        <v>7</v>
      </c>
      <c r="S984" s="102"/>
      <c r="T984" s="101" t="s">
        <v>61</v>
      </c>
      <c r="U984" s="103">
        <v>106500</v>
      </c>
      <c r="V984" s="103"/>
      <c r="W984" s="103">
        <f>V984+U984</f>
        <v>106500</v>
      </c>
      <c r="X984" s="103">
        <v>5000</v>
      </c>
      <c r="Y984" s="103">
        <f>W984-X984</f>
        <v>101500</v>
      </c>
      <c r="Z984" s="99"/>
      <c r="AA984" s="57"/>
    </row>
    <row r="985" spans="1:27" s="55" customFormat="1" ht="21" customHeight="1" x14ac:dyDescent="0.25">
      <c r="A985" s="56"/>
      <c r="B985" s="57" t="s">
        <v>0</v>
      </c>
      <c r="C985" s="67" t="s">
        <v>104</v>
      </c>
      <c r="D985" s="57"/>
      <c r="E985" s="57"/>
      <c r="F985" s="57"/>
      <c r="G985" s="57"/>
      <c r="H985" s="68"/>
      <c r="I985" s="62"/>
      <c r="J985" s="57"/>
      <c r="K985" s="57"/>
      <c r="L985" s="69"/>
      <c r="M985" s="54"/>
      <c r="N985" s="104"/>
      <c r="O985" s="101" t="s">
        <v>87</v>
      </c>
      <c r="P985" s="101">
        <f>28-11</f>
        <v>17</v>
      </c>
      <c r="Q985" s="101">
        <v>11</v>
      </c>
      <c r="R985" s="101">
        <v>0</v>
      </c>
      <c r="S985" s="105"/>
      <c r="T985" s="101" t="s">
        <v>87</v>
      </c>
      <c r="U985" s="177">
        <f>Y984</f>
        <v>101500</v>
      </c>
      <c r="V985" s="103"/>
      <c r="W985" s="177">
        <f>IF(U985="","",U985+V985)</f>
        <v>101500</v>
      </c>
      <c r="X985" s="103">
        <v>5000</v>
      </c>
      <c r="Y985" s="177">
        <f>IF(W985="","",W985-X985)</f>
        <v>96500</v>
      </c>
      <c r="Z985" s="106"/>
      <c r="AA985" s="54"/>
    </row>
    <row r="986" spans="1:27" s="55" customFormat="1" ht="21" customHeight="1" x14ac:dyDescent="0.25">
      <c r="A986" s="56"/>
      <c r="B986" s="71" t="s">
        <v>57</v>
      </c>
      <c r="C986" s="72"/>
      <c r="D986" s="57"/>
      <c r="E986" s="57"/>
      <c r="F986" s="290" t="s">
        <v>59</v>
      </c>
      <c r="G986" s="290"/>
      <c r="H986" s="57"/>
      <c r="I986" s="290" t="s">
        <v>60</v>
      </c>
      <c r="J986" s="290"/>
      <c r="K986" s="290"/>
      <c r="L986" s="73"/>
      <c r="M986" s="57"/>
      <c r="N986" s="100"/>
      <c r="O986" s="101" t="s">
        <v>62</v>
      </c>
      <c r="P986" s="101">
        <v>22</v>
      </c>
      <c r="Q986" s="101">
        <v>9</v>
      </c>
      <c r="R986" s="101">
        <v>0</v>
      </c>
      <c r="S986" s="105"/>
      <c r="T986" s="101" t="s">
        <v>62</v>
      </c>
      <c r="U986" s="177">
        <f>Y985</f>
        <v>96500</v>
      </c>
      <c r="V986" s="103"/>
      <c r="W986" s="177">
        <f t="shared" ref="W986:W995" si="178">IF(U986="","",U986+V986)</f>
        <v>96500</v>
      </c>
      <c r="X986" s="103">
        <v>5000</v>
      </c>
      <c r="Y986" s="177">
        <f t="shared" ref="Y986:Y995" si="179">IF(W986="","",W986-X986)</f>
        <v>91500</v>
      </c>
      <c r="Z986" s="106"/>
      <c r="AA986" s="57"/>
    </row>
    <row r="987" spans="1:27" s="55" customFormat="1" ht="21" customHeight="1" x14ac:dyDescent="0.25">
      <c r="A987" s="56"/>
      <c r="B987" s="57"/>
      <c r="C987" s="57"/>
      <c r="D987" s="57"/>
      <c r="E987" s="57"/>
      <c r="F987" s="57"/>
      <c r="G987" s="57"/>
      <c r="H987" s="74"/>
      <c r="L987" s="61"/>
      <c r="M987" s="57"/>
      <c r="N987" s="100"/>
      <c r="O987" s="101" t="s">
        <v>63</v>
      </c>
      <c r="P987" s="101">
        <v>29</v>
      </c>
      <c r="Q987" s="101">
        <v>1</v>
      </c>
      <c r="R987" s="101">
        <v>0</v>
      </c>
      <c r="S987" s="105"/>
      <c r="T987" s="101" t="s">
        <v>63</v>
      </c>
      <c r="U987" s="177">
        <f>Y986</f>
        <v>91500</v>
      </c>
      <c r="V987" s="103">
        <v>5000</v>
      </c>
      <c r="W987" s="177">
        <f t="shared" si="178"/>
        <v>96500</v>
      </c>
      <c r="X987" s="103">
        <v>5000</v>
      </c>
      <c r="Y987" s="177">
        <f t="shared" si="179"/>
        <v>91500</v>
      </c>
      <c r="Z987" s="106"/>
      <c r="AA987" s="57"/>
    </row>
    <row r="988" spans="1:27" s="55" customFormat="1" ht="21" customHeight="1" x14ac:dyDescent="0.25">
      <c r="A988" s="56"/>
      <c r="B988" s="291" t="s">
        <v>58</v>
      </c>
      <c r="C988" s="292"/>
      <c r="D988" s="57"/>
      <c r="E988" s="57"/>
      <c r="F988" s="75" t="s">
        <v>80</v>
      </c>
      <c r="G988" s="197">
        <f>IF($J$1="January",U984,IF($J$1="February",U985,IF($J$1="March",U986,IF($J$1="April",U987,IF($J$1="May",U988,IF($J$1="June",U989,IF($J$1="July",U990,IF($J$1="August",U991,IF($J$1="August",U991,IF($J$1="September",U992,IF($J$1="October",U993,IF($J$1="November",U994,IF($J$1="December",U995)))))))))))))</f>
        <v>96500</v>
      </c>
      <c r="H988" s="74"/>
      <c r="I988" s="76">
        <f>IF(C992&gt;0,$K$2,C990)</f>
        <v>29</v>
      </c>
      <c r="J988" s="77" t="s">
        <v>77</v>
      </c>
      <c r="K988" s="78">
        <f>K984/$K$2*I988</f>
        <v>20300</v>
      </c>
      <c r="L988" s="79"/>
      <c r="M988" s="57"/>
      <c r="N988" s="100"/>
      <c r="O988" s="101" t="s">
        <v>64</v>
      </c>
      <c r="P988" s="101">
        <v>8</v>
      </c>
      <c r="Q988" s="101">
        <v>0</v>
      </c>
      <c r="R988" s="101">
        <f t="shared" ref="R988:R990" si="180">IF(Q988="","",R987-Q988)</f>
        <v>0</v>
      </c>
      <c r="S988" s="105"/>
      <c r="T988" s="101" t="s">
        <v>64</v>
      </c>
      <c r="U988" s="177">
        <f>Y987</f>
        <v>91500</v>
      </c>
      <c r="V988" s="103">
        <v>5000</v>
      </c>
      <c r="W988" s="177">
        <f t="shared" si="178"/>
        <v>96500</v>
      </c>
      <c r="X988" s="103"/>
      <c r="Y988" s="177">
        <f t="shared" si="179"/>
        <v>96500</v>
      </c>
      <c r="Z988" s="106"/>
      <c r="AA988" s="57"/>
    </row>
    <row r="989" spans="1:27" s="55" customFormat="1" ht="21" customHeight="1" x14ac:dyDescent="0.25">
      <c r="A989" s="56"/>
      <c r="B989" s="66"/>
      <c r="C989" s="66"/>
      <c r="D989" s="57"/>
      <c r="E989" s="57"/>
      <c r="F989" s="75" t="s">
        <v>29</v>
      </c>
      <c r="G989" s="197">
        <f>IF($J$1="January",V984,IF($J$1="February",V985,IF($J$1="March",V986,IF($J$1="April",V987,IF($J$1="May",V988,IF($J$1="June",V989,IF($J$1="July",V990,IF($J$1="August",V991,IF($J$1="August",V991,IF($J$1="September",V992,IF($J$1="October",V993,IF($J$1="November",V994,IF($J$1="December",V995)))))))))))))</f>
        <v>80</v>
      </c>
      <c r="H989" s="74"/>
      <c r="I989" s="120">
        <v>70</v>
      </c>
      <c r="J989" s="77" t="s">
        <v>78</v>
      </c>
      <c r="K989" s="80">
        <f>K984/$K$2/8*I989</f>
        <v>6125</v>
      </c>
      <c r="L989" s="81"/>
      <c r="M989" s="57"/>
      <c r="N989" s="100"/>
      <c r="O989" s="101" t="s">
        <v>65</v>
      </c>
      <c r="P989" s="101">
        <v>29</v>
      </c>
      <c r="Q989" s="101">
        <v>1</v>
      </c>
      <c r="R989" s="101">
        <v>0</v>
      </c>
      <c r="S989" s="105"/>
      <c r="T989" s="101" t="s">
        <v>65</v>
      </c>
      <c r="U989" s="177">
        <f>Y988</f>
        <v>96500</v>
      </c>
      <c r="V989" s="103">
        <v>80</v>
      </c>
      <c r="W989" s="177">
        <f t="shared" si="178"/>
        <v>96580</v>
      </c>
      <c r="X989" s="103">
        <v>5080</v>
      </c>
      <c r="Y989" s="177">
        <f t="shared" si="179"/>
        <v>91500</v>
      </c>
      <c r="Z989" s="106"/>
      <c r="AA989" s="57"/>
    </row>
    <row r="990" spans="1:27" s="55" customFormat="1" ht="21" customHeight="1" x14ac:dyDescent="0.25">
      <c r="A990" s="56"/>
      <c r="B990" s="75" t="s">
        <v>7</v>
      </c>
      <c r="C990" s="66">
        <f>IF($J$1="January",P984,IF($J$1="February",P985,IF($J$1="March",P986,IF($J$1="April",P987,IF($J$1="May",P988,IF($J$1="June",P989,IF($J$1="July",P990,IF($J$1="August",P991,IF($J$1="August",P991,IF($J$1="September",P992,IF($J$1="October",P993,IF($J$1="November",P994,IF($J$1="December",P995)))))))))))))</f>
        <v>29</v>
      </c>
      <c r="D990" s="57"/>
      <c r="E990" s="57"/>
      <c r="F990" s="75" t="s">
        <v>81</v>
      </c>
      <c r="G990" s="197">
        <f>IF($J$1="January",W984,IF($J$1="February",W985,IF($J$1="March",W986,IF($J$1="April",W987,IF($J$1="May",W988,IF($J$1="June",W989,IF($J$1="July",W990,IF($J$1="August",W991,IF($J$1="August",W991,IF($J$1="September",W992,IF($J$1="October",W993,IF($J$1="November",W994,IF($J$1="December",W995)))))))))))))</f>
        <v>96580</v>
      </c>
      <c r="H990" s="74"/>
      <c r="I990" s="293" t="s">
        <v>85</v>
      </c>
      <c r="J990" s="294"/>
      <c r="K990" s="80">
        <f>K988+K989</f>
        <v>26425</v>
      </c>
      <c r="L990" s="81"/>
      <c r="M990" s="57"/>
      <c r="N990" s="100"/>
      <c r="O990" s="101" t="s">
        <v>66</v>
      </c>
      <c r="P990" s="101"/>
      <c r="Q990" s="101"/>
      <c r="R990" s="101" t="str">
        <f t="shared" si="180"/>
        <v/>
      </c>
      <c r="S990" s="105"/>
      <c r="T990" s="101" t="s">
        <v>66</v>
      </c>
      <c r="U990" s="177"/>
      <c r="V990" s="103"/>
      <c r="W990" s="177" t="str">
        <f t="shared" si="178"/>
        <v/>
      </c>
      <c r="X990" s="103"/>
      <c r="Y990" s="177" t="str">
        <f t="shared" si="179"/>
        <v/>
      </c>
      <c r="Z990" s="106"/>
      <c r="AA990" s="57"/>
    </row>
    <row r="991" spans="1:27" s="55" customFormat="1" ht="21" customHeight="1" x14ac:dyDescent="0.25">
      <c r="A991" s="56"/>
      <c r="B991" s="75" t="s">
        <v>6</v>
      </c>
      <c r="C991" s="66">
        <f>IF($J$1="January",Q984,IF($J$1="February",Q985,IF($J$1="March",Q986,IF($J$1="April",Q987,IF($J$1="May",Q988,IF($J$1="June",Q989,IF($J$1="July",Q990,IF($J$1="August",Q991,IF($J$1="August",Q991,IF($J$1="September",Q992,IF($J$1="October",Q993,IF($J$1="November",Q994,IF($J$1="December",Q995)))))))))))))</f>
        <v>1</v>
      </c>
      <c r="D991" s="57"/>
      <c r="E991" s="57"/>
      <c r="F991" s="75" t="s">
        <v>30</v>
      </c>
      <c r="G991" s="197">
        <f>IF($J$1="January",X984,IF($J$1="February",X985,IF($J$1="March",X986,IF($J$1="April",X987,IF($J$1="May",X988,IF($J$1="June",X989,IF($J$1="July",X990,IF($J$1="August",X991,IF($J$1="August",X991,IF($J$1="September",X992,IF($J$1="October",X993,IF($J$1="November",X994,IF($J$1="December",X995)))))))))))))</f>
        <v>5080</v>
      </c>
      <c r="H991" s="74"/>
      <c r="I991" s="293" t="s">
        <v>86</v>
      </c>
      <c r="J991" s="294"/>
      <c r="K991" s="70">
        <f>G991</f>
        <v>5080</v>
      </c>
      <c r="L991" s="82"/>
      <c r="M991" s="57"/>
      <c r="N991" s="100"/>
      <c r="O991" s="101" t="s">
        <v>67</v>
      </c>
      <c r="P991" s="101"/>
      <c r="Q991" s="101"/>
      <c r="R991" s="101">
        <v>0</v>
      </c>
      <c r="S991" s="105"/>
      <c r="T991" s="101" t="s">
        <v>67</v>
      </c>
      <c r="U991" s="177"/>
      <c r="V991" s="103"/>
      <c r="W991" s="177" t="str">
        <f t="shared" si="178"/>
        <v/>
      </c>
      <c r="X991" s="103"/>
      <c r="Y991" s="177" t="str">
        <f t="shared" si="179"/>
        <v/>
      </c>
      <c r="Z991" s="106"/>
      <c r="AA991" s="57"/>
    </row>
    <row r="992" spans="1:27" s="55" customFormat="1" ht="21" customHeight="1" x14ac:dyDescent="0.25">
      <c r="A992" s="56"/>
      <c r="B992" s="83" t="s">
        <v>84</v>
      </c>
      <c r="C992" s="66">
        <f>IF($J$1="January",R984,IF($J$1="February",R985,IF($J$1="March",R986,IF($J$1="April",R987,IF($J$1="May",R988,IF($J$1="June",R989,IF($J$1="July",R990,IF($J$1="August",R991,IF($J$1="August",R991,IF($J$1="September",R992,IF($J$1="October",R993,IF($J$1="November",R994,IF($J$1="December",R995)))))))))))))</f>
        <v>0</v>
      </c>
      <c r="D992" s="57"/>
      <c r="E992" s="57"/>
      <c r="F992" s="75" t="s">
        <v>83</v>
      </c>
      <c r="G992" s="197">
        <f>IF($J$1="January",Y984,IF($J$1="February",Y985,IF($J$1="March",Y986,IF($J$1="April",Y987,IF($J$1="May",Y988,IF($J$1="June",Y989,IF($J$1="July",Y990,IF($J$1="August",Y991,IF($J$1="August",Y991,IF($J$1="September",Y992,IF($J$1="October",Y993,IF($J$1="November",Y994,IF($J$1="December",Y995)))))))))))))</f>
        <v>91500</v>
      </c>
      <c r="H992" s="57"/>
      <c r="I992" s="295" t="s">
        <v>79</v>
      </c>
      <c r="J992" s="296"/>
      <c r="K992" s="84">
        <f>K990-K991</f>
        <v>21345</v>
      </c>
      <c r="L992" s="85"/>
      <c r="M992" s="57"/>
      <c r="N992" s="100"/>
      <c r="O992" s="101" t="s">
        <v>72</v>
      </c>
      <c r="P992" s="101"/>
      <c r="Q992" s="101"/>
      <c r="R992" s="101">
        <v>0</v>
      </c>
      <c r="S992" s="105"/>
      <c r="T992" s="101" t="s">
        <v>72</v>
      </c>
      <c r="U992" s="177"/>
      <c r="V992" s="103"/>
      <c r="W992" s="177" t="str">
        <f t="shared" si="178"/>
        <v/>
      </c>
      <c r="X992" s="103"/>
      <c r="Y992" s="177" t="str">
        <f t="shared" si="179"/>
        <v/>
      </c>
      <c r="Z992" s="106"/>
      <c r="AA992" s="57"/>
    </row>
    <row r="993" spans="1:27" s="55" customFormat="1" ht="21" customHeight="1" x14ac:dyDescent="0.25">
      <c r="A993" s="56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73"/>
      <c r="M993" s="57"/>
      <c r="N993" s="100"/>
      <c r="O993" s="101" t="s">
        <v>68</v>
      </c>
      <c r="P993" s="101"/>
      <c r="Q993" s="101"/>
      <c r="R993" s="101">
        <v>0</v>
      </c>
      <c r="S993" s="105"/>
      <c r="T993" s="101" t="s">
        <v>68</v>
      </c>
      <c r="U993" s="177"/>
      <c r="V993" s="103"/>
      <c r="W993" s="177" t="str">
        <f t="shared" si="178"/>
        <v/>
      </c>
      <c r="X993" s="103"/>
      <c r="Y993" s="177" t="str">
        <f t="shared" si="179"/>
        <v/>
      </c>
      <c r="Z993" s="106"/>
      <c r="AA993" s="57"/>
    </row>
    <row r="994" spans="1:27" s="55" customFormat="1" ht="21" customHeight="1" x14ac:dyDescent="0.25">
      <c r="A994" s="56"/>
      <c r="B994" s="284" t="s">
        <v>116</v>
      </c>
      <c r="C994" s="284"/>
      <c r="D994" s="284"/>
      <c r="E994" s="284"/>
      <c r="F994" s="284"/>
      <c r="G994" s="284"/>
      <c r="H994" s="284"/>
      <c r="I994" s="284"/>
      <c r="J994" s="284"/>
      <c r="K994" s="284"/>
      <c r="L994" s="73"/>
      <c r="M994" s="57"/>
      <c r="N994" s="100"/>
      <c r="O994" s="101" t="s">
        <v>73</v>
      </c>
      <c r="P994" s="101"/>
      <c r="Q994" s="101"/>
      <c r="R994" s="101">
        <v>0</v>
      </c>
      <c r="S994" s="105"/>
      <c r="T994" s="101" t="s">
        <v>73</v>
      </c>
      <c r="U994" s="177"/>
      <c r="V994" s="103"/>
      <c r="W994" s="177" t="str">
        <f t="shared" si="178"/>
        <v/>
      </c>
      <c r="X994" s="103"/>
      <c r="Y994" s="177" t="str">
        <f t="shared" si="179"/>
        <v/>
      </c>
      <c r="Z994" s="106"/>
      <c r="AA994" s="57"/>
    </row>
    <row r="995" spans="1:27" s="55" customFormat="1" ht="21" customHeight="1" x14ac:dyDescent="0.25">
      <c r="A995" s="56"/>
      <c r="B995" s="284"/>
      <c r="C995" s="284"/>
      <c r="D995" s="284"/>
      <c r="E995" s="284"/>
      <c r="F995" s="284"/>
      <c r="G995" s="284"/>
      <c r="H995" s="284"/>
      <c r="I995" s="284"/>
      <c r="J995" s="284"/>
      <c r="K995" s="284"/>
      <c r="L995" s="73"/>
      <c r="M995" s="57"/>
      <c r="N995" s="100"/>
      <c r="O995" s="101" t="s">
        <v>74</v>
      </c>
      <c r="P995" s="101"/>
      <c r="Q995" s="101"/>
      <c r="R995" s="101">
        <v>0</v>
      </c>
      <c r="S995" s="105"/>
      <c r="T995" s="101" t="s">
        <v>74</v>
      </c>
      <c r="U995" s="177"/>
      <c r="V995" s="103"/>
      <c r="W995" s="177" t="str">
        <f t="shared" si="178"/>
        <v/>
      </c>
      <c r="X995" s="103"/>
      <c r="Y995" s="177" t="str">
        <f t="shared" si="179"/>
        <v/>
      </c>
      <c r="Z995" s="106"/>
      <c r="AA995" s="57"/>
    </row>
    <row r="996" spans="1:27" s="55" customFormat="1" ht="21" customHeight="1" thickBot="1" x14ac:dyDescent="0.3">
      <c r="A996" s="86"/>
      <c r="B996" s="87"/>
      <c r="C996" s="87"/>
      <c r="D996" s="87"/>
      <c r="E996" s="87"/>
      <c r="F996" s="87"/>
      <c r="G996" s="87"/>
      <c r="H996" s="87"/>
      <c r="I996" s="87"/>
      <c r="J996" s="87"/>
      <c r="K996" s="87"/>
      <c r="L996" s="88"/>
      <c r="N996" s="107"/>
      <c r="O996" s="108"/>
      <c r="P996" s="108"/>
      <c r="Q996" s="108"/>
      <c r="R996" s="108"/>
      <c r="S996" s="108"/>
      <c r="T996" s="108"/>
      <c r="U996" s="108"/>
      <c r="V996" s="108"/>
      <c r="W996" s="108"/>
      <c r="X996" s="108"/>
      <c r="Y996" s="108"/>
      <c r="Z996" s="109"/>
    </row>
    <row r="997" spans="1:27" s="55" customFormat="1" ht="21" customHeight="1" thickBot="1" x14ac:dyDescent="0.3">
      <c r="N997" s="92"/>
      <c r="O997" s="92"/>
      <c r="P997" s="92"/>
      <c r="Q997" s="92"/>
      <c r="R997" s="92"/>
      <c r="S997" s="92"/>
      <c r="T997" s="92"/>
      <c r="U997" s="92"/>
      <c r="V997" s="92"/>
      <c r="W997" s="92"/>
      <c r="X997" s="92"/>
      <c r="Y997" s="92"/>
      <c r="Z997" s="92"/>
    </row>
    <row r="998" spans="1:27" s="55" customFormat="1" ht="21" customHeight="1" x14ac:dyDescent="0.25">
      <c r="A998" s="297" t="s">
        <v>56</v>
      </c>
      <c r="B998" s="298"/>
      <c r="C998" s="298"/>
      <c r="D998" s="298"/>
      <c r="E998" s="298"/>
      <c r="F998" s="298"/>
      <c r="G998" s="298"/>
      <c r="H998" s="298"/>
      <c r="I998" s="298"/>
      <c r="J998" s="298"/>
      <c r="K998" s="298"/>
      <c r="L998" s="299"/>
      <c r="M998" s="54"/>
      <c r="N998" s="93"/>
      <c r="O998" s="285" t="s">
        <v>58</v>
      </c>
      <c r="P998" s="286"/>
      <c r="Q998" s="286"/>
      <c r="R998" s="287"/>
      <c r="S998" s="94"/>
      <c r="T998" s="285" t="s">
        <v>59</v>
      </c>
      <c r="U998" s="286"/>
      <c r="V998" s="286"/>
      <c r="W998" s="286"/>
      <c r="X998" s="286"/>
      <c r="Y998" s="287"/>
      <c r="Z998" s="95"/>
      <c r="AA998" s="54"/>
    </row>
    <row r="999" spans="1:27" s="55" customFormat="1" ht="21" customHeight="1" x14ac:dyDescent="0.25">
      <c r="A999" s="56"/>
      <c r="B999" s="57"/>
      <c r="C999" s="288" t="s">
        <v>114</v>
      </c>
      <c r="D999" s="288"/>
      <c r="E999" s="288"/>
      <c r="F999" s="288"/>
      <c r="G999" s="58" t="str">
        <f>$J$1</f>
        <v>June</v>
      </c>
      <c r="H999" s="289">
        <f>$K$1</f>
        <v>2019</v>
      </c>
      <c r="I999" s="289"/>
      <c r="J999" s="57"/>
      <c r="K999" s="59"/>
      <c r="L999" s="60"/>
      <c r="M999" s="59"/>
      <c r="N999" s="96"/>
      <c r="O999" s="97" t="s">
        <v>69</v>
      </c>
      <c r="P999" s="97" t="s">
        <v>7</v>
      </c>
      <c r="Q999" s="97" t="s">
        <v>6</v>
      </c>
      <c r="R999" s="97" t="s">
        <v>70</v>
      </c>
      <c r="S999" s="98"/>
      <c r="T999" s="97" t="s">
        <v>69</v>
      </c>
      <c r="U999" s="97" t="s">
        <v>71</v>
      </c>
      <c r="V999" s="97" t="s">
        <v>29</v>
      </c>
      <c r="W999" s="97" t="s">
        <v>28</v>
      </c>
      <c r="X999" s="97" t="s">
        <v>30</v>
      </c>
      <c r="Y999" s="97" t="s">
        <v>75</v>
      </c>
      <c r="Z999" s="99"/>
      <c r="AA999" s="59"/>
    </row>
    <row r="1000" spans="1:27" s="55" customFormat="1" ht="21" customHeight="1" x14ac:dyDescent="0.25">
      <c r="A1000" s="56"/>
      <c r="B1000" s="57"/>
      <c r="C1000" s="57"/>
      <c r="D1000" s="62"/>
      <c r="E1000" s="62"/>
      <c r="F1000" s="62"/>
      <c r="G1000" s="62"/>
      <c r="H1000" s="62"/>
      <c r="I1000" s="57"/>
      <c r="J1000" s="63" t="s">
        <v>1</v>
      </c>
      <c r="K1000" s="64">
        <f>25000+2000</f>
        <v>27000</v>
      </c>
      <c r="L1000" s="65"/>
      <c r="M1000" s="57"/>
      <c r="N1000" s="100"/>
      <c r="O1000" s="101" t="s">
        <v>61</v>
      </c>
      <c r="P1000" s="101">
        <v>31</v>
      </c>
      <c r="Q1000" s="101">
        <v>0</v>
      </c>
      <c r="R1000" s="101">
        <f>15-Q1000</f>
        <v>15</v>
      </c>
      <c r="S1000" s="102"/>
      <c r="T1000" s="101" t="s">
        <v>61</v>
      </c>
      <c r="U1000" s="103"/>
      <c r="V1000" s="103"/>
      <c r="W1000" s="103">
        <f>V1000+U1000</f>
        <v>0</v>
      </c>
      <c r="X1000" s="103"/>
      <c r="Y1000" s="103">
        <f>W1000-X1000</f>
        <v>0</v>
      </c>
      <c r="Z1000" s="99"/>
      <c r="AA1000" s="57"/>
    </row>
    <row r="1001" spans="1:27" s="55" customFormat="1" ht="21" customHeight="1" x14ac:dyDescent="0.25">
      <c r="A1001" s="56"/>
      <c r="B1001" s="57" t="s">
        <v>0</v>
      </c>
      <c r="C1001" s="67" t="s">
        <v>106</v>
      </c>
      <c r="D1001" s="57"/>
      <c r="E1001" s="57"/>
      <c r="F1001" s="57"/>
      <c r="G1001" s="57"/>
      <c r="H1001" s="68"/>
      <c r="I1001" s="62"/>
      <c r="J1001" s="57"/>
      <c r="K1001" s="57"/>
      <c r="L1001" s="69"/>
      <c r="M1001" s="54"/>
      <c r="N1001" s="104"/>
      <c r="O1001" s="101" t="s">
        <v>87</v>
      </c>
      <c r="P1001" s="101">
        <v>28</v>
      </c>
      <c r="Q1001" s="101">
        <v>0</v>
      </c>
      <c r="R1001" s="186">
        <f>IF(Q1001="","",R1000-Q1001)</f>
        <v>15</v>
      </c>
      <c r="S1001" s="105"/>
      <c r="T1001" s="101" t="s">
        <v>87</v>
      </c>
      <c r="U1001" s="177">
        <f>Y1000</f>
        <v>0</v>
      </c>
      <c r="V1001" s="103"/>
      <c r="W1001" s="177">
        <f>IF(U1001="","",U1001+V1001)</f>
        <v>0</v>
      </c>
      <c r="X1001" s="103"/>
      <c r="Y1001" s="177">
        <f>IF(W1001="","",W1001-X1001)</f>
        <v>0</v>
      </c>
      <c r="Z1001" s="106"/>
      <c r="AA1001" s="54"/>
    </row>
    <row r="1002" spans="1:27" s="55" customFormat="1" ht="21" customHeight="1" x14ac:dyDescent="0.25">
      <c r="A1002" s="56"/>
      <c r="B1002" s="71" t="s">
        <v>57</v>
      </c>
      <c r="C1002" s="72"/>
      <c r="D1002" s="57"/>
      <c r="E1002" s="57"/>
      <c r="F1002" s="290" t="s">
        <v>59</v>
      </c>
      <c r="G1002" s="290"/>
      <c r="H1002" s="57"/>
      <c r="I1002" s="290" t="s">
        <v>60</v>
      </c>
      <c r="J1002" s="290"/>
      <c r="K1002" s="290"/>
      <c r="L1002" s="73"/>
      <c r="M1002" s="57"/>
      <c r="N1002" s="100"/>
      <c r="O1002" s="101" t="s">
        <v>62</v>
      </c>
      <c r="P1002" s="101">
        <v>30</v>
      </c>
      <c r="Q1002" s="101">
        <v>1</v>
      </c>
      <c r="R1002" s="101">
        <f t="shared" ref="R1002:R1011" si="181">IF(Q1002="","",R1001-Q1002)</f>
        <v>14</v>
      </c>
      <c r="S1002" s="105"/>
      <c r="T1002" s="101" t="s">
        <v>62</v>
      </c>
      <c r="U1002" s="177">
        <f>IF($J$1="April",Y1001,Y1001)</f>
        <v>0</v>
      </c>
      <c r="V1002" s="103"/>
      <c r="W1002" s="177">
        <f t="shared" ref="W1002:W1011" si="182">IF(U1002="","",U1002+V1002)</f>
        <v>0</v>
      </c>
      <c r="X1002" s="103"/>
      <c r="Y1002" s="177">
        <f t="shared" ref="Y1002:Y1011" si="183">IF(W1002="","",W1002-X1002)</f>
        <v>0</v>
      </c>
      <c r="Z1002" s="106"/>
      <c r="AA1002" s="57"/>
    </row>
    <row r="1003" spans="1:27" s="55" customFormat="1" ht="21" customHeight="1" x14ac:dyDescent="0.25">
      <c r="A1003" s="56"/>
      <c r="B1003" s="57"/>
      <c r="C1003" s="57"/>
      <c r="D1003" s="57"/>
      <c r="E1003" s="57"/>
      <c r="F1003" s="57"/>
      <c r="G1003" s="57"/>
      <c r="H1003" s="74"/>
      <c r="L1003" s="61"/>
      <c r="M1003" s="57"/>
      <c r="N1003" s="100"/>
      <c r="O1003" s="101" t="s">
        <v>63</v>
      </c>
      <c r="P1003" s="101">
        <v>30</v>
      </c>
      <c r="Q1003" s="101">
        <v>0</v>
      </c>
      <c r="R1003" s="101">
        <f t="shared" si="181"/>
        <v>14</v>
      </c>
      <c r="S1003" s="105"/>
      <c r="T1003" s="101" t="s">
        <v>63</v>
      </c>
      <c r="U1003" s="177">
        <f>IF($J$1="April",Y1002,Y1002)</f>
        <v>0</v>
      </c>
      <c r="V1003" s="103"/>
      <c r="W1003" s="177">
        <f t="shared" si="182"/>
        <v>0</v>
      </c>
      <c r="X1003" s="103"/>
      <c r="Y1003" s="177">
        <f t="shared" si="183"/>
        <v>0</v>
      </c>
      <c r="Z1003" s="106"/>
      <c r="AA1003" s="57"/>
    </row>
    <row r="1004" spans="1:27" s="55" customFormat="1" ht="21" customHeight="1" x14ac:dyDescent="0.25">
      <c r="A1004" s="56"/>
      <c r="B1004" s="291" t="s">
        <v>58</v>
      </c>
      <c r="C1004" s="292"/>
      <c r="D1004" s="57"/>
      <c r="E1004" s="57"/>
      <c r="F1004" s="75" t="s">
        <v>80</v>
      </c>
      <c r="G1004" s="70">
        <f>IF($J$1="January",U1000,IF($J$1="February",U1001,IF($J$1="March",U1002,IF($J$1="April",U1003,IF($J$1="May",U1004,IF($J$1="June",U1005,IF($J$1="July",U1006,IF($J$1="August",U1007,IF($J$1="August",U1007,IF($J$1="September",U1008,IF($J$1="October",U1009,IF($J$1="November",U1010,IF($J$1="December",U1011)))))))))))))</f>
        <v>0</v>
      </c>
      <c r="H1004" s="74"/>
      <c r="I1004" s="76">
        <f>IF(C1008&gt;0,$K$2,C1006)</f>
        <v>30</v>
      </c>
      <c r="J1004" s="77" t="s">
        <v>77</v>
      </c>
      <c r="K1004" s="78">
        <f>K1000/$K$2*I1004</f>
        <v>27000</v>
      </c>
      <c r="L1004" s="79"/>
      <c r="M1004" s="57"/>
      <c r="N1004" s="100"/>
      <c r="O1004" s="101" t="s">
        <v>64</v>
      </c>
      <c r="P1004" s="101">
        <v>31</v>
      </c>
      <c r="Q1004" s="101">
        <v>0</v>
      </c>
      <c r="R1004" s="101">
        <f t="shared" si="181"/>
        <v>14</v>
      </c>
      <c r="S1004" s="105"/>
      <c r="T1004" s="101" t="s">
        <v>64</v>
      </c>
      <c r="U1004" s="177">
        <f>IF($J$1="May",Y1003,Y1003)</f>
        <v>0</v>
      </c>
      <c r="V1004" s="103"/>
      <c r="W1004" s="177">
        <f t="shared" si="182"/>
        <v>0</v>
      </c>
      <c r="X1004" s="103"/>
      <c r="Y1004" s="177">
        <f t="shared" si="183"/>
        <v>0</v>
      </c>
      <c r="Z1004" s="106"/>
      <c r="AA1004" s="57"/>
    </row>
    <row r="1005" spans="1:27" s="55" customFormat="1" ht="21" customHeight="1" x14ac:dyDescent="0.25">
      <c r="A1005" s="56"/>
      <c r="B1005" s="66"/>
      <c r="C1005" s="66"/>
      <c r="D1005" s="57"/>
      <c r="E1005" s="57"/>
      <c r="F1005" s="75" t="s">
        <v>29</v>
      </c>
      <c r="G1005" s="70">
        <f>IF($J$1="January",V1000,IF($J$1="February",V1001,IF($J$1="March",V1002,IF($J$1="April",V1003,IF($J$1="May",V1004,IF($J$1="June",V1005,IF($J$1="July",V1006,IF($J$1="August",V1007,IF($J$1="August",V1007,IF($J$1="September",V1008,IF($J$1="October",V1009,IF($J$1="November",V1010,IF($J$1="December",V1011)))))))))))))</f>
        <v>0</v>
      </c>
      <c r="H1005" s="74"/>
      <c r="I1005" s="120">
        <v>59</v>
      </c>
      <c r="J1005" s="77" t="s">
        <v>78</v>
      </c>
      <c r="K1005" s="80">
        <f>K1000/$K$2/8*I1005</f>
        <v>6637.5</v>
      </c>
      <c r="L1005" s="81"/>
      <c r="M1005" s="57"/>
      <c r="N1005" s="100"/>
      <c r="O1005" s="101" t="s">
        <v>65</v>
      </c>
      <c r="P1005" s="101">
        <v>30</v>
      </c>
      <c r="Q1005" s="101">
        <v>0</v>
      </c>
      <c r="R1005" s="101">
        <f t="shared" si="181"/>
        <v>14</v>
      </c>
      <c r="S1005" s="105"/>
      <c r="T1005" s="101" t="s">
        <v>65</v>
      </c>
      <c r="U1005" s="177">
        <f>IF($J$1="May",Y1004,Y1004)</f>
        <v>0</v>
      </c>
      <c r="V1005" s="103"/>
      <c r="W1005" s="177">
        <f t="shared" si="182"/>
        <v>0</v>
      </c>
      <c r="X1005" s="103"/>
      <c r="Y1005" s="177">
        <f t="shared" si="183"/>
        <v>0</v>
      </c>
      <c r="Z1005" s="106"/>
      <c r="AA1005" s="57"/>
    </row>
    <row r="1006" spans="1:27" s="55" customFormat="1" ht="21" customHeight="1" x14ac:dyDescent="0.25">
      <c r="A1006" s="56"/>
      <c r="B1006" s="75" t="s">
        <v>7</v>
      </c>
      <c r="C1006" s="66">
        <f>IF($J$1="January",P1000,IF($J$1="February",P1001,IF($J$1="March",P1002,IF($J$1="April",P1003,IF($J$1="May",P1004,IF($J$1="June",P1005,IF($J$1="July",P1006,IF($J$1="August",P1007,IF($J$1="August",P1007,IF($J$1="September",P1008,IF($J$1="October",P1009,IF($J$1="November",P1010,IF($J$1="December",P1011)))))))))))))</f>
        <v>30</v>
      </c>
      <c r="D1006" s="57"/>
      <c r="E1006" s="57"/>
      <c r="F1006" s="75" t="s">
        <v>81</v>
      </c>
      <c r="G1006" s="70">
        <f>IF($J$1="January",W1000,IF($J$1="February",W1001,IF($J$1="March",W1002,IF($J$1="April",W1003,IF($J$1="May",W1004,IF($J$1="June",W1005,IF($J$1="July",W1006,IF($J$1="August",W1007,IF($J$1="August",W1007,IF($J$1="September",W1008,IF($J$1="October",W1009,IF($J$1="November",W1010,IF($J$1="December",W1011)))))))))))))</f>
        <v>0</v>
      </c>
      <c r="H1006" s="74"/>
      <c r="I1006" s="293" t="s">
        <v>85</v>
      </c>
      <c r="J1006" s="294"/>
      <c r="K1006" s="80">
        <f>K1004+K1005</f>
        <v>33637.5</v>
      </c>
      <c r="L1006" s="81"/>
      <c r="M1006" s="57"/>
      <c r="N1006" s="100"/>
      <c r="O1006" s="101" t="s">
        <v>66</v>
      </c>
      <c r="P1006" s="101"/>
      <c r="Q1006" s="101"/>
      <c r="R1006" s="101" t="str">
        <f t="shared" si="181"/>
        <v/>
      </c>
      <c r="S1006" s="105"/>
      <c r="T1006" s="101" t="s">
        <v>66</v>
      </c>
      <c r="U1006" s="177" t="str">
        <f>IF($J$1="July",Y1005,"")</f>
        <v/>
      </c>
      <c r="V1006" s="103"/>
      <c r="W1006" s="177" t="str">
        <f t="shared" si="182"/>
        <v/>
      </c>
      <c r="X1006" s="103"/>
      <c r="Y1006" s="177" t="str">
        <f t="shared" si="183"/>
        <v/>
      </c>
      <c r="Z1006" s="106"/>
      <c r="AA1006" s="57"/>
    </row>
    <row r="1007" spans="1:27" s="55" customFormat="1" ht="21" customHeight="1" x14ac:dyDescent="0.25">
      <c r="A1007" s="56"/>
      <c r="B1007" s="75" t="s">
        <v>6</v>
      </c>
      <c r="C1007" s="66">
        <f>IF($J$1="January",Q1000,IF($J$1="February",Q1001,IF($J$1="March",Q1002,IF($J$1="April",Q1003,IF($J$1="May",Q1004,IF($J$1="June",Q1005,IF($J$1="July",Q1006,IF($J$1="August",Q1007,IF($J$1="August",Q1007,IF($J$1="September",Q1008,IF($J$1="October",Q1009,IF($J$1="November",Q1010,IF($J$1="December",Q1011)))))))))))))</f>
        <v>0</v>
      </c>
      <c r="D1007" s="57"/>
      <c r="E1007" s="57"/>
      <c r="F1007" s="75" t="s">
        <v>30</v>
      </c>
      <c r="G1007" s="70">
        <f>IF($J$1="January",X1000,IF($J$1="February",X1001,IF($J$1="March",X1002,IF($J$1="April",X1003,IF($J$1="May",X1004,IF($J$1="June",X1005,IF($J$1="July",X1006,IF($J$1="August",X1007,IF($J$1="August",X1007,IF($J$1="September",X1008,IF($J$1="October",X1009,IF($J$1="November",X1010,IF($J$1="December",X1011)))))))))))))</f>
        <v>0</v>
      </c>
      <c r="H1007" s="74"/>
      <c r="I1007" s="293" t="s">
        <v>86</v>
      </c>
      <c r="J1007" s="294"/>
      <c r="K1007" s="70">
        <f>G1007</f>
        <v>0</v>
      </c>
      <c r="L1007" s="82"/>
      <c r="M1007" s="57"/>
      <c r="N1007" s="100"/>
      <c r="O1007" s="101" t="s">
        <v>67</v>
      </c>
      <c r="P1007" s="101"/>
      <c r="Q1007" s="101"/>
      <c r="R1007" s="101" t="str">
        <f t="shared" si="181"/>
        <v/>
      </c>
      <c r="S1007" s="105"/>
      <c r="T1007" s="101" t="s">
        <v>67</v>
      </c>
      <c r="U1007" s="177" t="str">
        <f>IF($J$1="August",Y1006,"")</f>
        <v/>
      </c>
      <c r="V1007" s="103"/>
      <c r="W1007" s="177" t="str">
        <f t="shared" si="182"/>
        <v/>
      </c>
      <c r="X1007" s="103"/>
      <c r="Y1007" s="177" t="str">
        <f t="shared" si="183"/>
        <v/>
      </c>
      <c r="Z1007" s="106"/>
      <c r="AA1007" s="57"/>
    </row>
    <row r="1008" spans="1:27" s="55" customFormat="1" ht="21" customHeight="1" x14ac:dyDescent="0.25">
      <c r="A1008" s="56"/>
      <c r="B1008" s="83" t="s">
        <v>84</v>
      </c>
      <c r="C1008" s="66">
        <f>IF($J$1="January",R1000,IF($J$1="February",R1001,IF($J$1="March",R1002,IF($J$1="April",R1003,IF($J$1="May",R1004,IF($J$1="June",R1005,IF($J$1="July",R1006,IF($J$1="August",R1007,IF($J$1="August",R1007,IF($J$1="September",R1008,IF($J$1="October",R1009,IF($J$1="November",R1010,IF($J$1="December",R1011)))))))))))))</f>
        <v>14</v>
      </c>
      <c r="D1008" s="57"/>
      <c r="E1008" s="57"/>
      <c r="F1008" s="75" t="s">
        <v>83</v>
      </c>
      <c r="G1008" s="70">
        <f>IF($J$1="January",Y1000,IF($J$1="February",Y1001,IF($J$1="March",Y1002,IF($J$1="April",Y1003,IF($J$1="May",Y1004,IF($J$1="June",Y1005,IF($J$1="July",Y1006,IF($J$1="August",Y1007,IF($J$1="August",Y1007,IF($J$1="September",Y1008,IF($J$1="October",Y1009,IF($J$1="November",Y1010,IF($J$1="December",Y1011)))))))))))))</f>
        <v>0</v>
      </c>
      <c r="H1008" s="57"/>
      <c r="I1008" s="295" t="s">
        <v>79</v>
      </c>
      <c r="J1008" s="296"/>
      <c r="K1008" s="84">
        <f>K1006-K1007</f>
        <v>33637.5</v>
      </c>
      <c r="L1008" s="85"/>
      <c r="M1008" s="57"/>
      <c r="N1008" s="100"/>
      <c r="O1008" s="101" t="s">
        <v>72</v>
      </c>
      <c r="P1008" s="101"/>
      <c r="Q1008" s="101"/>
      <c r="R1008" s="101" t="str">
        <f t="shared" si="181"/>
        <v/>
      </c>
      <c r="S1008" s="105"/>
      <c r="T1008" s="101" t="s">
        <v>72</v>
      </c>
      <c r="U1008" s="177" t="str">
        <f>IF($J$1="Sept",Y1007,"")</f>
        <v/>
      </c>
      <c r="V1008" s="103"/>
      <c r="W1008" s="177" t="str">
        <f t="shared" si="182"/>
        <v/>
      </c>
      <c r="X1008" s="103"/>
      <c r="Y1008" s="177" t="str">
        <f t="shared" si="183"/>
        <v/>
      </c>
      <c r="Z1008" s="106"/>
      <c r="AA1008" s="57"/>
    </row>
    <row r="1009" spans="1:27" s="55" customFormat="1" ht="21" customHeight="1" x14ac:dyDescent="0.25">
      <c r="A1009" s="56"/>
      <c r="B1009" s="57"/>
      <c r="C1009" s="57"/>
      <c r="D1009" s="57"/>
      <c r="E1009" s="57"/>
      <c r="F1009" s="57"/>
      <c r="G1009" s="57"/>
      <c r="H1009" s="57"/>
      <c r="I1009" s="57"/>
      <c r="J1009" s="57"/>
      <c r="K1009" s="57"/>
      <c r="L1009" s="73"/>
      <c r="M1009" s="57"/>
      <c r="N1009" s="100"/>
      <c r="O1009" s="101" t="s">
        <v>68</v>
      </c>
      <c r="P1009" s="101"/>
      <c r="Q1009" s="101"/>
      <c r="R1009" s="101" t="str">
        <f t="shared" si="181"/>
        <v/>
      </c>
      <c r="S1009" s="105"/>
      <c r="T1009" s="101" t="s">
        <v>68</v>
      </c>
      <c r="U1009" s="177" t="str">
        <f>IF($J$1="October",Y1008,"")</f>
        <v/>
      </c>
      <c r="V1009" s="103"/>
      <c r="W1009" s="177" t="str">
        <f t="shared" si="182"/>
        <v/>
      </c>
      <c r="X1009" s="103"/>
      <c r="Y1009" s="177" t="str">
        <f t="shared" si="183"/>
        <v/>
      </c>
      <c r="Z1009" s="106"/>
      <c r="AA1009" s="57"/>
    </row>
    <row r="1010" spans="1:27" s="55" customFormat="1" ht="21" customHeight="1" x14ac:dyDescent="0.25">
      <c r="A1010" s="56"/>
      <c r="B1010" s="284" t="s">
        <v>116</v>
      </c>
      <c r="C1010" s="284"/>
      <c r="D1010" s="284"/>
      <c r="E1010" s="284"/>
      <c r="F1010" s="284"/>
      <c r="G1010" s="284"/>
      <c r="H1010" s="284"/>
      <c r="I1010" s="284"/>
      <c r="J1010" s="284"/>
      <c r="K1010" s="284"/>
      <c r="L1010" s="73"/>
      <c r="M1010" s="57"/>
      <c r="N1010" s="100"/>
      <c r="O1010" s="101" t="s">
        <v>73</v>
      </c>
      <c r="P1010" s="101"/>
      <c r="Q1010" s="101"/>
      <c r="R1010" s="101" t="str">
        <f t="shared" si="181"/>
        <v/>
      </c>
      <c r="S1010" s="105"/>
      <c r="T1010" s="101" t="s">
        <v>73</v>
      </c>
      <c r="U1010" s="177" t="str">
        <f>IF($J$1="November",Y1009,"")</f>
        <v/>
      </c>
      <c r="V1010" s="103"/>
      <c r="W1010" s="177" t="str">
        <f t="shared" si="182"/>
        <v/>
      </c>
      <c r="X1010" s="103"/>
      <c r="Y1010" s="177" t="str">
        <f t="shared" si="183"/>
        <v/>
      </c>
      <c r="Z1010" s="106"/>
      <c r="AA1010" s="57"/>
    </row>
    <row r="1011" spans="1:27" s="55" customFormat="1" ht="21" customHeight="1" x14ac:dyDescent="0.25">
      <c r="A1011" s="56"/>
      <c r="B1011" s="284"/>
      <c r="C1011" s="284"/>
      <c r="D1011" s="284"/>
      <c r="E1011" s="284"/>
      <c r="F1011" s="284"/>
      <c r="G1011" s="284"/>
      <c r="H1011" s="284"/>
      <c r="I1011" s="284"/>
      <c r="J1011" s="284"/>
      <c r="K1011" s="284"/>
      <c r="L1011" s="73"/>
      <c r="M1011" s="57"/>
      <c r="N1011" s="100"/>
      <c r="O1011" s="101" t="s">
        <v>74</v>
      </c>
      <c r="P1011" s="101"/>
      <c r="Q1011" s="101"/>
      <c r="R1011" s="101" t="str">
        <f t="shared" si="181"/>
        <v/>
      </c>
      <c r="S1011" s="105"/>
      <c r="T1011" s="101" t="s">
        <v>74</v>
      </c>
      <c r="U1011" s="177" t="str">
        <f>IF($J$1="Dec",Y1010,"")</f>
        <v/>
      </c>
      <c r="V1011" s="103"/>
      <c r="W1011" s="177" t="str">
        <f t="shared" si="182"/>
        <v/>
      </c>
      <c r="X1011" s="103"/>
      <c r="Y1011" s="177" t="str">
        <f t="shared" si="183"/>
        <v/>
      </c>
      <c r="Z1011" s="106"/>
      <c r="AA1011" s="57"/>
    </row>
    <row r="1012" spans="1:27" s="55" customFormat="1" ht="21" customHeight="1" thickBot="1" x14ac:dyDescent="0.3">
      <c r="A1012" s="86"/>
      <c r="B1012" s="87"/>
      <c r="C1012" s="87"/>
      <c r="D1012" s="87"/>
      <c r="E1012" s="87"/>
      <c r="F1012" s="87"/>
      <c r="G1012" s="87"/>
      <c r="H1012" s="87"/>
      <c r="I1012" s="87"/>
      <c r="J1012" s="87"/>
      <c r="K1012" s="87"/>
      <c r="L1012" s="88"/>
      <c r="N1012" s="107"/>
      <c r="O1012" s="108"/>
      <c r="P1012" s="108"/>
      <c r="Q1012" s="108"/>
      <c r="R1012" s="108"/>
      <c r="S1012" s="108"/>
      <c r="T1012" s="108"/>
      <c r="U1012" s="108"/>
      <c r="V1012" s="108"/>
      <c r="W1012" s="108"/>
      <c r="X1012" s="108"/>
      <c r="Y1012" s="108"/>
      <c r="Z1012" s="109"/>
    </row>
    <row r="1013" spans="1:27" s="55" customFormat="1" ht="21" customHeight="1" thickBot="1" x14ac:dyDescent="0.3">
      <c r="N1013" s="92"/>
      <c r="O1013" s="92"/>
      <c r="P1013" s="92"/>
      <c r="Q1013" s="92"/>
      <c r="R1013" s="92"/>
      <c r="S1013" s="92"/>
      <c r="T1013" s="92"/>
      <c r="U1013" s="92"/>
      <c r="V1013" s="92"/>
      <c r="W1013" s="92"/>
      <c r="X1013" s="92"/>
      <c r="Y1013" s="92"/>
      <c r="Z1013" s="92"/>
    </row>
    <row r="1014" spans="1:27" s="55" customFormat="1" ht="21" customHeight="1" x14ac:dyDescent="0.25">
      <c r="A1014" s="300" t="s">
        <v>56</v>
      </c>
      <c r="B1014" s="301"/>
      <c r="C1014" s="301"/>
      <c r="D1014" s="301"/>
      <c r="E1014" s="301"/>
      <c r="F1014" s="301"/>
      <c r="G1014" s="301"/>
      <c r="H1014" s="301"/>
      <c r="I1014" s="301"/>
      <c r="J1014" s="301"/>
      <c r="K1014" s="301"/>
      <c r="L1014" s="302"/>
      <c r="M1014" s="54"/>
      <c r="N1014" s="93"/>
      <c r="O1014" s="285" t="s">
        <v>58</v>
      </c>
      <c r="P1014" s="286"/>
      <c r="Q1014" s="286"/>
      <c r="R1014" s="287"/>
      <c r="S1014" s="94"/>
      <c r="T1014" s="285" t="s">
        <v>59</v>
      </c>
      <c r="U1014" s="286"/>
      <c r="V1014" s="286"/>
      <c r="W1014" s="286"/>
      <c r="X1014" s="286"/>
      <c r="Y1014" s="287"/>
      <c r="Z1014" s="95"/>
      <c r="AA1014" s="54"/>
    </row>
    <row r="1015" spans="1:27" s="55" customFormat="1" ht="21" customHeight="1" x14ac:dyDescent="0.25">
      <c r="A1015" s="56"/>
      <c r="B1015" s="57"/>
      <c r="C1015" s="288" t="s">
        <v>114</v>
      </c>
      <c r="D1015" s="288"/>
      <c r="E1015" s="288"/>
      <c r="F1015" s="288"/>
      <c r="G1015" s="58" t="str">
        <f>$J$1</f>
        <v>June</v>
      </c>
      <c r="H1015" s="289">
        <f>$K$1</f>
        <v>2019</v>
      </c>
      <c r="I1015" s="289"/>
      <c r="J1015" s="57"/>
      <c r="K1015" s="59"/>
      <c r="L1015" s="60"/>
      <c r="M1015" s="59"/>
      <c r="N1015" s="96"/>
      <c r="O1015" s="97" t="s">
        <v>69</v>
      </c>
      <c r="P1015" s="97" t="s">
        <v>7</v>
      </c>
      <c r="Q1015" s="97" t="s">
        <v>6</v>
      </c>
      <c r="R1015" s="97" t="s">
        <v>70</v>
      </c>
      <c r="S1015" s="98"/>
      <c r="T1015" s="97" t="s">
        <v>69</v>
      </c>
      <c r="U1015" s="97" t="s">
        <v>71</v>
      </c>
      <c r="V1015" s="97" t="s">
        <v>29</v>
      </c>
      <c r="W1015" s="97" t="s">
        <v>28</v>
      </c>
      <c r="X1015" s="97" t="s">
        <v>30</v>
      </c>
      <c r="Y1015" s="97" t="s">
        <v>75</v>
      </c>
      <c r="Z1015" s="99"/>
      <c r="AA1015" s="59"/>
    </row>
    <row r="1016" spans="1:27" s="55" customFormat="1" ht="21" customHeight="1" x14ac:dyDescent="0.25">
      <c r="A1016" s="56"/>
      <c r="B1016" s="57"/>
      <c r="C1016" s="57"/>
      <c r="D1016" s="62"/>
      <c r="E1016" s="62"/>
      <c r="F1016" s="62"/>
      <c r="G1016" s="62"/>
      <c r="H1016" s="62"/>
      <c r="I1016" s="57"/>
      <c r="J1016" s="63" t="s">
        <v>1</v>
      </c>
      <c r="K1016" s="64"/>
      <c r="L1016" s="65"/>
      <c r="M1016" s="57"/>
      <c r="N1016" s="100"/>
      <c r="O1016" s="101" t="s">
        <v>61</v>
      </c>
      <c r="P1016" s="101">
        <v>22</v>
      </c>
      <c r="Q1016" s="101">
        <v>9</v>
      </c>
      <c r="R1016" s="101"/>
      <c r="S1016" s="102"/>
      <c r="T1016" s="101" t="s">
        <v>61</v>
      </c>
      <c r="U1016" s="103"/>
      <c r="V1016" s="103"/>
      <c r="W1016" s="103">
        <f>V1016+U1016</f>
        <v>0</v>
      </c>
      <c r="X1016" s="103"/>
      <c r="Y1016" s="103">
        <f>W1016-X1016</f>
        <v>0</v>
      </c>
      <c r="Z1016" s="99"/>
      <c r="AA1016" s="57"/>
    </row>
    <row r="1017" spans="1:27" s="55" customFormat="1" ht="21" customHeight="1" x14ac:dyDescent="0.25">
      <c r="A1017" s="56"/>
      <c r="B1017" s="57" t="s">
        <v>0</v>
      </c>
      <c r="C1017" s="67"/>
      <c r="D1017" s="57"/>
      <c r="E1017" s="57"/>
      <c r="F1017" s="57"/>
      <c r="G1017" s="57"/>
      <c r="H1017" s="68"/>
      <c r="I1017" s="62"/>
      <c r="J1017" s="57"/>
      <c r="K1017" s="57"/>
      <c r="L1017" s="69"/>
      <c r="M1017" s="54"/>
      <c r="N1017" s="104"/>
      <c r="O1017" s="101" t="s">
        <v>87</v>
      </c>
      <c r="P1017" s="101"/>
      <c r="Q1017" s="101"/>
      <c r="R1017" s="101" t="str">
        <f t="shared" ref="R1017:R1024" si="184">IF(Q1017="","",R1016-Q1017)</f>
        <v/>
      </c>
      <c r="S1017" s="105"/>
      <c r="T1017" s="101" t="s">
        <v>87</v>
      </c>
      <c r="U1017" s="177">
        <f>Y1016</f>
        <v>0</v>
      </c>
      <c r="V1017" s="103"/>
      <c r="W1017" s="177">
        <f>IF(U1017="","",U1017+V1017)</f>
        <v>0</v>
      </c>
      <c r="X1017" s="103"/>
      <c r="Y1017" s="177">
        <f>IF(W1017="","",W1017-X1017)</f>
        <v>0</v>
      </c>
      <c r="Z1017" s="106"/>
      <c r="AA1017" s="54"/>
    </row>
    <row r="1018" spans="1:27" s="55" customFormat="1" ht="21" customHeight="1" x14ac:dyDescent="0.25">
      <c r="A1018" s="56"/>
      <c r="B1018" s="71" t="s">
        <v>57</v>
      </c>
      <c r="C1018" s="72"/>
      <c r="D1018" s="57"/>
      <c r="E1018" s="57"/>
      <c r="F1018" s="290" t="s">
        <v>59</v>
      </c>
      <c r="G1018" s="290"/>
      <c r="H1018" s="57"/>
      <c r="I1018" s="290" t="s">
        <v>60</v>
      </c>
      <c r="J1018" s="290"/>
      <c r="K1018" s="290"/>
      <c r="L1018" s="73"/>
      <c r="M1018" s="57"/>
      <c r="N1018" s="100"/>
      <c r="O1018" s="101" t="s">
        <v>62</v>
      </c>
      <c r="P1018" s="101"/>
      <c r="Q1018" s="101"/>
      <c r="R1018" s="101" t="str">
        <f t="shared" si="184"/>
        <v/>
      </c>
      <c r="S1018" s="105"/>
      <c r="T1018" s="101" t="s">
        <v>62</v>
      </c>
      <c r="U1018" s="177">
        <f>IF($J$1="April",Y1017,Y1017)</f>
        <v>0</v>
      </c>
      <c r="V1018" s="103"/>
      <c r="W1018" s="177">
        <f t="shared" ref="W1018:W1027" si="185">IF(U1018="","",U1018+V1018)</f>
        <v>0</v>
      </c>
      <c r="X1018" s="103"/>
      <c r="Y1018" s="177">
        <f t="shared" ref="Y1018:Y1027" si="186">IF(W1018="","",W1018-X1018)</f>
        <v>0</v>
      </c>
      <c r="Z1018" s="106"/>
      <c r="AA1018" s="57"/>
    </row>
    <row r="1019" spans="1:27" s="55" customFormat="1" ht="21" customHeight="1" x14ac:dyDescent="0.25">
      <c r="A1019" s="56"/>
      <c r="B1019" s="57"/>
      <c r="C1019" s="57"/>
      <c r="D1019" s="57"/>
      <c r="E1019" s="57"/>
      <c r="F1019" s="57"/>
      <c r="G1019" s="57"/>
      <c r="H1019" s="74"/>
      <c r="L1019" s="61"/>
      <c r="M1019" s="57"/>
      <c r="N1019" s="100"/>
      <c r="O1019" s="101" t="s">
        <v>63</v>
      </c>
      <c r="P1019" s="101"/>
      <c r="Q1019" s="101"/>
      <c r="R1019" s="101">
        <v>0</v>
      </c>
      <c r="S1019" s="105"/>
      <c r="T1019" s="101" t="s">
        <v>63</v>
      </c>
      <c r="U1019" s="177">
        <f>IF($J$1="April",Y1018,Y1018)</f>
        <v>0</v>
      </c>
      <c r="V1019" s="103"/>
      <c r="W1019" s="177">
        <f t="shared" si="185"/>
        <v>0</v>
      </c>
      <c r="X1019" s="103"/>
      <c r="Y1019" s="177">
        <f t="shared" si="186"/>
        <v>0</v>
      </c>
      <c r="Z1019" s="106"/>
      <c r="AA1019" s="57"/>
    </row>
    <row r="1020" spans="1:27" s="55" customFormat="1" ht="21" customHeight="1" x14ac:dyDescent="0.25">
      <c r="A1020" s="56"/>
      <c r="B1020" s="291" t="s">
        <v>58</v>
      </c>
      <c r="C1020" s="292"/>
      <c r="D1020" s="57"/>
      <c r="E1020" s="57"/>
      <c r="F1020" s="75" t="s">
        <v>80</v>
      </c>
      <c r="G1020" s="70">
        <f>IF($J$1="January",U1016,IF($J$1="February",U1017,IF($J$1="March",U1018,IF($J$1="April",U1019,IF($J$1="May",U1020,IF($J$1="June",U1021,IF($J$1="July",U1022,IF($J$1="August",U1023,IF($J$1="August",U1023,IF($J$1="September",U1024,IF($J$1="October",U1025,IF($J$1="November",U1026,IF($J$1="December",U1027)))))))))))))</f>
        <v>0</v>
      </c>
      <c r="H1020" s="74"/>
      <c r="I1020" s="76"/>
      <c r="J1020" s="77" t="s">
        <v>77</v>
      </c>
      <c r="K1020" s="78">
        <f>K1016/$K$2*I1020</f>
        <v>0</v>
      </c>
      <c r="L1020" s="79"/>
      <c r="M1020" s="57"/>
      <c r="N1020" s="100"/>
      <c r="O1020" s="101" t="s">
        <v>64</v>
      </c>
      <c r="P1020" s="101"/>
      <c r="Q1020" s="101"/>
      <c r="R1020" s="101">
        <v>0</v>
      </c>
      <c r="S1020" s="105"/>
      <c r="T1020" s="101" t="s">
        <v>64</v>
      </c>
      <c r="U1020" s="177">
        <f>IF($J$1="May",Y1019,Y1019)</f>
        <v>0</v>
      </c>
      <c r="V1020" s="103"/>
      <c r="W1020" s="177">
        <f t="shared" si="185"/>
        <v>0</v>
      </c>
      <c r="X1020" s="103"/>
      <c r="Y1020" s="177">
        <f t="shared" si="186"/>
        <v>0</v>
      </c>
      <c r="Z1020" s="106"/>
      <c r="AA1020" s="57"/>
    </row>
    <row r="1021" spans="1:27" s="55" customFormat="1" ht="21" customHeight="1" x14ac:dyDescent="0.25">
      <c r="A1021" s="56"/>
      <c r="B1021" s="66"/>
      <c r="C1021" s="66"/>
      <c r="D1021" s="57"/>
      <c r="E1021" s="57"/>
      <c r="F1021" s="75" t="s">
        <v>29</v>
      </c>
      <c r="G1021" s="70">
        <f>IF($J$1="January",V1016,IF($J$1="February",V1017,IF($J$1="March",V1018,IF($J$1="April",V1019,IF($J$1="May",V1020,IF($J$1="June",V1021,IF($J$1="July",V1022,IF($J$1="August",V1023,IF($J$1="August",V1023,IF($J$1="September",V1024,IF($J$1="October",V1025,IF($J$1="November",V1026,IF($J$1="December",V1027)))))))))))))</f>
        <v>0</v>
      </c>
      <c r="H1021" s="74"/>
      <c r="I1021" s="120"/>
      <c r="J1021" s="77" t="s">
        <v>78</v>
      </c>
      <c r="K1021" s="80">
        <f>K1016/$K$2/8*I1021</f>
        <v>0</v>
      </c>
      <c r="L1021" s="81"/>
      <c r="M1021" s="57"/>
      <c r="N1021" s="100"/>
      <c r="O1021" s="101" t="s">
        <v>65</v>
      </c>
      <c r="P1021" s="101"/>
      <c r="Q1021" s="101"/>
      <c r="R1021" s="101" t="str">
        <f t="shared" si="184"/>
        <v/>
      </c>
      <c r="S1021" s="105"/>
      <c r="T1021" s="101" t="s">
        <v>65</v>
      </c>
      <c r="U1021" s="177">
        <f>IF($J$1="May",Y1020,Y1020)</f>
        <v>0</v>
      </c>
      <c r="V1021" s="103"/>
      <c r="W1021" s="177">
        <f t="shared" si="185"/>
        <v>0</v>
      </c>
      <c r="X1021" s="103"/>
      <c r="Y1021" s="177">
        <f t="shared" si="186"/>
        <v>0</v>
      </c>
      <c r="Z1021" s="106"/>
      <c r="AA1021" s="57"/>
    </row>
    <row r="1022" spans="1:27" s="55" customFormat="1" ht="21" customHeight="1" x14ac:dyDescent="0.25">
      <c r="A1022" s="56"/>
      <c r="B1022" s="75" t="s">
        <v>7</v>
      </c>
      <c r="C1022" s="66">
        <f>IF($J$1="January",P1016,IF($J$1="February",P1017,IF($J$1="March",P1018,IF($J$1="April",P1019,IF($J$1="May",P1020,IF($J$1="June",P1021,IF($J$1="July",P1022,IF($J$1="August",P1023,IF($J$1="August",P1023,IF($J$1="September",P1024,IF($J$1="October",P1025,IF($J$1="November",P1026,IF($J$1="December",P1027)))))))))))))</f>
        <v>0</v>
      </c>
      <c r="D1022" s="57"/>
      <c r="E1022" s="57"/>
      <c r="F1022" s="75" t="s">
        <v>81</v>
      </c>
      <c r="G1022" s="70">
        <f>IF($J$1="January",W1016,IF($J$1="February",W1017,IF($J$1="March",W1018,IF($J$1="April",W1019,IF($J$1="May",W1020,IF($J$1="June",W1021,IF($J$1="July",W1022,IF($J$1="August",W1023,IF($J$1="August",W1023,IF($J$1="September",W1024,IF($J$1="October",W1025,IF($J$1="November",W1026,IF($J$1="December",W1027)))))))))))))</f>
        <v>0</v>
      </c>
      <c r="H1022" s="74"/>
      <c r="I1022" s="293" t="s">
        <v>85</v>
      </c>
      <c r="J1022" s="294"/>
      <c r="K1022" s="80">
        <f>K1020+K1021</f>
        <v>0</v>
      </c>
      <c r="L1022" s="81"/>
      <c r="M1022" s="57"/>
      <c r="N1022" s="100"/>
      <c r="O1022" s="101" t="s">
        <v>66</v>
      </c>
      <c r="P1022" s="101"/>
      <c r="Q1022" s="101"/>
      <c r="R1022" s="101">
        <v>0</v>
      </c>
      <c r="S1022" s="105"/>
      <c r="T1022" s="101" t="s">
        <v>66</v>
      </c>
      <c r="U1022" s="177" t="str">
        <f>IF($J$1="July",Y1021,"")</f>
        <v/>
      </c>
      <c r="V1022" s="103"/>
      <c r="W1022" s="177" t="str">
        <f t="shared" si="185"/>
        <v/>
      </c>
      <c r="X1022" s="103"/>
      <c r="Y1022" s="177" t="str">
        <f t="shared" si="186"/>
        <v/>
      </c>
      <c r="Z1022" s="106"/>
      <c r="AA1022" s="57"/>
    </row>
    <row r="1023" spans="1:27" s="55" customFormat="1" ht="21" customHeight="1" x14ac:dyDescent="0.25">
      <c r="A1023" s="56"/>
      <c r="B1023" s="75" t="s">
        <v>6</v>
      </c>
      <c r="C1023" s="66">
        <f>IF($J$1="January",Q1016,IF($J$1="February",Q1017,IF($J$1="March",Q1018,IF($J$1="April",Q1019,IF($J$1="May",Q1020,IF($J$1="June",Q1021,IF($J$1="July",Q1022,IF($J$1="August",Q1023,IF($J$1="August",Q1023,IF($J$1="September",Q1024,IF($J$1="October",Q1025,IF($J$1="November",Q1026,IF($J$1="December",Q1027)))))))))))))</f>
        <v>0</v>
      </c>
      <c r="D1023" s="57"/>
      <c r="E1023" s="57"/>
      <c r="F1023" s="75" t="s">
        <v>30</v>
      </c>
      <c r="G1023" s="70">
        <f>IF($J$1="January",X1016,IF($J$1="February",X1017,IF($J$1="March",X1018,IF($J$1="April",X1019,IF($J$1="May",X1020,IF($J$1="June",X1021,IF($J$1="July",X1022,IF($J$1="August",X1023,IF($J$1="August",X1023,IF($J$1="September",X1024,IF($J$1="October",X1025,IF($J$1="November",X1026,IF($J$1="December",X1027)))))))))))))</f>
        <v>0</v>
      </c>
      <c r="H1023" s="74"/>
      <c r="I1023" s="293" t="s">
        <v>86</v>
      </c>
      <c r="J1023" s="294"/>
      <c r="K1023" s="70">
        <f>G1023</f>
        <v>0</v>
      </c>
      <c r="L1023" s="82"/>
      <c r="M1023" s="57"/>
      <c r="N1023" s="100"/>
      <c r="O1023" s="101" t="s">
        <v>67</v>
      </c>
      <c r="P1023" s="101"/>
      <c r="Q1023" s="101"/>
      <c r="R1023" s="101">
        <v>0</v>
      </c>
      <c r="S1023" s="105"/>
      <c r="T1023" s="101" t="s">
        <v>67</v>
      </c>
      <c r="U1023" s="177" t="str">
        <f>IF($J$1="August",Y1022,"")</f>
        <v/>
      </c>
      <c r="V1023" s="103"/>
      <c r="W1023" s="177" t="str">
        <f t="shared" si="185"/>
        <v/>
      </c>
      <c r="X1023" s="103"/>
      <c r="Y1023" s="177" t="str">
        <f t="shared" si="186"/>
        <v/>
      </c>
      <c r="Z1023" s="106"/>
      <c r="AA1023" s="57"/>
    </row>
    <row r="1024" spans="1:27" s="55" customFormat="1" ht="21" customHeight="1" x14ac:dyDescent="0.25">
      <c r="A1024" s="56"/>
      <c r="B1024" s="83" t="s">
        <v>84</v>
      </c>
      <c r="C1024" s="66" t="str">
        <f>IF($J$1="January",R1016,IF($J$1="February",R1017,IF($J$1="March",R1018,IF($J$1="April",R1019,IF($J$1="May",R1020,IF($J$1="June",R1021,IF($J$1="July",R1022,IF($J$1="August",R1023,IF($J$1="August",R1023,IF($J$1="September",R1024,IF($J$1="October",R1025,IF($J$1="November",R1026,IF($J$1="December",R1027)))))))))))))</f>
        <v/>
      </c>
      <c r="D1024" s="57"/>
      <c r="E1024" s="57"/>
      <c r="F1024" s="75" t="s">
        <v>83</v>
      </c>
      <c r="G1024" s="70">
        <f>IF($J$1="January",Y1016,IF($J$1="February",Y1017,IF($J$1="March",Y1018,IF($J$1="April",Y1019,IF($J$1="May",Y1020,IF($J$1="June",Y1021,IF($J$1="July",Y1022,IF($J$1="August",Y1023,IF($J$1="August",Y1023,IF($J$1="September",Y1024,IF($J$1="October",Y1025,IF($J$1="November",Y1026,IF($J$1="December",Y1027)))))))))))))</f>
        <v>0</v>
      </c>
      <c r="H1024" s="57"/>
      <c r="I1024" s="295" t="s">
        <v>79</v>
      </c>
      <c r="J1024" s="296"/>
      <c r="K1024" s="84">
        <f>K1022-K1023</f>
        <v>0</v>
      </c>
      <c r="L1024" s="85"/>
      <c r="M1024" s="57"/>
      <c r="N1024" s="100"/>
      <c r="O1024" s="101" t="s">
        <v>72</v>
      </c>
      <c r="P1024" s="101"/>
      <c r="Q1024" s="101"/>
      <c r="R1024" s="101" t="str">
        <f t="shared" si="184"/>
        <v/>
      </c>
      <c r="S1024" s="105"/>
      <c r="T1024" s="101" t="s">
        <v>72</v>
      </c>
      <c r="U1024" s="177" t="str">
        <f>IF($J$1="May",Y1023,Y1023)</f>
        <v/>
      </c>
      <c r="V1024" s="103"/>
      <c r="W1024" s="177" t="str">
        <f t="shared" si="185"/>
        <v/>
      </c>
      <c r="X1024" s="103"/>
      <c r="Y1024" s="177" t="str">
        <f t="shared" si="186"/>
        <v/>
      </c>
      <c r="Z1024" s="106"/>
      <c r="AA1024" s="57"/>
    </row>
    <row r="1025" spans="1:27" s="55" customFormat="1" ht="21" customHeight="1" x14ac:dyDescent="0.25">
      <c r="A1025" s="56"/>
      <c r="B1025" s="57"/>
      <c r="C1025" s="57"/>
      <c r="D1025" s="57"/>
      <c r="E1025" s="57"/>
      <c r="F1025" s="57"/>
      <c r="G1025" s="57"/>
      <c r="H1025" s="57"/>
      <c r="I1025" s="57"/>
      <c r="J1025" s="57"/>
      <c r="K1025" s="57"/>
      <c r="L1025" s="73"/>
      <c r="M1025" s="57"/>
      <c r="N1025" s="100"/>
      <c r="O1025" s="101" t="s">
        <v>68</v>
      </c>
      <c r="P1025" s="101"/>
      <c r="Q1025" s="101"/>
      <c r="R1025" s="101">
        <v>0</v>
      </c>
      <c r="S1025" s="105"/>
      <c r="T1025" s="101" t="s">
        <v>68</v>
      </c>
      <c r="U1025" s="177" t="str">
        <f t="shared" ref="U1025:U1027" si="187">Y1024</f>
        <v/>
      </c>
      <c r="V1025" s="103"/>
      <c r="W1025" s="177" t="str">
        <f t="shared" si="185"/>
        <v/>
      </c>
      <c r="X1025" s="103"/>
      <c r="Y1025" s="177" t="str">
        <f t="shared" si="186"/>
        <v/>
      </c>
      <c r="Z1025" s="106"/>
      <c r="AA1025" s="57"/>
    </row>
    <row r="1026" spans="1:27" s="55" customFormat="1" ht="21" customHeight="1" x14ac:dyDescent="0.25">
      <c r="A1026" s="56"/>
      <c r="B1026" s="284" t="s">
        <v>116</v>
      </c>
      <c r="C1026" s="284"/>
      <c r="D1026" s="284"/>
      <c r="E1026" s="284"/>
      <c r="F1026" s="284"/>
      <c r="G1026" s="284"/>
      <c r="H1026" s="284"/>
      <c r="I1026" s="284"/>
      <c r="J1026" s="284"/>
      <c r="K1026" s="284"/>
      <c r="L1026" s="73"/>
      <c r="M1026" s="57"/>
      <c r="N1026" s="100"/>
      <c r="O1026" s="101" t="s">
        <v>73</v>
      </c>
      <c r="P1026" s="101"/>
      <c r="Q1026" s="101"/>
      <c r="R1026" s="101">
        <v>0</v>
      </c>
      <c r="S1026" s="105"/>
      <c r="T1026" s="101" t="s">
        <v>73</v>
      </c>
      <c r="U1026" s="177" t="str">
        <f t="shared" si="187"/>
        <v/>
      </c>
      <c r="V1026" s="103"/>
      <c r="W1026" s="177"/>
      <c r="X1026" s="103"/>
      <c r="Y1026" s="177" t="str">
        <f t="shared" si="186"/>
        <v/>
      </c>
      <c r="Z1026" s="106"/>
      <c r="AA1026" s="57"/>
    </row>
    <row r="1027" spans="1:27" s="55" customFormat="1" ht="21" customHeight="1" x14ac:dyDescent="0.25">
      <c r="A1027" s="56"/>
      <c r="B1027" s="284"/>
      <c r="C1027" s="284"/>
      <c r="D1027" s="284"/>
      <c r="E1027" s="284"/>
      <c r="F1027" s="284"/>
      <c r="G1027" s="284"/>
      <c r="H1027" s="284"/>
      <c r="I1027" s="284"/>
      <c r="J1027" s="284"/>
      <c r="K1027" s="284"/>
      <c r="L1027" s="73"/>
      <c r="M1027" s="57"/>
      <c r="N1027" s="100"/>
      <c r="O1027" s="101" t="s">
        <v>74</v>
      </c>
      <c r="P1027" s="101"/>
      <c r="Q1027" s="101"/>
      <c r="R1027" s="101">
        <v>0</v>
      </c>
      <c r="S1027" s="105"/>
      <c r="T1027" s="101" t="s">
        <v>74</v>
      </c>
      <c r="U1027" s="177" t="str">
        <f t="shared" si="187"/>
        <v/>
      </c>
      <c r="V1027" s="103"/>
      <c r="W1027" s="177" t="str">
        <f t="shared" si="185"/>
        <v/>
      </c>
      <c r="X1027" s="103"/>
      <c r="Y1027" s="177" t="str">
        <f t="shared" si="186"/>
        <v/>
      </c>
      <c r="Z1027" s="106"/>
      <c r="AA1027" s="57"/>
    </row>
    <row r="1028" spans="1:27" s="55" customFormat="1" ht="21" customHeight="1" thickBot="1" x14ac:dyDescent="0.3">
      <c r="A1028" s="86"/>
      <c r="B1028" s="87"/>
      <c r="C1028" s="87"/>
      <c r="D1028" s="87"/>
      <c r="E1028" s="87"/>
      <c r="F1028" s="87"/>
      <c r="G1028" s="87"/>
      <c r="H1028" s="87"/>
      <c r="I1028" s="87"/>
      <c r="J1028" s="87"/>
      <c r="K1028" s="87"/>
      <c r="L1028" s="88"/>
      <c r="N1028" s="107"/>
      <c r="O1028" s="108"/>
      <c r="P1028" s="108"/>
      <c r="Q1028" s="108"/>
      <c r="R1028" s="108"/>
      <c r="S1028" s="108"/>
      <c r="T1028" s="108"/>
      <c r="U1028" s="108"/>
      <c r="V1028" s="108"/>
      <c r="W1028" s="108"/>
      <c r="X1028" s="108"/>
      <c r="Y1028" s="108"/>
      <c r="Z1028" s="109"/>
    </row>
    <row r="1029" spans="1:27" s="57" customFormat="1" ht="21" customHeight="1" thickBot="1" x14ac:dyDescent="0.3">
      <c r="N1029" s="105"/>
      <c r="O1029" s="105"/>
      <c r="P1029" s="105"/>
      <c r="Q1029" s="105"/>
      <c r="R1029" s="105"/>
      <c r="S1029" s="105"/>
      <c r="T1029" s="105"/>
      <c r="U1029" s="105"/>
      <c r="V1029" s="105"/>
      <c r="W1029" s="105"/>
      <c r="X1029" s="105"/>
      <c r="Y1029" s="105"/>
      <c r="Z1029" s="105"/>
    </row>
    <row r="1030" spans="1:27" s="55" customFormat="1" ht="21" customHeight="1" x14ac:dyDescent="0.25">
      <c r="A1030" s="297" t="s">
        <v>56</v>
      </c>
      <c r="B1030" s="298"/>
      <c r="C1030" s="298"/>
      <c r="D1030" s="298"/>
      <c r="E1030" s="298"/>
      <c r="F1030" s="298"/>
      <c r="G1030" s="298"/>
      <c r="H1030" s="298"/>
      <c r="I1030" s="298"/>
      <c r="J1030" s="298"/>
      <c r="K1030" s="298"/>
      <c r="L1030" s="299"/>
      <c r="M1030" s="54"/>
      <c r="N1030" s="93"/>
      <c r="O1030" s="285" t="s">
        <v>58</v>
      </c>
      <c r="P1030" s="286"/>
      <c r="Q1030" s="286"/>
      <c r="R1030" s="287"/>
      <c r="S1030" s="94"/>
      <c r="T1030" s="285" t="s">
        <v>59</v>
      </c>
      <c r="U1030" s="286"/>
      <c r="V1030" s="286"/>
      <c r="W1030" s="286"/>
      <c r="X1030" s="286"/>
      <c r="Y1030" s="287"/>
      <c r="Z1030" s="95"/>
      <c r="AA1030" s="54"/>
    </row>
    <row r="1031" spans="1:27" s="55" customFormat="1" ht="21" customHeight="1" x14ac:dyDescent="0.25">
      <c r="A1031" s="56"/>
      <c r="B1031" s="57"/>
      <c r="C1031" s="288" t="s">
        <v>114</v>
      </c>
      <c r="D1031" s="288"/>
      <c r="E1031" s="288"/>
      <c r="F1031" s="288"/>
      <c r="G1031" s="58" t="str">
        <f>$J$1</f>
        <v>June</v>
      </c>
      <c r="H1031" s="289">
        <f>$K$1</f>
        <v>2019</v>
      </c>
      <c r="I1031" s="289"/>
      <c r="J1031" s="57"/>
      <c r="K1031" s="59"/>
      <c r="L1031" s="60"/>
      <c r="M1031" s="59"/>
      <c r="N1031" s="96"/>
      <c r="O1031" s="97" t="s">
        <v>69</v>
      </c>
      <c r="P1031" s="97" t="s">
        <v>7</v>
      </c>
      <c r="Q1031" s="97" t="s">
        <v>6</v>
      </c>
      <c r="R1031" s="97" t="s">
        <v>70</v>
      </c>
      <c r="S1031" s="98"/>
      <c r="T1031" s="97" t="s">
        <v>69</v>
      </c>
      <c r="U1031" s="97" t="s">
        <v>71</v>
      </c>
      <c r="V1031" s="97" t="s">
        <v>29</v>
      </c>
      <c r="W1031" s="97" t="s">
        <v>28</v>
      </c>
      <c r="X1031" s="97" t="s">
        <v>30</v>
      </c>
      <c r="Y1031" s="97" t="s">
        <v>75</v>
      </c>
      <c r="Z1031" s="99"/>
      <c r="AA1031" s="59"/>
    </row>
    <row r="1032" spans="1:27" s="55" customFormat="1" ht="21" customHeight="1" x14ac:dyDescent="0.25">
      <c r="A1032" s="56"/>
      <c r="B1032" s="57"/>
      <c r="C1032" s="57"/>
      <c r="D1032" s="62"/>
      <c r="E1032" s="62"/>
      <c r="F1032" s="62"/>
      <c r="G1032" s="62"/>
      <c r="H1032" s="62"/>
      <c r="I1032" s="57"/>
      <c r="J1032" s="63" t="s">
        <v>1</v>
      </c>
      <c r="K1032" s="64">
        <v>15000</v>
      </c>
      <c r="L1032" s="65"/>
      <c r="M1032" s="57"/>
      <c r="N1032" s="100"/>
      <c r="O1032" s="101" t="s">
        <v>61</v>
      </c>
      <c r="P1032" s="101">
        <v>29</v>
      </c>
      <c r="Q1032" s="101">
        <v>2</v>
      </c>
      <c r="R1032" s="101">
        <v>0</v>
      </c>
      <c r="S1032" s="102"/>
      <c r="T1032" s="101" t="s">
        <v>61</v>
      </c>
      <c r="U1032" s="103">
        <v>2500</v>
      </c>
      <c r="V1032" s="103"/>
      <c r="W1032" s="103">
        <f>V1032+U1032</f>
        <v>2500</v>
      </c>
      <c r="X1032" s="103">
        <v>2500</v>
      </c>
      <c r="Y1032" s="103">
        <f>W1032-X1032</f>
        <v>0</v>
      </c>
      <c r="Z1032" s="99"/>
      <c r="AA1032" s="57"/>
    </row>
    <row r="1033" spans="1:27" s="55" customFormat="1" ht="21" customHeight="1" x14ac:dyDescent="0.25">
      <c r="A1033" s="56"/>
      <c r="B1033" s="57" t="s">
        <v>0</v>
      </c>
      <c r="C1033" s="67" t="s">
        <v>139</v>
      </c>
      <c r="D1033" s="57"/>
      <c r="E1033" s="57"/>
      <c r="F1033" s="57"/>
      <c r="G1033" s="57"/>
      <c r="H1033" s="68"/>
      <c r="I1033" s="62"/>
      <c r="J1033" s="57"/>
      <c r="K1033" s="57"/>
      <c r="L1033" s="69"/>
      <c r="M1033" s="54"/>
      <c r="N1033" s="104"/>
      <c r="O1033" s="101" t="s">
        <v>87</v>
      </c>
      <c r="P1033" s="101">
        <v>27</v>
      </c>
      <c r="Q1033" s="101">
        <v>1</v>
      </c>
      <c r="R1033" s="101">
        <v>0</v>
      </c>
      <c r="S1033" s="105"/>
      <c r="T1033" s="101" t="s">
        <v>87</v>
      </c>
      <c r="U1033" s="177"/>
      <c r="V1033" s="103">
        <v>3000</v>
      </c>
      <c r="W1033" s="103">
        <f>V1033+U1033</f>
        <v>3000</v>
      </c>
      <c r="X1033" s="103">
        <v>3000</v>
      </c>
      <c r="Y1033" s="177">
        <f>IF(W1033="","",W1033-X1033)</f>
        <v>0</v>
      </c>
      <c r="Z1033" s="106"/>
      <c r="AA1033" s="54"/>
    </row>
    <row r="1034" spans="1:27" s="55" customFormat="1" ht="21" customHeight="1" x14ac:dyDescent="0.25">
      <c r="A1034" s="56"/>
      <c r="B1034" s="71" t="s">
        <v>57</v>
      </c>
      <c r="C1034" s="72"/>
      <c r="D1034" s="57"/>
      <c r="E1034" s="57"/>
      <c r="F1034" s="290" t="s">
        <v>59</v>
      </c>
      <c r="G1034" s="290"/>
      <c r="H1034" s="57"/>
      <c r="I1034" s="290" t="s">
        <v>60</v>
      </c>
      <c r="J1034" s="290"/>
      <c r="K1034" s="290"/>
      <c r="L1034" s="73"/>
      <c r="M1034" s="57"/>
      <c r="N1034" s="100"/>
      <c r="O1034" s="101" t="s">
        <v>62</v>
      </c>
      <c r="P1034" s="101">
        <v>31</v>
      </c>
      <c r="Q1034" s="101">
        <v>0</v>
      </c>
      <c r="R1034" s="101">
        <v>0</v>
      </c>
      <c r="S1034" s="105"/>
      <c r="T1034" s="101" t="s">
        <v>62</v>
      </c>
      <c r="U1034" s="177">
        <f>IF($J$1="April",Y1033,Y1033)</f>
        <v>0</v>
      </c>
      <c r="V1034" s="103">
        <v>5000</v>
      </c>
      <c r="W1034" s="177">
        <f t="shared" ref="W1034:W1043" si="188">IF(U1034="","",U1034+V1034)</f>
        <v>5000</v>
      </c>
      <c r="X1034" s="103">
        <v>1500</v>
      </c>
      <c r="Y1034" s="177">
        <f t="shared" ref="Y1034:Y1043" si="189">IF(W1034="","",W1034-X1034)</f>
        <v>3500</v>
      </c>
      <c r="Z1034" s="106"/>
      <c r="AA1034" s="57"/>
    </row>
    <row r="1035" spans="1:27" s="55" customFormat="1" ht="21" customHeight="1" x14ac:dyDescent="0.25">
      <c r="A1035" s="56"/>
      <c r="B1035" s="57"/>
      <c r="C1035" s="57"/>
      <c r="D1035" s="57"/>
      <c r="E1035" s="57"/>
      <c r="F1035" s="57"/>
      <c r="G1035" s="57"/>
      <c r="H1035" s="74"/>
      <c r="L1035" s="61"/>
      <c r="M1035" s="57"/>
      <c r="N1035" s="100"/>
      <c r="O1035" s="101" t="s">
        <v>63</v>
      </c>
      <c r="P1035" s="101">
        <v>29</v>
      </c>
      <c r="Q1035" s="101">
        <v>1</v>
      </c>
      <c r="R1035" s="101">
        <v>0</v>
      </c>
      <c r="S1035" s="105"/>
      <c r="T1035" s="101" t="s">
        <v>63</v>
      </c>
      <c r="U1035" s="177">
        <f>IF($J$1="April",Y1034,Y1034)</f>
        <v>3500</v>
      </c>
      <c r="V1035" s="103">
        <v>1000</v>
      </c>
      <c r="W1035" s="177">
        <f t="shared" si="188"/>
        <v>4500</v>
      </c>
      <c r="X1035" s="103">
        <v>2000</v>
      </c>
      <c r="Y1035" s="177">
        <f t="shared" si="189"/>
        <v>2500</v>
      </c>
      <c r="Z1035" s="106"/>
      <c r="AA1035" s="57"/>
    </row>
    <row r="1036" spans="1:27" s="55" customFormat="1" ht="21" customHeight="1" x14ac:dyDescent="0.25">
      <c r="A1036" s="56"/>
      <c r="B1036" s="291" t="s">
        <v>58</v>
      </c>
      <c r="C1036" s="292"/>
      <c r="D1036" s="57"/>
      <c r="E1036" s="57"/>
      <c r="F1036" s="75" t="s">
        <v>80</v>
      </c>
      <c r="G1036" s="70">
        <f>IF($J$1="January",U1032,IF($J$1="February",U1033,IF($J$1="March",U1034,IF($J$1="April",U1035,IF($J$1="May",U1036,IF($J$1="June",U1037,IF($J$1="July",U1038,IF($J$1="August",U1039,IF($J$1="August",U1039,IF($J$1="September",U1040,IF($J$1="October",U1041,IF($J$1="November",U1042,IF($J$1="December",U1043)))))))))))))</f>
        <v>4500</v>
      </c>
      <c r="H1036" s="74"/>
      <c r="I1036" s="76">
        <f>IF(C1040&gt;0,$K$2,C1038)</f>
        <v>29</v>
      </c>
      <c r="J1036" s="77" t="s">
        <v>77</v>
      </c>
      <c r="K1036" s="78">
        <f>K1032/$K$2*I1036</f>
        <v>14500</v>
      </c>
      <c r="L1036" s="79"/>
      <c r="M1036" s="57"/>
      <c r="N1036" s="100"/>
      <c r="O1036" s="101" t="s">
        <v>64</v>
      </c>
      <c r="P1036" s="101">
        <v>30</v>
      </c>
      <c r="Q1036" s="101">
        <v>1</v>
      </c>
      <c r="R1036" s="101">
        <v>15</v>
      </c>
      <c r="S1036" s="105"/>
      <c r="T1036" s="101" t="s">
        <v>64</v>
      </c>
      <c r="U1036" s="177">
        <f>Y1035</f>
        <v>2500</v>
      </c>
      <c r="V1036" s="103">
        <v>2000</v>
      </c>
      <c r="W1036" s="177">
        <f t="shared" si="188"/>
        <v>4500</v>
      </c>
      <c r="X1036" s="103"/>
      <c r="Y1036" s="177">
        <f t="shared" si="189"/>
        <v>4500</v>
      </c>
      <c r="Z1036" s="106"/>
      <c r="AA1036" s="57"/>
    </row>
    <row r="1037" spans="1:27" s="55" customFormat="1" ht="21" customHeight="1" x14ac:dyDescent="0.25">
      <c r="A1037" s="56"/>
      <c r="B1037" s="66"/>
      <c r="C1037" s="66"/>
      <c r="D1037" s="57"/>
      <c r="E1037" s="57"/>
      <c r="F1037" s="75" t="s">
        <v>29</v>
      </c>
      <c r="G1037" s="137">
        <f>IF($J$1="January",V1032,IF($J$1="February",V1033,IF($J$1="March",V1034,IF($J$1="April",V1035,IF($J$1="May",V1036,IF($J$1="June",V1037,IF($J$1="July",V1038,IF($J$1="August",V1039,IF($J$1="August",V1039,IF($J$1="September",V1040,IF($J$1="October",V1041,IF($J$1="November",V1042,IF($J$1="December",V1043)))))))))))))</f>
        <v>0</v>
      </c>
      <c r="H1037" s="74"/>
      <c r="I1037" s="120">
        <v>56</v>
      </c>
      <c r="J1037" s="77" t="s">
        <v>78</v>
      </c>
      <c r="K1037" s="80">
        <f>K1032/$K$2/8*I1037</f>
        <v>3500</v>
      </c>
      <c r="L1037" s="81"/>
      <c r="M1037" s="57"/>
      <c r="N1037" s="100"/>
      <c r="O1037" s="101" t="s">
        <v>65</v>
      </c>
      <c r="P1037" s="101">
        <v>29</v>
      </c>
      <c r="Q1037" s="101">
        <v>1</v>
      </c>
      <c r="R1037" s="101">
        <v>0</v>
      </c>
      <c r="S1037" s="105"/>
      <c r="T1037" s="101" t="s">
        <v>65</v>
      </c>
      <c r="U1037" s="177">
        <f>Y1036</f>
        <v>4500</v>
      </c>
      <c r="V1037" s="103"/>
      <c r="W1037" s="177">
        <f t="shared" si="188"/>
        <v>4500</v>
      </c>
      <c r="X1037" s="103">
        <v>1500</v>
      </c>
      <c r="Y1037" s="177">
        <f t="shared" si="189"/>
        <v>3000</v>
      </c>
      <c r="Z1037" s="106"/>
      <c r="AA1037" s="57"/>
    </row>
    <row r="1038" spans="1:27" s="55" customFormat="1" ht="21" customHeight="1" x14ac:dyDescent="0.25">
      <c r="A1038" s="56"/>
      <c r="B1038" s="75" t="s">
        <v>7</v>
      </c>
      <c r="C1038" s="66">
        <f>IF($J$1="January",P1032,IF($J$1="February",P1033,IF($J$1="March",P1034,IF($J$1="April",P1035,IF($J$1="May",P1036,IF($J$1="June",P1037,IF($J$1="July",P1038,IF($J$1="August",P1039,IF($J$1="August",P1039,IF($J$1="September",P1040,IF($J$1="October",P1041,IF($J$1="November",P1042,IF($J$1="December",P1043)))))))))))))</f>
        <v>29</v>
      </c>
      <c r="D1038" s="57"/>
      <c r="E1038" s="57"/>
      <c r="F1038" s="75" t="s">
        <v>81</v>
      </c>
      <c r="G1038" s="137">
        <f>IF($J$1="January",W1032,IF($J$1="February",W1033,IF($J$1="March",W1034,IF($J$1="April",W1035,IF($J$1="May",W1036,IF($J$1="June",W1037,IF($J$1="July",W1038,IF($J$1="August",W1039,IF($J$1="August",W1039,IF($J$1="September",W1040,IF($J$1="October",W1041,IF($J$1="November",W1042,IF($J$1="December",W1043)))))))))))))</f>
        <v>4500</v>
      </c>
      <c r="H1038" s="74"/>
      <c r="I1038" s="293" t="s">
        <v>85</v>
      </c>
      <c r="J1038" s="294"/>
      <c r="K1038" s="80">
        <f>K1036+K1037</f>
        <v>18000</v>
      </c>
      <c r="L1038" s="81"/>
      <c r="M1038" s="57"/>
      <c r="N1038" s="100"/>
      <c r="O1038" s="101" t="s">
        <v>66</v>
      </c>
      <c r="P1038" s="101"/>
      <c r="Q1038" s="101"/>
      <c r="R1038" s="101">
        <v>0</v>
      </c>
      <c r="S1038" s="105"/>
      <c r="T1038" s="101" t="s">
        <v>66</v>
      </c>
      <c r="U1038" s="177"/>
      <c r="V1038" s="103"/>
      <c r="W1038" s="177" t="str">
        <f t="shared" si="188"/>
        <v/>
      </c>
      <c r="X1038" s="103"/>
      <c r="Y1038" s="177" t="str">
        <f t="shared" si="189"/>
        <v/>
      </c>
      <c r="Z1038" s="106"/>
      <c r="AA1038" s="57"/>
    </row>
    <row r="1039" spans="1:27" s="55" customFormat="1" ht="21" customHeight="1" x14ac:dyDescent="0.25">
      <c r="A1039" s="56"/>
      <c r="B1039" s="75" t="s">
        <v>6</v>
      </c>
      <c r="C1039" s="66">
        <f>IF($J$1="January",Q1032,IF($J$1="February",Q1033,IF($J$1="March",Q1034,IF($J$1="April",Q1035,IF($J$1="May",Q1036,IF($J$1="June",Q1037,IF($J$1="July",Q1038,IF($J$1="August",Q1039,IF($J$1="August",Q1039,IF($J$1="September",Q1040,IF($J$1="October",Q1041,IF($J$1="November",Q1042,IF($J$1="December",Q1043)))))))))))))</f>
        <v>1</v>
      </c>
      <c r="D1039" s="57"/>
      <c r="E1039" s="57"/>
      <c r="F1039" s="75" t="s">
        <v>30</v>
      </c>
      <c r="G1039" s="137">
        <f>IF($J$1="January",X1032,IF($J$1="February",X1033,IF($J$1="March",X1034,IF($J$1="April",X1035,IF($J$1="May",X1036,IF($J$1="June",X1037,IF($J$1="July",X1038,IF($J$1="August",X1039,IF($J$1="August",X1039,IF($J$1="September",X1040,IF($J$1="October",X1041,IF($J$1="November",X1042,IF($J$1="December",X1043)))))))))))))</f>
        <v>1500</v>
      </c>
      <c r="H1039" s="74"/>
      <c r="I1039" s="293" t="s">
        <v>86</v>
      </c>
      <c r="J1039" s="294"/>
      <c r="K1039" s="70">
        <f>G1039</f>
        <v>1500</v>
      </c>
      <c r="L1039" s="82"/>
      <c r="M1039" s="57"/>
      <c r="N1039" s="100"/>
      <c r="O1039" s="101" t="s">
        <v>67</v>
      </c>
      <c r="P1039" s="101"/>
      <c r="Q1039" s="101"/>
      <c r="R1039" s="101">
        <v>0</v>
      </c>
      <c r="S1039" s="105"/>
      <c r="T1039" s="101" t="s">
        <v>67</v>
      </c>
      <c r="U1039" s="177"/>
      <c r="V1039" s="103"/>
      <c r="W1039" s="177" t="str">
        <f t="shared" si="188"/>
        <v/>
      </c>
      <c r="X1039" s="103"/>
      <c r="Y1039" s="177" t="str">
        <f t="shared" si="189"/>
        <v/>
      </c>
      <c r="Z1039" s="106"/>
      <c r="AA1039" s="57"/>
    </row>
    <row r="1040" spans="1:27" s="55" customFormat="1" ht="21" customHeight="1" x14ac:dyDescent="0.25">
      <c r="A1040" s="56"/>
      <c r="B1040" s="83" t="s">
        <v>84</v>
      </c>
      <c r="C1040" s="66">
        <f>IF($J$1="January",R1032,IF($J$1="February",R1033,IF($J$1="March",R1034,IF($J$1="April",R1035,IF($J$1="May",R1036,IF($J$1="June",R1037,IF($J$1="July",R1038,IF($J$1="August",R1039,IF($J$1="August",R1039,IF($J$1="September",R1040,IF($J$1="October",R1041,IF($J$1="November",R1042,IF($J$1="December",R1043)))))))))))))</f>
        <v>0</v>
      </c>
      <c r="D1040" s="57"/>
      <c r="E1040" s="57"/>
      <c r="F1040" s="75" t="s">
        <v>83</v>
      </c>
      <c r="G1040" s="70">
        <f>IF($J$1="January",Y1032,IF($J$1="February",Y1033,IF($J$1="March",Y1034,IF($J$1="April",Y1035,IF($J$1="May",Y1036,IF($J$1="June",Y1037,IF($J$1="July",Y1038,IF($J$1="August",Y1039,IF($J$1="August",Y1039,IF($J$1="September",Y1040,IF($J$1="October",Y1041,IF($J$1="November",Y1042,IF($J$1="December",Y1043)))))))))))))</f>
        <v>3000</v>
      </c>
      <c r="H1040" s="57"/>
      <c r="I1040" s="295" t="s">
        <v>79</v>
      </c>
      <c r="J1040" s="296"/>
      <c r="K1040" s="84">
        <f>K1038-K1039</f>
        <v>16500</v>
      </c>
      <c r="L1040" s="85"/>
      <c r="M1040" s="57"/>
      <c r="N1040" s="100"/>
      <c r="O1040" s="101" t="s">
        <v>72</v>
      </c>
      <c r="P1040" s="101"/>
      <c r="Q1040" s="101"/>
      <c r="R1040" s="101" t="str">
        <f t="shared" ref="R1040:R1041" si="190">IF(Q1040="","",R1039-Q1040)</f>
        <v/>
      </c>
      <c r="S1040" s="105"/>
      <c r="T1040" s="101" t="s">
        <v>72</v>
      </c>
      <c r="U1040" s="177"/>
      <c r="V1040" s="103"/>
      <c r="W1040" s="177" t="str">
        <f t="shared" si="188"/>
        <v/>
      </c>
      <c r="X1040" s="103"/>
      <c r="Y1040" s="177" t="str">
        <f t="shared" si="189"/>
        <v/>
      </c>
      <c r="Z1040" s="106"/>
      <c r="AA1040" s="57"/>
    </row>
    <row r="1041" spans="1:27" s="55" customFormat="1" ht="21" customHeight="1" x14ac:dyDescent="0.25">
      <c r="A1041" s="56"/>
      <c r="B1041" s="57"/>
      <c r="C1041" s="57"/>
      <c r="D1041" s="57"/>
      <c r="E1041" s="57"/>
      <c r="F1041" s="57"/>
      <c r="G1041" s="57"/>
      <c r="H1041" s="57"/>
      <c r="I1041" s="57"/>
      <c r="J1041" s="57"/>
      <c r="K1041" s="57"/>
      <c r="L1041" s="73"/>
      <c r="M1041" s="57"/>
      <c r="N1041" s="100"/>
      <c r="O1041" s="101" t="s">
        <v>68</v>
      </c>
      <c r="P1041" s="101"/>
      <c r="Q1041" s="101"/>
      <c r="R1041" s="101" t="str">
        <f t="shared" si="190"/>
        <v/>
      </c>
      <c r="S1041" s="105"/>
      <c r="T1041" s="101" t="s">
        <v>68</v>
      </c>
      <c r="U1041" s="177"/>
      <c r="V1041" s="103"/>
      <c r="W1041" s="177" t="str">
        <f t="shared" si="188"/>
        <v/>
      </c>
      <c r="X1041" s="103"/>
      <c r="Y1041" s="177" t="str">
        <f t="shared" si="189"/>
        <v/>
      </c>
      <c r="Z1041" s="106"/>
      <c r="AA1041" s="57"/>
    </row>
    <row r="1042" spans="1:27" s="55" customFormat="1" ht="21" customHeight="1" x14ac:dyDescent="0.25">
      <c r="A1042" s="56"/>
      <c r="B1042" s="284" t="s">
        <v>116</v>
      </c>
      <c r="C1042" s="284"/>
      <c r="D1042" s="284"/>
      <c r="E1042" s="284"/>
      <c r="F1042" s="284"/>
      <c r="G1042" s="284"/>
      <c r="H1042" s="284"/>
      <c r="I1042" s="284"/>
      <c r="J1042" s="284"/>
      <c r="K1042" s="284"/>
      <c r="L1042" s="73"/>
      <c r="M1042" s="57"/>
      <c r="N1042" s="100"/>
      <c r="O1042" s="101" t="s">
        <v>73</v>
      </c>
      <c r="P1042" s="101"/>
      <c r="Q1042" s="101"/>
      <c r="R1042" s="101">
        <v>0</v>
      </c>
      <c r="S1042" s="105"/>
      <c r="T1042" s="101" t="s">
        <v>73</v>
      </c>
      <c r="U1042" s="177"/>
      <c r="V1042" s="103"/>
      <c r="W1042" s="177" t="str">
        <f t="shared" si="188"/>
        <v/>
      </c>
      <c r="X1042" s="103"/>
      <c r="Y1042" s="177" t="str">
        <f t="shared" si="189"/>
        <v/>
      </c>
      <c r="Z1042" s="106"/>
      <c r="AA1042" s="57"/>
    </row>
    <row r="1043" spans="1:27" s="55" customFormat="1" ht="21" customHeight="1" x14ac:dyDescent="0.25">
      <c r="A1043" s="56"/>
      <c r="B1043" s="284"/>
      <c r="C1043" s="284"/>
      <c r="D1043" s="284"/>
      <c r="E1043" s="284"/>
      <c r="F1043" s="284"/>
      <c r="G1043" s="284"/>
      <c r="H1043" s="284"/>
      <c r="I1043" s="284"/>
      <c r="J1043" s="284"/>
      <c r="K1043" s="284"/>
      <c r="L1043" s="73"/>
      <c r="M1043" s="57"/>
      <c r="N1043" s="100"/>
      <c r="O1043" s="101" t="s">
        <v>74</v>
      </c>
      <c r="P1043" s="101"/>
      <c r="Q1043" s="101"/>
      <c r="R1043" s="101">
        <v>0</v>
      </c>
      <c r="S1043" s="105"/>
      <c r="T1043" s="101" t="s">
        <v>74</v>
      </c>
      <c r="U1043" s="177"/>
      <c r="V1043" s="103"/>
      <c r="W1043" s="177" t="str">
        <f t="shared" si="188"/>
        <v/>
      </c>
      <c r="X1043" s="103"/>
      <c r="Y1043" s="177" t="str">
        <f t="shared" si="189"/>
        <v/>
      </c>
      <c r="Z1043" s="106"/>
      <c r="AA1043" s="57"/>
    </row>
    <row r="1044" spans="1:27" s="55" customFormat="1" ht="21" customHeight="1" thickBot="1" x14ac:dyDescent="0.3">
      <c r="A1044" s="86"/>
      <c r="B1044" s="87"/>
      <c r="C1044" s="87"/>
      <c r="D1044" s="87"/>
      <c r="E1044" s="87"/>
      <c r="F1044" s="87"/>
      <c r="G1044" s="87"/>
      <c r="H1044" s="87"/>
      <c r="I1044" s="87"/>
      <c r="J1044" s="87"/>
      <c r="K1044" s="87"/>
      <c r="L1044" s="88"/>
      <c r="N1044" s="107"/>
      <c r="O1044" s="108"/>
      <c r="P1044" s="108"/>
      <c r="Q1044" s="108"/>
      <c r="R1044" s="108"/>
      <c r="S1044" s="108"/>
      <c r="T1044" s="108"/>
      <c r="U1044" s="108"/>
      <c r="V1044" s="108"/>
      <c r="W1044" s="108"/>
      <c r="X1044" s="108"/>
      <c r="Y1044" s="108"/>
      <c r="Z1044" s="109"/>
    </row>
    <row r="1045" spans="1:27" s="57" customFormat="1" ht="21" customHeight="1" thickBot="1" x14ac:dyDescent="0.3">
      <c r="N1045" s="105"/>
      <c r="O1045" s="105"/>
      <c r="P1045" s="105"/>
      <c r="Q1045" s="105"/>
      <c r="R1045" s="105"/>
      <c r="S1045" s="105"/>
      <c r="T1045" s="105"/>
      <c r="U1045" s="105"/>
      <c r="V1045" s="105"/>
      <c r="W1045" s="105"/>
      <c r="X1045" s="105"/>
      <c r="Y1045" s="105"/>
      <c r="Z1045" s="105"/>
    </row>
    <row r="1046" spans="1:27" s="55" customFormat="1" ht="21" customHeight="1" x14ac:dyDescent="0.25">
      <c r="A1046" s="308" t="s">
        <v>56</v>
      </c>
      <c r="B1046" s="309"/>
      <c r="C1046" s="309"/>
      <c r="D1046" s="309"/>
      <c r="E1046" s="309"/>
      <c r="F1046" s="309"/>
      <c r="G1046" s="309"/>
      <c r="H1046" s="309"/>
      <c r="I1046" s="309"/>
      <c r="J1046" s="309"/>
      <c r="K1046" s="309"/>
      <c r="L1046" s="310"/>
      <c r="M1046" s="54"/>
      <c r="N1046" s="93"/>
      <c r="O1046" s="285" t="s">
        <v>58</v>
      </c>
      <c r="P1046" s="286"/>
      <c r="Q1046" s="286"/>
      <c r="R1046" s="287"/>
      <c r="S1046" s="94"/>
      <c r="T1046" s="285" t="s">
        <v>59</v>
      </c>
      <c r="U1046" s="286"/>
      <c r="V1046" s="286"/>
      <c r="W1046" s="286"/>
      <c r="X1046" s="286"/>
      <c r="Y1046" s="287"/>
      <c r="Z1046" s="95"/>
      <c r="AA1046" s="54"/>
    </row>
    <row r="1047" spans="1:27" s="55" customFormat="1" ht="21" customHeight="1" x14ac:dyDescent="0.25">
      <c r="A1047" s="56"/>
      <c r="B1047" s="57"/>
      <c r="C1047" s="288" t="s">
        <v>114</v>
      </c>
      <c r="D1047" s="288"/>
      <c r="E1047" s="288"/>
      <c r="F1047" s="288"/>
      <c r="G1047" s="58" t="str">
        <f>$J$1</f>
        <v>June</v>
      </c>
      <c r="H1047" s="289">
        <f>$K$1</f>
        <v>2019</v>
      </c>
      <c r="I1047" s="289"/>
      <c r="J1047" s="57"/>
      <c r="K1047" s="59"/>
      <c r="L1047" s="60"/>
      <c r="M1047" s="59"/>
      <c r="N1047" s="96"/>
      <c r="O1047" s="97" t="s">
        <v>69</v>
      </c>
      <c r="P1047" s="97" t="s">
        <v>7</v>
      </c>
      <c r="Q1047" s="97" t="s">
        <v>6</v>
      </c>
      <c r="R1047" s="97" t="s">
        <v>70</v>
      </c>
      <c r="S1047" s="98"/>
      <c r="T1047" s="97" t="s">
        <v>69</v>
      </c>
      <c r="U1047" s="97" t="s">
        <v>71</v>
      </c>
      <c r="V1047" s="97" t="s">
        <v>29</v>
      </c>
      <c r="W1047" s="97" t="s">
        <v>28</v>
      </c>
      <c r="X1047" s="97" t="s">
        <v>30</v>
      </c>
      <c r="Y1047" s="97" t="s">
        <v>75</v>
      </c>
      <c r="Z1047" s="99"/>
      <c r="AA1047" s="59"/>
    </row>
    <row r="1048" spans="1:27" s="55" customFormat="1" ht="21" customHeight="1" x14ac:dyDescent="0.25">
      <c r="A1048" s="56"/>
      <c r="B1048" s="57"/>
      <c r="C1048" s="57"/>
      <c r="D1048" s="62"/>
      <c r="E1048" s="62"/>
      <c r="F1048" s="62"/>
      <c r="G1048" s="62"/>
      <c r="H1048" s="62"/>
      <c r="I1048" s="57"/>
      <c r="J1048" s="63" t="s">
        <v>1</v>
      </c>
      <c r="K1048" s="64"/>
      <c r="L1048" s="65"/>
      <c r="M1048" s="57"/>
      <c r="N1048" s="100"/>
      <c r="O1048" s="101" t="s">
        <v>61</v>
      </c>
      <c r="P1048" s="101"/>
      <c r="Q1048" s="101"/>
      <c r="R1048" s="101"/>
      <c r="S1048" s="102"/>
      <c r="T1048" s="101" t="s">
        <v>61</v>
      </c>
      <c r="U1048" s="103"/>
      <c r="V1048" s="103"/>
      <c r="W1048" s="103">
        <f>V1048+U1048</f>
        <v>0</v>
      </c>
      <c r="X1048" s="103"/>
      <c r="Y1048" s="103">
        <f>W1048-X1048</f>
        <v>0</v>
      </c>
      <c r="Z1048" s="99"/>
      <c r="AA1048" s="57"/>
    </row>
    <row r="1049" spans="1:27" s="55" customFormat="1" ht="21" customHeight="1" x14ac:dyDescent="0.25">
      <c r="A1049" s="56"/>
      <c r="B1049" s="57" t="s">
        <v>0</v>
      </c>
      <c r="C1049" s="67"/>
      <c r="D1049" s="57"/>
      <c r="E1049" s="57"/>
      <c r="F1049" s="57"/>
      <c r="G1049" s="57"/>
      <c r="H1049" s="68"/>
      <c r="I1049" s="62"/>
      <c r="J1049" s="57"/>
      <c r="K1049" s="57"/>
      <c r="L1049" s="69"/>
      <c r="M1049" s="54"/>
      <c r="N1049" s="104"/>
      <c r="O1049" s="101" t="s">
        <v>87</v>
      </c>
      <c r="P1049" s="101"/>
      <c r="Q1049" s="101"/>
      <c r="R1049" s="101" t="str">
        <f>IF(Q1049="","",R1048-Q1049)</f>
        <v/>
      </c>
      <c r="S1049" s="105"/>
      <c r="T1049" s="101" t="s">
        <v>87</v>
      </c>
      <c r="U1049" s="177">
        <f>Y1048</f>
        <v>0</v>
      </c>
      <c r="V1049" s="103"/>
      <c r="W1049" s="177">
        <f>IF(U1049="","",U1049+V1049)</f>
        <v>0</v>
      </c>
      <c r="X1049" s="103"/>
      <c r="Y1049" s="177">
        <f>IF(W1049="","",W1049-X1049)</f>
        <v>0</v>
      </c>
      <c r="Z1049" s="106"/>
      <c r="AA1049" s="54"/>
    </row>
    <row r="1050" spans="1:27" s="55" customFormat="1" ht="21" customHeight="1" x14ac:dyDescent="0.25">
      <c r="A1050" s="56"/>
      <c r="B1050" s="71" t="s">
        <v>57</v>
      </c>
      <c r="C1050" s="72"/>
      <c r="D1050" s="57"/>
      <c r="E1050" s="57"/>
      <c r="F1050" s="290" t="s">
        <v>59</v>
      </c>
      <c r="G1050" s="290"/>
      <c r="H1050" s="57"/>
      <c r="I1050" s="290" t="s">
        <v>60</v>
      </c>
      <c r="J1050" s="290"/>
      <c r="K1050" s="290"/>
      <c r="L1050" s="73"/>
      <c r="M1050" s="57"/>
      <c r="N1050" s="100"/>
      <c r="O1050" s="101" t="s">
        <v>62</v>
      </c>
      <c r="P1050" s="101"/>
      <c r="Q1050" s="101"/>
      <c r="R1050" s="101" t="str">
        <f t="shared" ref="R1050:R1059" si="191">IF(Q1050="","",R1049-Q1050)</f>
        <v/>
      </c>
      <c r="S1050" s="105"/>
      <c r="T1050" s="101" t="s">
        <v>62</v>
      </c>
      <c r="U1050" s="177">
        <f>IF($J$1="April",Y1049,Y1049)</f>
        <v>0</v>
      </c>
      <c r="V1050" s="103"/>
      <c r="W1050" s="177">
        <f t="shared" ref="W1050:W1059" si="192">IF(U1050="","",U1050+V1050)</f>
        <v>0</v>
      </c>
      <c r="X1050" s="103"/>
      <c r="Y1050" s="177">
        <f t="shared" ref="Y1050:Y1059" si="193">IF(W1050="","",W1050-X1050)</f>
        <v>0</v>
      </c>
      <c r="Z1050" s="106"/>
      <c r="AA1050" s="57"/>
    </row>
    <row r="1051" spans="1:27" s="55" customFormat="1" ht="21" customHeight="1" x14ac:dyDescent="0.25">
      <c r="A1051" s="56"/>
      <c r="B1051" s="57"/>
      <c r="C1051" s="57"/>
      <c r="D1051" s="57"/>
      <c r="E1051" s="57"/>
      <c r="F1051" s="57"/>
      <c r="G1051" s="57"/>
      <c r="H1051" s="74"/>
      <c r="L1051" s="61"/>
      <c r="M1051" s="57"/>
      <c r="N1051" s="100"/>
      <c r="O1051" s="101" t="s">
        <v>63</v>
      </c>
      <c r="P1051" s="101"/>
      <c r="Q1051" s="101"/>
      <c r="R1051" s="101" t="str">
        <f t="shared" si="191"/>
        <v/>
      </c>
      <c r="S1051" s="105"/>
      <c r="T1051" s="101" t="s">
        <v>63</v>
      </c>
      <c r="U1051" s="177">
        <f>IF($J$1="April",Y1050,Y1050)</f>
        <v>0</v>
      </c>
      <c r="V1051" s="103"/>
      <c r="W1051" s="177">
        <f t="shared" si="192"/>
        <v>0</v>
      </c>
      <c r="X1051" s="103"/>
      <c r="Y1051" s="177">
        <f t="shared" si="193"/>
        <v>0</v>
      </c>
      <c r="Z1051" s="106"/>
      <c r="AA1051" s="57"/>
    </row>
    <row r="1052" spans="1:27" s="55" customFormat="1" ht="21" customHeight="1" x14ac:dyDescent="0.25">
      <c r="A1052" s="56"/>
      <c r="B1052" s="291" t="s">
        <v>58</v>
      </c>
      <c r="C1052" s="292"/>
      <c r="D1052" s="57"/>
      <c r="E1052" s="57"/>
      <c r="F1052" s="75" t="s">
        <v>80</v>
      </c>
      <c r="G1052" s="70">
        <f>IF($J$1="January",U1048,IF($J$1="February",U1049,IF($J$1="March",U1050,IF($J$1="April",U1051,IF($J$1="May",U1052,IF($J$1="June",U1053,IF($J$1="July",U1054,IF($J$1="August",U1055,IF($J$1="August",U1055,IF($J$1="September",U1056,IF($J$1="October",U1057,IF($J$1="November",U1058,IF($J$1="December",U1059)))))))))))))</f>
        <v>0</v>
      </c>
      <c r="H1052" s="74"/>
      <c r="I1052" s="76"/>
      <c r="J1052" s="77" t="s">
        <v>77</v>
      </c>
      <c r="K1052" s="78">
        <f>K1048/$K$2*I1052</f>
        <v>0</v>
      </c>
      <c r="L1052" s="79"/>
      <c r="M1052" s="57"/>
      <c r="N1052" s="100"/>
      <c r="O1052" s="101" t="s">
        <v>64</v>
      </c>
      <c r="P1052" s="101"/>
      <c r="Q1052" s="101"/>
      <c r="R1052" s="101" t="str">
        <f t="shared" si="191"/>
        <v/>
      </c>
      <c r="S1052" s="105"/>
      <c r="T1052" s="101" t="s">
        <v>64</v>
      </c>
      <c r="U1052" s="177">
        <f>IF($J$1="May",Y1051,Y1051)</f>
        <v>0</v>
      </c>
      <c r="V1052" s="103"/>
      <c r="W1052" s="177">
        <f t="shared" si="192"/>
        <v>0</v>
      </c>
      <c r="X1052" s="103"/>
      <c r="Y1052" s="177">
        <f t="shared" si="193"/>
        <v>0</v>
      </c>
      <c r="Z1052" s="106"/>
      <c r="AA1052" s="57"/>
    </row>
    <row r="1053" spans="1:27" s="55" customFormat="1" ht="21" customHeight="1" x14ac:dyDescent="0.25">
      <c r="A1053" s="56"/>
      <c r="B1053" s="66"/>
      <c r="C1053" s="66"/>
      <c r="D1053" s="57"/>
      <c r="E1053" s="57"/>
      <c r="F1053" s="75" t="s">
        <v>29</v>
      </c>
      <c r="G1053" s="70">
        <f>IF($J$1="January",V1048,IF($J$1="February",V1049,IF($J$1="March",V1050,IF($J$1="April",V1051,IF($J$1="May",V1052,IF($J$1="June",V1053,IF($J$1="July",V1054,IF($J$1="August",V1055,IF($J$1="August",V1055,IF($J$1="September",V1056,IF($J$1="October",V1057,IF($J$1="November",V1058,IF($J$1="December",V1059)))))))))))))</f>
        <v>0</v>
      </c>
      <c r="H1053" s="74"/>
      <c r="I1053" s="120"/>
      <c r="J1053" s="77" t="s">
        <v>78</v>
      </c>
      <c r="K1053" s="80">
        <f>K1048/$K$2/8*I1053</f>
        <v>0</v>
      </c>
      <c r="L1053" s="81"/>
      <c r="M1053" s="57"/>
      <c r="N1053" s="100"/>
      <c r="O1053" s="101" t="s">
        <v>65</v>
      </c>
      <c r="P1053" s="101"/>
      <c r="Q1053" s="101"/>
      <c r="R1053" s="101" t="str">
        <f t="shared" si="191"/>
        <v/>
      </c>
      <c r="S1053" s="105"/>
      <c r="T1053" s="101" t="s">
        <v>65</v>
      </c>
      <c r="U1053" s="177">
        <f>IF($J$1="May",Y1052,Y1052)</f>
        <v>0</v>
      </c>
      <c r="V1053" s="103"/>
      <c r="W1053" s="177">
        <f t="shared" si="192"/>
        <v>0</v>
      </c>
      <c r="X1053" s="103"/>
      <c r="Y1053" s="177">
        <f t="shared" si="193"/>
        <v>0</v>
      </c>
      <c r="Z1053" s="106"/>
      <c r="AA1053" s="57"/>
    </row>
    <row r="1054" spans="1:27" s="55" customFormat="1" ht="21" customHeight="1" x14ac:dyDescent="0.25">
      <c r="A1054" s="56"/>
      <c r="B1054" s="75" t="s">
        <v>7</v>
      </c>
      <c r="C1054" s="66">
        <f>IF($J$1="January",P1048,IF($J$1="February",P1049,IF($J$1="March",P1050,IF($J$1="April",P1051,IF($J$1="May",P1052,IF($J$1="June",P1053,IF($J$1="July",P1054,IF($J$1="August",P1055,IF($J$1="August",P1055,IF($J$1="September",P1056,IF($J$1="October",P1057,IF($J$1="November",P1058,IF($J$1="December",P1059)))))))))))))</f>
        <v>0</v>
      </c>
      <c r="D1054" s="57"/>
      <c r="E1054" s="57"/>
      <c r="F1054" s="75" t="s">
        <v>81</v>
      </c>
      <c r="G1054" s="70">
        <f>IF($J$1="January",W1048,IF($J$1="February",W1049,IF($J$1="March",W1050,IF($J$1="April",W1051,IF($J$1="May",W1052,IF($J$1="June",W1053,IF($J$1="July",W1054,IF($J$1="August",W1055,IF($J$1="August",W1055,IF($J$1="September",W1056,IF($J$1="October",W1057,IF($J$1="November",W1058,IF($J$1="December",W1059)))))))))))))</f>
        <v>0</v>
      </c>
      <c r="H1054" s="74"/>
      <c r="I1054" s="293" t="s">
        <v>85</v>
      </c>
      <c r="J1054" s="294"/>
      <c r="K1054" s="80">
        <f>K1052+K1053</f>
        <v>0</v>
      </c>
      <c r="L1054" s="81"/>
      <c r="M1054" s="57"/>
      <c r="N1054" s="100"/>
      <c r="O1054" s="101" t="s">
        <v>66</v>
      </c>
      <c r="P1054" s="101"/>
      <c r="Q1054" s="101"/>
      <c r="R1054" s="101" t="str">
        <f t="shared" si="191"/>
        <v/>
      </c>
      <c r="S1054" s="105"/>
      <c r="T1054" s="101" t="s">
        <v>66</v>
      </c>
      <c r="U1054" s="177" t="str">
        <f>IF($J$1="July",Y1053,"")</f>
        <v/>
      </c>
      <c r="V1054" s="103"/>
      <c r="W1054" s="177" t="str">
        <f t="shared" si="192"/>
        <v/>
      </c>
      <c r="X1054" s="103"/>
      <c r="Y1054" s="177" t="str">
        <f t="shared" si="193"/>
        <v/>
      </c>
      <c r="Z1054" s="106"/>
      <c r="AA1054" s="57"/>
    </row>
    <row r="1055" spans="1:27" s="55" customFormat="1" ht="21" customHeight="1" x14ac:dyDescent="0.25">
      <c r="A1055" s="56"/>
      <c r="B1055" s="75" t="s">
        <v>6</v>
      </c>
      <c r="C1055" s="66">
        <f>IF($J$1="January",Q1048,IF($J$1="February",Q1049,IF($J$1="March",Q1050,IF($J$1="April",Q1051,IF($J$1="May",Q1052,IF($J$1="June",Q1053,IF($J$1="July",Q1054,IF($J$1="August",Q1055,IF($J$1="August",Q1055,IF($J$1="September",Q1056,IF($J$1="October",Q1057,IF($J$1="November",Q1058,IF($J$1="December",Q1059)))))))))))))</f>
        <v>0</v>
      </c>
      <c r="D1055" s="57"/>
      <c r="E1055" s="57"/>
      <c r="F1055" s="75" t="s">
        <v>30</v>
      </c>
      <c r="G1055" s="70">
        <f>IF($J$1="January",X1048,IF($J$1="February",X1049,IF($J$1="March",X1050,IF($J$1="April",X1051,IF($J$1="May",X1052,IF($J$1="June",X1053,IF($J$1="July",X1054,IF($J$1="August",X1055,IF($J$1="August",X1055,IF($J$1="September",X1056,IF($J$1="October",X1057,IF($J$1="November",X1058,IF($J$1="December",X1059)))))))))))))</f>
        <v>0</v>
      </c>
      <c r="H1055" s="74"/>
      <c r="I1055" s="293" t="s">
        <v>86</v>
      </c>
      <c r="J1055" s="294"/>
      <c r="K1055" s="70">
        <f>G1055</f>
        <v>0</v>
      </c>
      <c r="L1055" s="82"/>
      <c r="M1055" s="57"/>
      <c r="N1055" s="100"/>
      <c r="O1055" s="101" t="s">
        <v>67</v>
      </c>
      <c r="P1055" s="101"/>
      <c r="Q1055" s="101"/>
      <c r="R1055" s="101" t="str">
        <f t="shared" si="191"/>
        <v/>
      </c>
      <c r="S1055" s="105"/>
      <c r="T1055" s="101" t="s">
        <v>67</v>
      </c>
      <c r="U1055" s="177" t="str">
        <f>IF($J$1="August",Y1054,"")</f>
        <v/>
      </c>
      <c r="V1055" s="103"/>
      <c r="W1055" s="177" t="str">
        <f t="shared" si="192"/>
        <v/>
      </c>
      <c r="X1055" s="103"/>
      <c r="Y1055" s="177" t="str">
        <f t="shared" si="193"/>
        <v/>
      </c>
      <c r="Z1055" s="106"/>
      <c r="AA1055" s="57"/>
    </row>
    <row r="1056" spans="1:27" s="55" customFormat="1" ht="21" customHeight="1" x14ac:dyDescent="0.25">
      <c r="A1056" s="56"/>
      <c r="B1056" s="83" t="s">
        <v>84</v>
      </c>
      <c r="C1056" s="66" t="str">
        <f>IF($J$1="January",R1048,IF($J$1="February",R1049,IF($J$1="March",R1050,IF($J$1="April",R1051,IF($J$1="May",R1052,IF($J$1="June",R1053,IF($J$1="July",R1054,IF($J$1="August",R1055,IF($J$1="August",R1055,IF($J$1="September",R1056,IF($J$1="October",R1057,IF($J$1="November",R1058,IF($J$1="December",R1059)))))))))))))</f>
        <v/>
      </c>
      <c r="D1056" s="57"/>
      <c r="E1056" s="57"/>
      <c r="F1056" s="75" t="s">
        <v>83</v>
      </c>
      <c r="G1056" s="70">
        <f>IF($J$1="January",Y1048,IF($J$1="February",Y1049,IF($J$1="March",Y1050,IF($J$1="April",Y1051,IF($J$1="May",Y1052,IF($J$1="June",Y1053,IF($J$1="July",Y1054,IF($J$1="August",Y1055,IF($J$1="August",Y1055,IF($J$1="September",Y1056,IF($J$1="October",Y1057,IF($J$1="November",Y1058,IF($J$1="December",Y1059)))))))))))))</f>
        <v>0</v>
      </c>
      <c r="H1056" s="57"/>
      <c r="I1056" s="295" t="s">
        <v>79</v>
      </c>
      <c r="J1056" s="296"/>
      <c r="K1056" s="84">
        <f>K1054-K1055</f>
        <v>0</v>
      </c>
      <c r="L1056" s="85"/>
      <c r="M1056" s="57"/>
      <c r="N1056" s="100"/>
      <c r="O1056" s="101" t="s">
        <v>72</v>
      </c>
      <c r="P1056" s="101"/>
      <c r="Q1056" s="101"/>
      <c r="R1056" s="101" t="str">
        <f t="shared" si="191"/>
        <v/>
      </c>
      <c r="S1056" s="105"/>
      <c r="T1056" s="101" t="s">
        <v>72</v>
      </c>
      <c r="U1056" s="177" t="str">
        <f>IF($J$1="Sept",Y1055,"")</f>
        <v/>
      </c>
      <c r="V1056" s="103"/>
      <c r="W1056" s="177" t="str">
        <f t="shared" si="192"/>
        <v/>
      </c>
      <c r="X1056" s="103"/>
      <c r="Y1056" s="177" t="str">
        <f t="shared" si="193"/>
        <v/>
      </c>
      <c r="Z1056" s="106"/>
      <c r="AA1056" s="57"/>
    </row>
    <row r="1057" spans="1:27" s="55" customFormat="1" ht="21" customHeight="1" x14ac:dyDescent="0.25">
      <c r="A1057" s="56"/>
      <c r="B1057" s="57"/>
      <c r="C1057" s="57"/>
      <c r="D1057" s="57"/>
      <c r="E1057" s="57"/>
      <c r="F1057" s="57"/>
      <c r="G1057" s="57"/>
      <c r="H1057" s="57"/>
      <c r="I1057" s="57"/>
      <c r="J1057" s="57"/>
      <c r="K1057" s="57"/>
      <c r="L1057" s="73"/>
      <c r="M1057" s="57"/>
      <c r="N1057" s="100"/>
      <c r="O1057" s="101" t="s">
        <v>68</v>
      </c>
      <c r="P1057" s="101"/>
      <c r="Q1057" s="101"/>
      <c r="R1057" s="101" t="str">
        <f t="shared" si="191"/>
        <v/>
      </c>
      <c r="S1057" s="105"/>
      <c r="T1057" s="101" t="s">
        <v>68</v>
      </c>
      <c r="U1057" s="177" t="str">
        <f>IF($J$1="October",Y1056,"")</f>
        <v/>
      </c>
      <c r="V1057" s="103"/>
      <c r="W1057" s="177" t="str">
        <f t="shared" si="192"/>
        <v/>
      </c>
      <c r="X1057" s="103"/>
      <c r="Y1057" s="177" t="str">
        <f t="shared" si="193"/>
        <v/>
      </c>
      <c r="Z1057" s="106"/>
      <c r="AA1057" s="57"/>
    </row>
    <row r="1058" spans="1:27" s="55" customFormat="1" ht="21" customHeight="1" x14ac:dyDescent="0.25">
      <c r="A1058" s="56"/>
      <c r="B1058" s="284" t="s">
        <v>116</v>
      </c>
      <c r="C1058" s="284"/>
      <c r="D1058" s="284"/>
      <c r="E1058" s="284"/>
      <c r="F1058" s="284"/>
      <c r="G1058" s="284"/>
      <c r="H1058" s="284"/>
      <c r="I1058" s="284"/>
      <c r="J1058" s="284"/>
      <c r="K1058" s="284"/>
      <c r="L1058" s="73"/>
      <c r="M1058" s="57"/>
      <c r="N1058" s="100"/>
      <c r="O1058" s="101" t="s">
        <v>73</v>
      </c>
      <c r="P1058" s="101"/>
      <c r="Q1058" s="101"/>
      <c r="R1058" s="101" t="str">
        <f t="shared" si="191"/>
        <v/>
      </c>
      <c r="S1058" s="105"/>
      <c r="T1058" s="101" t="s">
        <v>73</v>
      </c>
      <c r="U1058" s="177" t="str">
        <f>IF($J$1="November",Y1057,"")</f>
        <v/>
      </c>
      <c r="V1058" s="103"/>
      <c r="W1058" s="177" t="str">
        <f t="shared" si="192"/>
        <v/>
      </c>
      <c r="X1058" s="103"/>
      <c r="Y1058" s="177" t="str">
        <f t="shared" si="193"/>
        <v/>
      </c>
      <c r="Z1058" s="106"/>
      <c r="AA1058" s="57"/>
    </row>
    <row r="1059" spans="1:27" s="55" customFormat="1" ht="21" customHeight="1" x14ac:dyDescent="0.25">
      <c r="A1059" s="56"/>
      <c r="B1059" s="284"/>
      <c r="C1059" s="284"/>
      <c r="D1059" s="284"/>
      <c r="E1059" s="284"/>
      <c r="F1059" s="284"/>
      <c r="G1059" s="284"/>
      <c r="H1059" s="284"/>
      <c r="I1059" s="284"/>
      <c r="J1059" s="284"/>
      <c r="K1059" s="284"/>
      <c r="L1059" s="73"/>
      <c r="M1059" s="57"/>
      <c r="N1059" s="100"/>
      <c r="O1059" s="101" t="s">
        <v>74</v>
      </c>
      <c r="P1059" s="101"/>
      <c r="Q1059" s="101"/>
      <c r="R1059" s="101" t="str">
        <f t="shared" si="191"/>
        <v/>
      </c>
      <c r="S1059" s="105"/>
      <c r="T1059" s="101" t="s">
        <v>74</v>
      </c>
      <c r="U1059" s="177" t="str">
        <f>IF($J$1="Dec",Y1058,"")</f>
        <v/>
      </c>
      <c r="V1059" s="103"/>
      <c r="W1059" s="177" t="str">
        <f t="shared" si="192"/>
        <v/>
      </c>
      <c r="X1059" s="103"/>
      <c r="Y1059" s="177" t="str">
        <f t="shared" si="193"/>
        <v/>
      </c>
      <c r="Z1059" s="106"/>
      <c r="AA1059" s="57"/>
    </row>
    <row r="1060" spans="1:27" s="55" customFormat="1" ht="21" customHeight="1" thickBot="1" x14ac:dyDescent="0.3">
      <c r="A1060" s="86"/>
      <c r="B1060" s="87"/>
      <c r="C1060" s="87"/>
      <c r="D1060" s="87"/>
      <c r="E1060" s="87"/>
      <c r="F1060" s="87"/>
      <c r="G1060" s="87"/>
      <c r="H1060" s="87"/>
      <c r="I1060" s="87"/>
      <c r="J1060" s="87"/>
      <c r="K1060" s="87"/>
      <c r="L1060" s="88"/>
      <c r="N1060" s="107"/>
      <c r="O1060" s="108"/>
      <c r="P1060" s="108"/>
      <c r="Q1060" s="108"/>
      <c r="R1060" s="108"/>
      <c r="S1060" s="108"/>
      <c r="T1060" s="108"/>
      <c r="U1060" s="108"/>
      <c r="V1060" s="108"/>
      <c r="W1060" s="108"/>
      <c r="X1060" s="108"/>
      <c r="Y1060" s="108"/>
      <c r="Z1060" s="109"/>
    </row>
    <row r="1061" spans="1:27" s="57" customFormat="1" ht="21" customHeight="1" thickBot="1" x14ac:dyDescent="0.3">
      <c r="N1061" s="105"/>
      <c r="O1061" s="105"/>
      <c r="P1061" s="105"/>
      <c r="Q1061" s="105"/>
      <c r="R1061" s="105"/>
      <c r="S1061" s="105"/>
      <c r="T1061" s="105"/>
      <c r="U1061" s="105"/>
      <c r="V1061" s="105"/>
      <c r="W1061" s="105"/>
      <c r="X1061" s="105"/>
      <c r="Y1061" s="105"/>
      <c r="Z1061" s="105"/>
    </row>
    <row r="1062" spans="1:27" s="55" customFormat="1" ht="21" customHeight="1" x14ac:dyDescent="0.25">
      <c r="A1062" s="311" t="s">
        <v>56</v>
      </c>
      <c r="B1062" s="312"/>
      <c r="C1062" s="312"/>
      <c r="D1062" s="312"/>
      <c r="E1062" s="312"/>
      <c r="F1062" s="312"/>
      <c r="G1062" s="312"/>
      <c r="H1062" s="312"/>
      <c r="I1062" s="312"/>
      <c r="J1062" s="312"/>
      <c r="K1062" s="312"/>
      <c r="L1062" s="313"/>
      <c r="M1062" s="54"/>
      <c r="N1062" s="93"/>
      <c r="O1062" s="285" t="s">
        <v>58</v>
      </c>
      <c r="P1062" s="286"/>
      <c r="Q1062" s="286"/>
      <c r="R1062" s="287"/>
      <c r="S1062" s="94"/>
      <c r="T1062" s="285" t="s">
        <v>59</v>
      </c>
      <c r="U1062" s="286"/>
      <c r="V1062" s="286"/>
      <c r="W1062" s="286"/>
      <c r="X1062" s="286"/>
      <c r="Y1062" s="287"/>
      <c r="Z1062" s="95"/>
      <c r="AA1062" s="54"/>
    </row>
    <row r="1063" spans="1:27" s="55" customFormat="1" ht="21" customHeight="1" x14ac:dyDescent="0.25">
      <c r="A1063" s="56"/>
      <c r="B1063" s="57"/>
      <c r="C1063" s="288" t="s">
        <v>114</v>
      </c>
      <c r="D1063" s="288"/>
      <c r="E1063" s="288"/>
      <c r="F1063" s="288"/>
      <c r="G1063" s="58" t="str">
        <f>$J$1</f>
        <v>June</v>
      </c>
      <c r="H1063" s="289">
        <f>$K$1</f>
        <v>2019</v>
      </c>
      <c r="I1063" s="289"/>
      <c r="J1063" s="57"/>
      <c r="K1063" s="59"/>
      <c r="L1063" s="60"/>
      <c r="M1063" s="59"/>
      <c r="N1063" s="96"/>
      <c r="O1063" s="97" t="s">
        <v>69</v>
      </c>
      <c r="P1063" s="97" t="s">
        <v>7</v>
      </c>
      <c r="Q1063" s="97" t="s">
        <v>6</v>
      </c>
      <c r="R1063" s="97" t="s">
        <v>70</v>
      </c>
      <c r="S1063" s="98"/>
      <c r="T1063" s="97" t="s">
        <v>69</v>
      </c>
      <c r="U1063" s="97" t="s">
        <v>71</v>
      </c>
      <c r="V1063" s="97" t="s">
        <v>29</v>
      </c>
      <c r="W1063" s="97" t="s">
        <v>28</v>
      </c>
      <c r="X1063" s="97" t="s">
        <v>30</v>
      </c>
      <c r="Y1063" s="97" t="s">
        <v>75</v>
      </c>
      <c r="Z1063" s="99"/>
      <c r="AA1063" s="59"/>
    </row>
    <row r="1064" spans="1:27" s="55" customFormat="1" ht="21" customHeight="1" x14ac:dyDescent="0.25">
      <c r="A1064" s="56"/>
      <c r="B1064" s="57"/>
      <c r="C1064" s="57"/>
      <c r="D1064" s="62"/>
      <c r="E1064" s="62"/>
      <c r="F1064" s="62"/>
      <c r="G1064" s="62"/>
      <c r="H1064" s="62"/>
      <c r="I1064" s="57"/>
      <c r="J1064" s="63" t="s">
        <v>1</v>
      </c>
      <c r="K1064" s="64">
        <v>800</v>
      </c>
      <c r="L1064" s="65"/>
      <c r="M1064" s="57"/>
      <c r="N1064" s="100"/>
      <c r="O1064" s="101" t="s">
        <v>61</v>
      </c>
      <c r="P1064" s="101"/>
      <c r="Q1064" s="101"/>
      <c r="R1064" s="101">
        <v>0</v>
      </c>
      <c r="S1064" s="102"/>
      <c r="T1064" s="101" t="s">
        <v>61</v>
      </c>
      <c r="U1064" s="103"/>
      <c r="V1064" s="103"/>
      <c r="W1064" s="103">
        <f>V1064+U1064</f>
        <v>0</v>
      </c>
      <c r="X1064" s="103"/>
      <c r="Y1064" s="103">
        <f>W1064-X1064</f>
        <v>0</v>
      </c>
      <c r="Z1064" s="99"/>
      <c r="AA1064" s="57"/>
    </row>
    <row r="1065" spans="1:27" s="55" customFormat="1" ht="21" customHeight="1" x14ac:dyDescent="0.25">
      <c r="A1065" s="56"/>
      <c r="B1065" s="57" t="s">
        <v>0</v>
      </c>
      <c r="C1065" s="67"/>
      <c r="D1065" s="57"/>
      <c r="E1065" s="57"/>
      <c r="F1065" s="57"/>
      <c r="G1065" s="57"/>
      <c r="H1065" s="68"/>
      <c r="I1065" s="62"/>
      <c r="J1065" s="57"/>
      <c r="K1065" s="57"/>
      <c r="L1065" s="69"/>
      <c r="M1065" s="54"/>
      <c r="N1065" s="104"/>
      <c r="O1065" s="101" t="s">
        <v>87</v>
      </c>
      <c r="P1065" s="101"/>
      <c r="Q1065" s="101"/>
      <c r="R1065" s="101" t="str">
        <f>IF(Q1065="","",R1064-Q1065)</f>
        <v/>
      </c>
      <c r="S1065" s="105"/>
      <c r="T1065" s="101" t="s">
        <v>87</v>
      </c>
      <c r="U1065" s="177"/>
      <c r="V1065" s="103"/>
      <c r="W1065" s="177" t="str">
        <f>IF(U1065="","",U1065+V1065)</f>
        <v/>
      </c>
      <c r="X1065" s="103"/>
      <c r="Y1065" s="177" t="str">
        <f>IF(W1065="","",W1065-X1065)</f>
        <v/>
      </c>
      <c r="Z1065" s="106"/>
      <c r="AA1065" s="54"/>
    </row>
    <row r="1066" spans="1:27" s="55" customFormat="1" ht="21" customHeight="1" x14ac:dyDescent="0.25">
      <c r="A1066" s="56"/>
      <c r="B1066" s="71" t="s">
        <v>57</v>
      </c>
      <c r="C1066" s="72"/>
      <c r="D1066" s="57"/>
      <c r="E1066" s="57"/>
      <c r="F1066" s="290" t="s">
        <v>59</v>
      </c>
      <c r="G1066" s="290"/>
      <c r="H1066" s="57"/>
      <c r="I1066" s="290" t="s">
        <v>60</v>
      </c>
      <c r="J1066" s="290"/>
      <c r="K1066" s="290"/>
      <c r="L1066" s="73"/>
      <c r="M1066" s="57"/>
      <c r="N1066" s="100"/>
      <c r="O1066" s="101" t="s">
        <v>62</v>
      </c>
      <c r="P1066" s="101"/>
      <c r="Q1066" s="101"/>
      <c r="R1066" s="101" t="str">
        <f t="shared" ref="R1066:R1075" si="194">IF(Q1066="","",R1065-Q1066)</f>
        <v/>
      </c>
      <c r="S1066" s="105"/>
      <c r="T1066" s="101" t="s">
        <v>62</v>
      </c>
      <c r="U1066" s="177"/>
      <c r="V1066" s="103"/>
      <c r="W1066" s="177" t="str">
        <f t="shared" ref="W1066:W1075" si="195">IF(U1066="","",U1066+V1066)</f>
        <v/>
      </c>
      <c r="X1066" s="103"/>
      <c r="Y1066" s="177" t="str">
        <f t="shared" ref="Y1066:Y1075" si="196">IF(W1066="","",W1066-X1066)</f>
        <v/>
      </c>
      <c r="Z1066" s="106"/>
      <c r="AA1066" s="57"/>
    </row>
    <row r="1067" spans="1:27" s="55" customFormat="1" ht="21" customHeight="1" x14ac:dyDescent="0.25">
      <c r="A1067" s="56"/>
      <c r="B1067" s="57"/>
      <c r="C1067" s="57"/>
      <c r="D1067" s="57"/>
      <c r="E1067" s="57"/>
      <c r="F1067" s="57"/>
      <c r="G1067" s="57"/>
      <c r="H1067" s="74"/>
      <c r="L1067" s="61"/>
      <c r="M1067" s="57"/>
      <c r="N1067" s="100"/>
      <c r="O1067" s="101" t="s">
        <v>63</v>
      </c>
      <c r="P1067" s="101"/>
      <c r="Q1067" s="101"/>
      <c r="R1067" s="101" t="str">
        <f t="shared" si="194"/>
        <v/>
      </c>
      <c r="S1067" s="105"/>
      <c r="T1067" s="101" t="s">
        <v>63</v>
      </c>
      <c r="U1067" s="177"/>
      <c r="V1067" s="103"/>
      <c r="W1067" s="177" t="str">
        <f t="shared" si="195"/>
        <v/>
      </c>
      <c r="X1067" s="103"/>
      <c r="Y1067" s="177" t="str">
        <f t="shared" si="196"/>
        <v/>
      </c>
      <c r="Z1067" s="106"/>
      <c r="AA1067" s="57"/>
    </row>
    <row r="1068" spans="1:27" s="55" customFormat="1" ht="21" customHeight="1" x14ac:dyDescent="0.25">
      <c r="A1068" s="56"/>
      <c r="B1068" s="291" t="s">
        <v>58</v>
      </c>
      <c r="C1068" s="292"/>
      <c r="D1068" s="57"/>
      <c r="E1068" s="57"/>
      <c r="F1068" s="75" t="s">
        <v>80</v>
      </c>
      <c r="G1068" s="70">
        <f>IF($J$1="January",U1064,IF($J$1="February",U1065,IF($J$1="March",U1066,IF($J$1="April",U1067,IF($J$1="May",U1068,IF($J$1="June",U1069,IF($J$1="July",U1070,IF($J$1="August",U1071,IF($J$1="August",U1071,IF($J$1="September",U1072,IF($J$1="October",U1073,IF($J$1="November",U1074,IF($J$1="December",U1075)))))))))))))</f>
        <v>0</v>
      </c>
      <c r="H1068" s="74"/>
      <c r="I1068" s="76">
        <v>31</v>
      </c>
      <c r="J1068" s="77" t="s">
        <v>77</v>
      </c>
      <c r="K1068" s="78">
        <f>K1064*I1068</f>
        <v>24800</v>
      </c>
      <c r="L1068" s="79"/>
      <c r="M1068" s="57"/>
      <c r="N1068" s="100"/>
      <c r="O1068" s="101" t="s">
        <v>64</v>
      </c>
      <c r="P1068" s="101"/>
      <c r="Q1068" s="101"/>
      <c r="R1068" s="101" t="str">
        <f t="shared" si="194"/>
        <v/>
      </c>
      <c r="S1068" s="105"/>
      <c r="T1068" s="101" t="s">
        <v>64</v>
      </c>
      <c r="U1068" s="177"/>
      <c r="V1068" s="103"/>
      <c r="W1068" s="177" t="str">
        <f t="shared" si="195"/>
        <v/>
      </c>
      <c r="X1068" s="103"/>
      <c r="Y1068" s="177" t="str">
        <f t="shared" si="196"/>
        <v/>
      </c>
      <c r="Z1068" s="106"/>
      <c r="AA1068" s="57"/>
    </row>
    <row r="1069" spans="1:27" s="55" customFormat="1" ht="21" customHeight="1" x14ac:dyDescent="0.25">
      <c r="A1069" s="56"/>
      <c r="B1069" s="66"/>
      <c r="C1069" s="66"/>
      <c r="D1069" s="57"/>
      <c r="E1069" s="57"/>
      <c r="F1069" s="75" t="s">
        <v>29</v>
      </c>
      <c r="G1069" s="70">
        <f>IF($J$1="January",V1064,IF($J$1="February",V1065,IF($J$1="March",V1066,IF($J$1="April",V1067,IF($J$1="May",V1068,IF($J$1="June",V1069,IF($J$1="July",V1070,IF($J$1="August",V1071,IF($J$1="August",V1071,IF($J$1="September",V1072,IF($J$1="October",V1073,IF($J$1="November",V1074,IF($J$1="December",V1075)))))))))))))</f>
        <v>0</v>
      </c>
      <c r="H1069" s="74"/>
      <c r="I1069" s="76"/>
      <c r="J1069" s="77" t="s">
        <v>78</v>
      </c>
      <c r="K1069" s="80">
        <f>K1064/8*I1069</f>
        <v>0</v>
      </c>
      <c r="L1069" s="81"/>
      <c r="M1069" s="57"/>
      <c r="N1069" s="100"/>
      <c r="O1069" s="101" t="s">
        <v>65</v>
      </c>
      <c r="P1069" s="101"/>
      <c r="Q1069" s="101"/>
      <c r="R1069" s="101" t="str">
        <f t="shared" si="194"/>
        <v/>
      </c>
      <c r="S1069" s="105"/>
      <c r="T1069" s="101" t="s">
        <v>65</v>
      </c>
      <c r="U1069" s="177"/>
      <c r="V1069" s="103"/>
      <c r="W1069" s="177" t="str">
        <f t="shared" si="195"/>
        <v/>
      </c>
      <c r="X1069" s="103"/>
      <c r="Y1069" s="177" t="str">
        <f t="shared" si="196"/>
        <v/>
      </c>
      <c r="Z1069" s="106"/>
      <c r="AA1069" s="57"/>
    </row>
    <row r="1070" spans="1:27" s="55" customFormat="1" ht="21" customHeight="1" x14ac:dyDescent="0.25">
      <c r="A1070" s="56"/>
      <c r="B1070" s="75" t="s">
        <v>7</v>
      </c>
      <c r="C1070" s="66">
        <f>IF($J$1="January",P1064,IF($J$1="February",P1065,IF($J$1="March",P1066,IF($J$1="April",P1067,IF($J$1="May",P1068,IF($J$1="June",P1069,IF($J$1="July",P1070,IF($J$1="August",P1071,IF($J$1="August",P1071,IF($J$1="September",P1072,IF($J$1="October",P1073,IF($J$1="November",P1074,IF($J$1="December",P1075)))))))))))))</f>
        <v>0</v>
      </c>
      <c r="D1070" s="57"/>
      <c r="E1070" s="57"/>
      <c r="F1070" s="75" t="s">
        <v>81</v>
      </c>
      <c r="G1070" s="70" t="str">
        <f>IF($J$1="January",W1064,IF($J$1="February",W1065,IF($J$1="March",W1066,IF($J$1="April",W1067,IF($J$1="May",W1068,IF($J$1="June",W1069,IF($J$1="July",W1070,IF($J$1="August",W1071,IF($J$1="August",W1071,IF($J$1="September",W1072,IF($J$1="October",W1073,IF($J$1="November",W1074,IF($J$1="December",W1075)))))))))))))</f>
        <v/>
      </c>
      <c r="H1070" s="74"/>
      <c r="I1070" s="293" t="s">
        <v>85</v>
      </c>
      <c r="J1070" s="294"/>
      <c r="K1070" s="80">
        <f>K1068+K1069</f>
        <v>24800</v>
      </c>
      <c r="L1070" s="81"/>
      <c r="M1070" s="57"/>
      <c r="N1070" s="100"/>
      <c r="O1070" s="101" t="s">
        <v>66</v>
      </c>
      <c r="P1070" s="101"/>
      <c r="Q1070" s="101"/>
      <c r="R1070" s="101" t="str">
        <f t="shared" si="194"/>
        <v/>
      </c>
      <c r="S1070" s="105"/>
      <c r="T1070" s="101" t="s">
        <v>66</v>
      </c>
      <c r="U1070" s="177"/>
      <c r="V1070" s="103"/>
      <c r="W1070" s="177" t="str">
        <f t="shared" si="195"/>
        <v/>
      </c>
      <c r="X1070" s="103"/>
      <c r="Y1070" s="177" t="str">
        <f t="shared" si="196"/>
        <v/>
      </c>
      <c r="Z1070" s="106"/>
      <c r="AA1070" s="57"/>
    </row>
    <row r="1071" spans="1:27" s="55" customFormat="1" ht="21" customHeight="1" x14ac:dyDescent="0.25">
      <c r="A1071" s="56"/>
      <c r="B1071" s="75" t="s">
        <v>6</v>
      </c>
      <c r="C1071" s="66">
        <f>IF($J$1="January",Q1064,IF($J$1="February",Q1065,IF($J$1="March",Q1066,IF($J$1="April",Q1067,IF($J$1="May",Q1068,IF($J$1="June",Q1069,IF($J$1="July",Q1070,IF($J$1="August",Q1071,IF($J$1="August",Q1071,IF($J$1="September",Q1072,IF($J$1="October",Q1073,IF($J$1="November",Q1074,IF($J$1="December",Q1075)))))))))))))</f>
        <v>0</v>
      </c>
      <c r="D1071" s="57"/>
      <c r="E1071" s="57"/>
      <c r="F1071" s="75" t="s">
        <v>30</v>
      </c>
      <c r="G1071" s="70">
        <f>IF($J$1="January",X1064,IF($J$1="February",X1065,IF($J$1="March",X1066,IF($J$1="April",X1067,IF($J$1="May",X1068,IF($J$1="June",X1069,IF($J$1="July",X1070,IF($J$1="August",X1071,IF($J$1="August",X1071,IF($J$1="September",X1072,IF($J$1="October",X1073,IF($J$1="November",X1074,IF($J$1="December",X1075)))))))))))))</f>
        <v>0</v>
      </c>
      <c r="H1071" s="74"/>
      <c r="I1071" s="293" t="s">
        <v>86</v>
      </c>
      <c r="J1071" s="294"/>
      <c r="K1071" s="70">
        <f>G1071</f>
        <v>0</v>
      </c>
      <c r="L1071" s="82"/>
      <c r="M1071" s="57"/>
      <c r="N1071" s="100"/>
      <c r="O1071" s="101" t="s">
        <v>67</v>
      </c>
      <c r="P1071" s="101"/>
      <c r="Q1071" s="101"/>
      <c r="R1071" s="101" t="str">
        <f t="shared" si="194"/>
        <v/>
      </c>
      <c r="S1071" s="105"/>
      <c r="T1071" s="101" t="s">
        <v>67</v>
      </c>
      <c r="U1071" s="177"/>
      <c r="V1071" s="103"/>
      <c r="W1071" s="177" t="str">
        <f t="shared" si="195"/>
        <v/>
      </c>
      <c r="X1071" s="103"/>
      <c r="Y1071" s="177" t="str">
        <f t="shared" si="196"/>
        <v/>
      </c>
      <c r="Z1071" s="106"/>
      <c r="AA1071" s="57"/>
    </row>
    <row r="1072" spans="1:27" s="55" customFormat="1" ht="21" customHeight="1" x14ac:dyDescent="0.25">
      <c r="A1072" s="56"/>
      <c r="B1072" s="83" t="s">
        <v>84</v>
      </c>
      <c r="C1072" s="66" t="str">
        <f>IF($J$1="January",R1064,IF($J$1="February",R1065,IF($J$1="March",R1066,IF($J$1="April",R1067,IF($J$1="May",R1068,IF($J$1="June",R1069,IF($J$1="July",R1070,IF($J$1="August",R1071,IF($J$1="August",R1071,IF($J$1="September",R1072,IF($J$1="October",R1073,IF($J$1="November",R1074,IF($J$1="December",R1075)))))))))))))</f>
        <v/>
      </c>
      <c r="D1072" s="57"/>
      <c r="E1072" s="57"/>
      <c r="F1072" s="75" t="s">
        <v>83</v>
      </c>
      <c r="G1072" s="70" t="str">
        <f>IF($J$1="January",Y1064,IF($J$1="February",Y1065,IF($J$1="March",Y1066,IF($J$1="April",Y1067,IF($J$1="May",Y1068,IF($J$1="June",Y1069,IF($J$1="July",Y1070,IF($J$1="August",Y1071,IF($J$1="August",Y1071,IF($J$1="September",Y1072,IF($J$1="October",Y1073,IF($J$1="November",Y1074,IF($J$1="December",Y1075)))))))))))))</f>
        <v/>
      </c>
      <c r="H1072" s="57"/>
      <c r="I1072" s="295" t="s">
        <v>79</v>
      </c>
      <c r="J1072" s="296"/>
      <c r="K1072" s="84"/>
      <c r="L1072" s="85"/>
      <c r="M1072" s="57"/>
      <c r="N1072" s="100"/>
      <c r="O1072" s="101" t="s">
        <v>72</v>
      </c>
      <c r="P1072" s="101"/>
      <c r="Q1072" s="101"/>
      <c r="R1072" s="101" t="str">
        <f t="shared" si="194"/>
        <v/>
      </c>
      <c r="S1072" s="105"/>
      <c r="T1072" s="101" t="s">
        <v>72</v>
      </c>
      <c r="U1072" s="177"/>
      <c r="V1072" s="103"/>
      <c r="W1072" s="177" t="str">
        <f t="shared" si="195"/>
        <v/>
      </c>
      <c r="X1072" s="103"/>
      <c r="Y1072" s="177" t="str">
        <f t="shared" si="196"/>
        <v/>
      </c>
      <c r="Z1072" s="106"/>
      <c r="AA1072" s="57"/>
    </row>
    <row r="1073" spans="1:27" s="55" customFormat="1" ht="21" customHeight="1" x14ac:dyDescent="0.25">
      <c r="A1073" s="56"/>
      <c r="B1073" s="57"/>
      <c r="C1073" s="57"/>
      <c r="D1073" s="57"/>
      <c r="E1073" s="57"/>
      <c r="F1073" s="57"/>
      <c r="G1073" s="57"/>
      <c r="H1073" s="57"/>
      <c r="I1073" s="57"/>
      <c r="J1073" s="57"/>
      <c r="K1073" s="57"/>
      <c r="L1073" s="73"/>
      <c r="M1073" s="57"/>
      <c r="N1073" s="100"/>
      <c r="O1073" s="101" t="s">
        <v>68</v>
      </c>
      <c r="P1073" s="101"/>
      <c r="Q1073" s="101"/>
      <c r="R1073" s="101" t="str">
        <f t="shared" si="194"/>
        <v/>
      </c>
      <c r="S1073" s="105"/>
      <c r="T1073" s="101" t="s">
        <v>68</v>
      </c>
      <c r="U1073" s="177"/>
      <c r="V1073" s="103"/>
      <c r="W1073" s="177" t="str">
        <f t="shared" si="195"/>
        <v/>
      </c>
      <c r="X1073" s="103"/>
      <c r="Y1073" s="177" t="str">
        <f t="shared" si="196"/>
        <v/>
      </c>
      <c r="Z1073" s="106"/>
      <c r="AA1073" s="57"/>
    </row>
    <row r="1074" spans="1:27" s="55" customFormat="1" ht="21" customHeight="1" x14ac:dyDescent="0.25">
      <c r="A1074" s="56"/>
      <c r="B1074" s="284" t="s">
        <v>116</v>
      </c>
      <c r="C1074" s="284"/>
      <c r="D1074" s="284"/>
      <c r="E1074" s="284"/>
      <c r="F1074" s="284"/>
      <c r="G1074" s="284"/>
      <c r="H1074" s="284"/>
      <c r="I1074" s="284"/>
      <c r="J1074" s="284"/>
      <c r="K1074" s="284"/>
      <c r="L1074" s="73"/>
      <c r="M1074" s="57"/>
      <c r="N1074" s="100"/>
      <c r="O1074" s="101" t="s">
        <v>73</v>
      </c>
      <c r="P1074" s="101"/>
      <c r="Q1074" s="101"/>
      <c r="R1074" s="101" t="str">
        <f t="shared" si="194"/>
        <v/>
      </c>
      <c r="S1074" s="105"/>
      <c r="T1074" s="101" t="s">
        <v>73</v>
      </c>
      <c r="U1074" s="177"/>
      <c r="V1074" s="103"/>
      <c r="W1074" s="177" t="str">
        <f t="shared" si="195"/>
        <v/>
      </c>
      <c r="X1074" s="103"/>
      <c r="Y1074" s="177" t="str">
        <f t="shared" si="196"/>
        <v/>
      </c>
      <c r="Z1074" s="106"/>
      <c r="AA1074" s="57"/>
    </row>
    <row r="1075" spans="1:27" s="55" customFormat="1" ht="21" customHeight="1" x14ac:dyDescent="0.25">
      <c r="A1075" s="56"/>
      <c r="B1075" s="284"/>
      <c r="C1075" s="284"/>
      <c r="D1075" s="284"/>
      <c r="E1075" s="284"/>
      <c r="F1075" s="284"/>
      <c r="G1075" s="284"/>
      <c r="H1075" s="284"/>
      <c r="I1075" s="284"/>
      <c r="J1075" s="284"/>
      <c r="K1075" s="284"/>
      <c r="L1075" s="73"/>
      <c r="M1075" s="57"/>
      <c r="N1075" s="100"/>
      <c r="O1075" s="101" t="s">
        <v>74</v>
      </c>
      <c r="P1075" s="101"/>
      <c r="Q1075" s="101"/>
      <c r="R1075" s="101" t="str">
        <f t="shared" si="194"/>
        <v/>
      </c>
      <c r="S1075" s="105"/>
      <c r="T1075" s="101" t="s">
        <v>74</v>
      </c>
      <c r="U1075" s="177"/>
      <c r="V1075" s="103"/>
      <c r="W1075" s="177" t="str">
        <f t="shared" si="195"/>
        <v/>
      </c>
      <c r="X1075" s="103"/>
      <c r="Y1075" s="177" t="str">
        <f t="shared" si="196"/>
        <v/>
      </c>
      <c r="Z1075" s="106"/>
      <c r="AA1075" s="57"/>
    </row>
    <row r="1076" spans="1:27" s="55" customFormat="1" ht="21" customHeight="1" thickBot="1" x14ac:dyDescent="0.3">
      <c r="A1076" s="86"/>
      <c r="B1076" s="87"/>
      <c r="C1076" s="87"/>
      <c r="D1076" s="87"/>
      <c r="E1076" s="87"/>
      <c r="F1076" s="87"/>
      <c r="G1076" s="87"/>
      <c r="H1076" s="87"/>
      <c r="I1076" s="87"/>
      <c r="J1076" s="87"/>
      <c r="K1076" s="87"/>
      <c r="L1076" s="88"/>
      <c r="N1076" s="107"/>
      <c r="O1076" s="108"/>
      <c r="P1076" s="108"/>
      <c r="Q1076" s="108"/>
      <c r="R1076" s="108"/>
      <c r="S1076" s="108"/>
      <c r="T1076" s="108"/>
      <c r="U1076" s="108"/>
      <c r="V1076" s="108"/>
      <c r="W1076" s="108"/>
      <c r="X1076" s="108"/>
      <c r="Y1076" s="108"/>
      <c r="Z1076" s="109"/>
    </row>
    <row r="1077" spans="1:27" s="55" customFormat="1" ht="21" customHeight="1" thickBot="1" x14ac:dyDescent="0.3">
      <c r="N1077" s="92"/>
      <c r="O1077" s="92"/>
      <c r="P1077" s="92"/>
      <c r="Q1077" s="92"/>
      <c r="R1077" s="92"/>
      <c r="S1077" s="92"/>
      <c r="T1077" s="92"/>
      <c r="U1077" s="92"/>
      <c r="V1077" s="92"/>
      <c r="W1077" s="92"/>
      <c r="X1077" s="92"/>
      <c r="Y1077" s="92"/>
      <c r="Z1077" s="92"/>
    </row>
    <row r="1078" spans="1:27" s="55" customFormat="1" ht="21" customHeight="1" x14ac:dyDescent="0.25">
      <c r="A1078" s="297" t="s">
        <v>56</v>
      </c>
      <c r="B1078" s="298"/>
      <c r="C1078" s="298"/>
      <c r="D1078" s="298"/>
      <c r="E1078" s="298"/>
      <c r="F1078" s="298"/>
      <c r="G1078" s="298"/>
      <c r="H1078" s="298"/>
      <c r="I1078" s="298"/>
      <c r="J1078" s="298"/>
      <c r="K1078" s="298"/>
      <c r="L1078" s="299"/>
      <c r="M1078" s="54"/>
      <c r="N1078" s="93"/>
      <c r="O1078" s="285" t="s">
        <v>58</v>
      </c>
      <c r="P1078" s="286"/>
      <c r="Q1078" s="286"/>
      <c r="R1078" s="287"/>
      <c r="S1078" s="94"/>
      <c r="T1078" s="285" t="s">
        <v>59</v>
      </c>
      <c r="U1078" s="286"/>
      <c r="V1078" s="286"/>
      <c r="W1078" s="286"/>
      <c r="X1078" s="286"/>
      <c r="Y1078" s="287"/>
      <c r="Z1078" s="95"/>
      <c r="AA1078" s="54"/>
    </row>
    <row r="1079" spans="1:27" s="55" customFormat="1" ht="21" customHeight="1" x14ac:dyDescent="0.25">
      <c r="A1079" s="56"/>
      <c r="B1079" s="57"/>
      <c r="C1079" s="288" t="s">
        <v>114</v>
      </c>
      <c r="D1079" s="288"/>
      <c r="E1079" s="288"/>
      <c r="F1079" s="288"/>
      <c r="G1079" s="58" t="str">
        <f>$J$1</f>
        <v>June</v>
      </c>
      <c r="H1079" s="289">
        <f>$K$1</f>
        <v>2019</v>
      </c>
      <c r="I1079" s="289"/>
      <c r="J1079" s="57"/>
      <c r="K1079" s="59"/>
      <c r="L1079" s="60"/>
      <c r="M1079" s="59"/>
      <c r="N1079" s="96"/>
      <c r="O1079" s="97" t="s">
        <v>69</v>
      </c>
      <c r="P1079" s="97" t="s">
        <v>7</v>
      </c>
      <c r="Q1079" s="97" t="s">
        <v>6</v>
      </c>
      <c r="R1079" s="97" t="s">
        <v>70</v>
      </c>
      <c r="S1079" s="98"/>
      <c r="T1079" s="97" t="s">
        <v>69</v>
      </c>
      <c r="U1079" s="97" t="s">
        <v>71</v>
      </c>
      <c r="V1079" s="97" t="s">
        <v>29</v>
      </c>
      <c r="W1079" s="97" t="s">
        <v>28</v>
      </c>
      <c r="X1079" s="97" t="s">
        <v>30</v>
      </c>
      <c r="Y1079" s="97" t="s">
        <v>75</v>
      </c>
      <c r="Z1079" s="99"/>
      <c r="AA1079" s="59"/>
    </row>
    <row r="1080" spans="1:27" s="55" customFormat="1" ht="21" customHeight="1" x14ac:dyDescent="0.25">
      <c r="A1080" s="56"/>
      <c r="B1080" s="57"/>
      <c r="C1080" s="57"/>
      <c r="D1080" s="62"/>
      <c r="E1080" s="62"/>
      <c r="F1080" s="62"/>
      <c r="G1080" s="62"/>
      <c r="H1080" s="62"/>
      <c r="I1080" s="57"/>
      <c r="J1080" s="63" t="s">
        <v>1</v>
      </c>
      <c r="K1080" s="64">
        <v>35000</v>
      </c>
      <c r="L1080" s="65"/>
      <c r="M1080" s="57"/>
      <c r="N1080" s="100"/>
      <c r="O1080" s="101" t="s">
        <v>61</v>
      </c>
      <c r="P1080" s="101">
        <v>31</v>
      </c>
      <c r="Q1080" s="101">
        <v>0</v>
      </c>
      <c r="R1080" s="101">
        <v>0</v>
      </c>
      <c r="S1080" s="102"/>
      <c r="T1080" s="101" t="s">
        <v>61</v>
      </c>
      <c r="U1080" s="103"/>
      <c r="V1080" s="103"/>
      <c r="W1080" s="103">
        <f>V1080+U1080</f>
        <v>0</v>
      </c>
      <c r="X1080" s="103"/>
      <c r="Y1080" s="103">
        <f>W1080-X1080</f>
        <v>0</v>
      </c>
      <c r="Z1080" s="99"/>
      <c r="AA1080" s="57"/>
    </row>
    <row r="1081" spans="1:27" s="55" customFormat="1" ht="21" customHeight="1" x14ac:dyDescent="0.25">
      <c r="A1081" s="56"/>
      <c r="B1081" s="57" t="s">
        <v>0</v>
      </c>
      <c r="C1081" s="67" t="s">
        <v>111</v>
      </c>
      <c r="D1081" s="57"/>
      <c r="E1081" s="57"/>
      <c r="F1081" s="57"/>
      <c r="G1081" s="57"/>
      <c r="H1081" s="68"/>
      <c r="I1081" s="62"/>
      <c r="J1081" s="57"/>
      <c r="K1081" s="57"/>
      <c r="L1081" s="69"/>
      <c r="M1081" s="54"/>
      <c r="N1081" s="104"/>
      <c r="O1081" s="101" t="s">
        <v>87</v>
      </c>
      <c r="P1081" s="101">
        <v>28</v>
      </c>
      <c r="Q1081" s="101">
        <v>0</v>
      </c>
      <c r="R1081" s="101">
        <f>IF(Q1081="","",R1080-Q1081)</f>
        <v>0</v>
      </c>
      <c r="S1081" s="105"/>
      <c r="T1081" s="101" t="s">
        <v>87</v>
      </c>
      <c r="U1081" s="177">
        <f>Y1080</f>
        <v>0</v>
      </c>
      <c r="V1081" s="103"/>
      <c r="W1081" s="177">
        <f>IF(U1081="","",U1081+V1081)</f>
        <v>0</v>
      </c>
      <c r="X1081" s="103"/>
      <c r="Y1081" s="177">
        <f>IF(W1081="","",W1081-X1081)</f>
        <v>0</v>
      </c>
      <c r="Z1081" s="106"/>
      <c r="AA1081" s="54"/>
    </row>
    <row r="1082" spans="1:27" s="55" customFormat="1" ht="21" customHeight="1" x14ac:dyDescent="0.25">
      <c r="A1082" s="56"/>
      <c r="B1082" s="71" t="s">
        <v>57</v>
      </c>
      <c r="C1082" s="72"/>
      <c r="D1082" s="57"/>
      <c r="E1082" s="57"/>
      <c r="F1082" s="290" t="s">
        <v>59</v>
      </c>
      <c r="G1082" s="290"/>
      <c r="H1082" s="57"/>
      <c r="I1082" s="290" t="s">
        <v>60</v>
      </c>
      <c r="J1082" s="290"/>
      <c r="K1082" s="290"/>
      <c r="L1082" s="73"/>
      <c r="M1082" s="57"/>
      <c r="N1082" s="100"/>
      <c r="O1082" s="101" t="s">
        <v>62</v>
      </c>
      <c r="P1082" s="101">
        <v>31</v>
      </c>
      <c r="Q1082" s="101">
        <v>0</v>
      </c>
      <c r="R1082" s="101">
        <v>0</v>
      </c>
      <c r="S1082" s="105"/>
      <c r="T1082" s="101" t="s">
        <v>62</v>
      </c>
      <c r="U1082" s="177">
        <f>IF($J$1="April",Y1081,Y1081)</f>
        <v>0</v>
      </c>
      <c r="V1082" s="103"/>
      <c r="W1082" s="177">
        <f t="shared" ref="W1082:W1091" si="197">IF(U1082="","",U1082+V1082)</f>
        <v>0</v>
      </c>
      <c r="X1082" s="103"/>
      <c r="Y1082" s="177">
        <f t="shared" ref="Y1082:Y1091" si="198">IF(W1082="","",W1082-X1082)</f>
        <v>0</v>
      </c>
      <c r="Z1082" s="106"/>
      <c r="AA1082" s="57"/>
    </row>
    <row r="1083" spans="1:27" s="55" customFormat="1" ht="21" customHeight="1" x14ac:dyDescent="0.25">
      <c r="A1083" s="56"/>
      <c r="B1083" s="57"/>
      <c r="C1083" s="57"/>
      <c r="D1083" s="57"/>
      <c r="E1083" s="57"/>
      <c r="F1083" s="57"/>
      <c r="G1083" s="57"/>
      <c r="H1083" s="74"/>
      <c r="L1083" s="61"/>
      <c r="M1083" s="57"/>
      <c r="N1083" s="100"/>
      <c r="O1083" s="101" t="s">
        <v>63</v>
      </c>
      <c r="P1083" s="101">
        <v>30</v>
      </c>
      <c r="Q1083" s="101">
        <v>0</v>
      </c>
      <c r="R1083" s="101">
        <f t="shared" ref="R1083:R1090" si="199">IF(Q1083="","",R1082-Q1083)</f>
        <v>0</v>
      </c>
      <c r="S1083" s="105"/>
      <c r="T1083" s="101" t="s">
        <v>63</v>
      </c>
      <c r="U1083" s="177">
        <f>IF($J$1="April",Y1082,Y1082)</f>
        <v>0</v>
      </c>
      <c r="V1083" s="103"/>
      <c r="W1083" s="177">
        <f t="shared" si="197"/>
        <v>0</v>
      </c>
      <c r="X1083" s="103"/>
      <c r="Y1083" s="177">
        <f t="shared" si="198"/>
        <v>0</v>
      </c>
      <c r="Z1083" s="106"/>
      <c r="AA1083" s="57"/>
    </row>
    <row r="1084" spans="1:27" s="55" customFormat="1" ht="21" customHeight="1" x14ac:dyDescent="0.25">
      <c r="A1084" s="56"/>
      <c r="B1084" s="291" t="s">
        <v>58</v>
      </c>
      <c r="C1084" s="292"/>
      <c r="D1084" s="57"/>
      <c r="E1084" s="57"/>
      <c r="F1084" s="75" t="s">
        <v>80</v>
      </c>
      <c r="G1084" s="70">
        <f>IF($J$1="January",U1080,IF($J$1="February",U1081,IF($J$1="March",U1082,IF($J$1="April",U1083,IF($J$1="May",U1084,IF($J$1="June",U1085,IF($J$1="July",U1086,IF($J$1="August",U1087,IF($J$1="August",U1087,IF($J$1="September",U1088,IF($J$1="October",U1089,IF($J$1="November",U1090,IF($J$1="December",U1091)))))))))))))</f>
        <v>0</v>
      </c>
      <c r="H1084" s="74"/>
      <c r="I1084" s="76">
        <f>IF(C1088&gt;0,$K$2,C1086)</f>
        <v>30</v>
      </c>
      <c r="J1084" s="77" t="s">
        <v>77</v>
      </c>
      <c r="K1084" s="78">
        <f>K1080/$K$2*I1084</f>
        <v>35000</v>
      </c>
      <c r="L1084" s="79"/>
      <c r="M1084" s="57"/>
      <c r="N1084" s="100"/>
      <c r="O1084" s="101" t="s">
        <v>64</v>
      </c>
      <c r="P1084" s="101">
        <v>30</v>
      </c>
      <c r="Q1084" s="101">
        <v>1</v>
      </c>
      <c r="R1084" s="101">
        <v>0</v>
      </c>
      <c r="S1084" s="105"/>
      <c r="T1084" s="101" t="s">
        <v>64</v>
      </c>
      <c r="U1084" s="177">
        <f>IF($J$1="May",Y1083,Y1083)</f>
        <v>0</v>
      </c>
      <c r="V1084" s="103"/>
      <c r="W1084" s="177">
        <f t="shared" si="197"/>
        <v>0</v>
      </c>
      <c r="X1084" s="103"/>
      <c r="Y1084" s="177">
        <f t="shared" si="198"/>
        <v>0</v>
      </c>
      <c r="Z1084" s="106"/>
      <c r="AA1084" s="57"/>
    </row>
    <row r="1085" spans="1:27" s="55" customFormat="1" ht="21" customHeight="1" x14ac:dyDescent="0.25">
      <c r="A1085" s="56"/>
      <c r="B1085" s="66"/>
      <c r="C1085" s="66"/>
      <c r="D1085" s="57"/>
      <c r="E1085" s="57"/>
      <c r="F1085" s="75" t="s">
        <v>29</v>
      </c>
      <c r="G1085" s="70">
        <f>IF($J$1="January",V1080,IF($J$1="February",V1081,IF($J$1="March",V1082,IF($J$1="April",V1083,IF($J$1="May",V1084,IF($J$1="June",V1085,IF($J$1="July",V1086,IF($J$1="August",V1087,IF($J$1="August",V1087,IF($J$1="September",V1088,IF($J$1="October",V1089,IF($J$1="November",V1090,IF($J$1="December",V1091)))))))))))))</f>
        <v>262</v>
      </c>
      <c r="H1085" s="74"/>
      <c r="I1085" s="120">
        <v>95</v>
      </c>
      <c r="J1085" s="77" t="s">
        <v>78</v>
      </c>
      <c r="K1085" s="80">
        <f>K1080/$K$2/8*I1085</f>
        <v>13854.166666666668</v>
      </c>
      <c r="L1085" s="81"/>
      <c r="M1085" s="57"/>
      <c r="N1085" s="100"/>
      <c r="O1085" s="101" t="s">
        <v>65</v>
      </c>
      <c r="P1085" s="101">
        <v>30</v>
      </c>
      <c r="Q1085" s="101">
        <v>0</v>
      </c>
      <c r="R1085" s="101">
        <f t="shared" si="199"/>
        <v>0</v>
      </c>
      <c r="S1085" s="105"/>
      <c r="T1085" s="101" t="s">
        <v>65</v>
      </c>
      <c r="U1085" s="177">
        <f>Y1084</f>
        <v>0</v>
      </c>
      <c r="V1085" s="103">
        <f>45000-44738</f>
        <v>262</v>
      </c>
      <c r="W1085" s="177">
        <f t="shared" si="197"/>
        <v>262</v>
      </c>
      <c r="X1085" s="103">
        <v>262</v>
      </c>
      <c r="Y1085" s="177">
        <f t="shared" si="198"/>
        <v>0</v>
      </c>
      <c r="Z1085" s="106"/>
      <c r="AA1085" s="57"/>
    </row>
    <row r="1086" spans="1:27" s="55" customFormat="1" ht="21" customHeight="1" x14ac:dyDescent="0.25">
      <c r="A1086" s="56"/>
      <c r="B1086" s="75" t="s">
        <v>7</v>
      </c>
      <c r="C1086" s="66">
        <f>IF($J$1="January",P1080,IF($J$1="February",P1081,IF($J$1="March",P1082,IF($J$1="April",P1083,IF($J$1="May",P1084,IF($J$1="June",P1085,IF($J$1="July",P1086,IF($J$1="August",P1087,IF($J$1="August",P1087,IF($J$1="September",P1088,IF($J$1="October",P1089,IF($J$1="November",P1090,IF($J$1="December",P1091)))))))))))))</f>
        <v>30</v>
      </c>
      <c r="D1086" s="57"/>
      <c r="E1086" s="57"/>
      <c r="F1086" s="75" t="s">
        <v>81</v>
      </c>
      <c r="G1086" s="70">
        <f>IF($J$1="January",W1080,IF($J$1="February",W1081,IF($J$1="March",W1082,IF($J$1="April",W1083,IF($J$1="May",W1084,IF($J$1="June",W1085,IF($J$1="July",W1086,IF($J$1="August",W1087,IF($J$1="August",W1087,IF($J$1="September",W1088,IF($J$1="October",W1089,IF($J$1="November",W1090,IF($J$1="December",W1091)))))))))))))</f>
        <v>262</v>
      </c>
      <c r="H1086" s="74"/>
      <c r="I1086" s="293" t="s">
        <v>85</v>
      </c>
      <c r="J1086" s="294"/>
      <c r="K1086" s="80">
        <f>K1084+K1085</f>
        <v>48854.166666666672</v>
      </c>
      <c r="L1086" s="81"/>
      <c r="M1086" s="57"/>
      <c r="N1086" s="100"/>
      <c r="O1086" s="101" t="s">
        <v>66</v>
      </c>
      <c r="P1086" s="101"/>
      <c r="Q1086" s="101"/>
      <c r="R1086" s="101" t="str">
        <f t="shared" si="199"/>
        <v/>
      </c>
      <c r="S1086" s="105"/>
      <c r="T1086" s="101" t="s">
        <v>66</v>
      </c>
      <c r="U1086" s="177" t="str">
        <f>IF($J$1="July",Y1085,"")</f>
        <v/>
      </c>
      <c r="V1086" s="103"/>
      <c r="W1086" s="177" t="str">
        <f t="shared" si="197"/>
        <v/>
      </c>
      <c r="X1086" s="103"/>
      <c r="Y1086" s="177" t="str">
        <f t="shared" si="198"/>
        <v/>
      </c>
      <c r="Z1086" s="106"/>
      <c r="AA1086" s="57"/>
    </row>
    <row r="1087" spans="1:27" s="55" customFormat="1" ht="21" customHeight="1" x14ac:dyDescent="0.25">
      <c r="A1087" s="56"/>
      <c r="B1087" s="75" t="s">
        <v>6</v>
      </c>
      <c r="C1087" s="66">
        <f>IF($J$1="January",Q1080,IF($J$1="February",Q1081,IF($J$1="March",Q1082,IF($J$1="April",Q1083,IF($J$1="May",Q1084,IF($J$1="June",Q1085,IF($J$1="July",Q1086,IF($J$1="August",Q1087,IF($J$1="August",Q1087,IF($J$1="September",Q1088,IF($J$1="October",Q1089,IF($J$1="November",Q1090,IF($J$1="December",Q1091)))))))))))))</f>
        <v>0</v>
      </c>
      <c r="D1087" s="57"/>
      <c r="E1087" s="57"/>
      <c r="F1087" s="75" t="s">
        <v>30</v>
      </c>
      <c r="G1087" s="70">
        <f>IF($J$1="January",X1080,IF($J$1="February",X1081,IF($J$1="March",X1082,IF($J$1="April",X1083,IF($J$1="May",X1084,IF($J$1="June",X1085,IF($J$1="July",X1086,IF($J$1="August",X1087,IF($J$1="August",X1087,IF($J$1="September",X1088,IF($J$1="October",X1089,IF($J$1="November",X1090,IF($J$1="December",X1091)))))))))))))</f>
        <v>262</v>
      </c>
      <c r="H1087" s="74"/>
      <c r="I1087" s="293" t="s">
        <v>86</v>
      </c>
      <c r="J1087" s="294"/>
      <c r="K1087" s="70">
        <f>G1087</f>
        <v>262</v>
      </c>
      <c r="L1087" s="82"/>
      <c r="M1087" s="57"/>
      <c r="N1087" s="100"/>
      <c r="O1087" s="101" t="s">
        <v>67</v>
      </c>
      <c r="P1087" s="101"/>
      <c r="Q1087" s="101"/>
      <c r="R1087" s="101" t="str">
        <f t="shared" si="199"/>
        <v/>
      </c>
      <c r="S1087" s="105"/>
      <c r="T1087" s="101" t="s">
        <v>67</v>
      </c>
      <c r="U1087" s="177" t="str">
        <f>IF($J$1="August",Y1086,"")</f>
        <v/>
      </c>
      <c r="V1087" s="103"/>
      <c r="W1087" s="177" t="str">
        <f t="shared" si="197"/>
        <v/>
      </c>
      <c r="X1087" s="103"/>
      <c r="Y1087" s="177" t="str">
        <f t="shared" si="198"/>
        <v/>
      </c>
      <c r="Z1087" s="106"/>
      <c r="AA1087" s="57"/>
    </row>
    <row r="1088" spans="1:27" s="55" customFormat="1" ht="21" customHeight="1" x14ac:dyDescent="0.25">
      <c r="A1088" s="56"/>
      <c r="B1088" s="83" t="s">
        <v>84</v>
      </c>
      <c r="C1088" s="66">
        <f>IF($J$1="January",R1080,IF($J$1="February",R1081,IF($J$1="March",R1082,IF($J$1="April",R1083,IF($J$1="May",R1084,IF($J$1="June",R1085,IF($J$1="July",R1086,IF($J$1="August",R1087,IF($J$1="August",R1087,IF($J$1="September",R1088,IF($J$1="October",R1089,IF($J$1="November",R1090,IF($J$1="December",R1091)))))))))))))</f>
        <v>0</v>
      </c>
      <c r="D1088" s="57"/>
      <c r="E1088" s="57"/>
      <c r="F1088" s="75" t="s">
        <v>83</v>
      </c>
      <c r="G1088" s="70">
        <f>IF($J$1="January",Y1080,IF($J$1="February",Y1081,IF($J$1="March",Y1082,IF($J$1="April",Y1083,IF($J$1="May",Y1084,IF($J$1="June",Y1085,IF($J$1="July",Y1086,IF($J$1="August",Y1087,IF($J$1="August",Y1087,IF($J$1="September",Y1088,IF($J$1="October",Y1089,IF($J$1="November",Y1090,IF($J$1="December",Y1091)))))))))))))</f>
        <v>0</v>
      </c>
      <c r="H1088" s="57"/>
      <c r="I1088" s="295" t="s">
        <v>79</v>
      </c>
      <c r="J1088" s="296"/>
      <c r="K1088" s="84">
        <f>K1086-K1087</f>
        <v>48592.166666666672</v>
      </c>
      <c r="L1088" s="85"/>
      <c r="M1088" s="57"/>
      <c r="N1088" s="100"/>
      <c r="O1088" s="101" t="s">
        <v>72</v>
      </c>
      <c r="P1088" s="101"/>
      <c r="Q1088" s="101"/>
      <c r="R1088" s="101" t="str">
        <f t="shared" si="199"/>
        <v/>
      </c>
      <c r="S1088" s="105"/>
      <c r="T1088" s="101" t="s">
        <v>72</v>
      </c>
      <c r="U1088" s="177" t="str">
        <f>IF($J$1="Sept",Y1087,"")</f>
        <v/>
      </c>
      <c r="V1088" s="103"/>
      <c r="W1088" s="177" t="str">
        <f t="shared" si="197"/>
        <v/>
      </c>
      <c r="X1088" s="103"/>
      <c r="Y1088" s="177" t="str">
        <f t="shared" si="198"/>
        <v/>
      </c>
      <c r="Z1088" s="106"/>
      <c r="AA1088" s="57"/>
    </row>
    <row r="1089" spans="1:27" s="55" customFormat="1" ht="21" customHeight="1" x14ac:dyDescent="0.25">
      <c r="A1089" s="56"/>
      <c r="B1089" s="57"/>
      <c r="C1089" s="57"/>
      <c r="D1089" s="57"/>
      <c r="E1089" s="57"/>
      <c r="F1089" s="57"/>
      <c r="G1089" s="57"/>
      <c r="H1089" s="57"/>
      <c r="I1089" s="57"/>
      <c r="J1089" s="57"/>
      <c r="K1089" s="194"/>
      <c r="L1089" s="73"/>
      <c r="M1089" s="57"/>
      <c r="N1089" s="100"/>
      <c r="O1089" s="101" t="s">
        <v>68</v>
      </c>
      <c r="P1089" s="101"/>
      <c r="Q1089" s="101"/>
      <c r="R1089" s="101" t="str">
        <f t="shared" si="199"/>
        <v/>
      </c>
      <c r="S1089" s="105"/>
      <c r="T1089" s="101" t="s">
        <v>68</v>
      </c>
      <c r="U1089" s="177" t="str">
        <f>IF($J$1="October",Y1088,"")</f>
        <v/>
      </c>
      <c r="V1089" s="103"/>
      <c r="W1089" s="177" t="str">
        <f t="shared" si="197"/>
        <v/>
      </c>
      <c r="X1089" s="103"/>
      <c r="Y1089" s="177" t="str">
        <f t="shared" si="198"/>
        <v/>
      </c>
      <c r="Z1089" s="106"/>
      <c r="AA1089" s="57"/>
    </row>
    <row r="1090" spans="1:27" s="55" customFormat="1" ht="21" customHeight="1" x14ac:dyDescent="0.25">
      <c r="A1090" s="56"/>
      <c r="B1090" s="284" t="s">
        <v>116</v>
      </c>
      <c r="C1090" s="284"/>
      <c r="D1090" s="284"/>
      <c r="E1090" s="284"/>
      <c r="F1090" s="284"/>
      <c r="G1090" s="284"/>
      <c r="H1090" s="284"/>
      <c r="I1090" s="284"/>
      <c r="J1090" s="284"/>
      <c r="K1090" s="284"/>
      <c r="L1090" s="73"/>
      <c r="M1090" s="57"/>
      <c r="N1090" s="100"/>
      <c r="O1090" s="101" t="s">
        <v>73</v>
      </c>
      <c r="P1090" s="101"/>
      <c r="Q1090" s="101"/>
      <c r="R1090" s="101" t="str">
        <f t="shared" si="199"/>
        <v/>
      </c>
      <c r="S1090" s="105"/>
      <c r="T1090" s="101" t="s">
        <v>73</v>
      </c>
      <c r="U1090" s="177" t="str">
        <f>IF($J$1="November",Y1089,"")</f>
        <v/>
      </c>
      <c r="V1090" s="103"/>
      <c r="W1090" s="177" t="str">
        <f t="shared" si="197"/>
        <v/>
      </c>
      <c r="X1090" s="103"/>
      <c r="Y1090" s="177" t="str">
        <f t="shared" si="198"/>
        <v/>
      </c>
      <c r="Z1090" s="106"/>
      <c r="AA1090" s="57"/>
    </row>
    <row r="1091" spans="1:27" s="55" customFormat="1" ht="21" customHeight="1" x14ac:dyDescent="0.25">
      <c r="A1091" s="56"/>
      <c r="B1091" s="284"/>
      <c r="C1091" s="284"/>
      <c r="D1091" s="284"/>
      <c r="E1091" s="284"/>
      <c r="F1091" s="284"/>
      <c r="G1091" s="284"/>
      <c r="H1091" s="284"/>
      <c r="I1091" s="284"/>
      <c r="J1091" s="284"/>
      <c r="K1091" s="284"/>
      <c r="L1091" s="73"/>
      <c r="M1091" s="57"/>
      <c r="N1091" s="100"/>
      <c r="O1091" s="101" t="s">
        <v>74</v>
      </c>
      <c r="P1091" s="101"/>
      <c r="Q1091" s="101"/>
      <c r="R1091" s="101">
        <v>0</v>
      </c>
      <c r="S1091" s="105"/>
      <c r="T1091" s="101" t="s">
        <v>74</v>
      </c>
      <c r="U1091" s="177" t="str">
        <f>IF($J$1="Dec",Y1090,"")</f>
        <v/>
      </c>
      <c r="V1091" s="103"/>
      <c r="W1091" s="177" t="str">
        <f t="shared" si="197"/>
        <v/>
      </c>
      <c r="X1091" s="103"/>
      <c r="Y1091" s="177" t="str">
        <f t="shared" si="198"/>
        <v/>
      </c>
      <c r="Z1091" s="106"/>
      <c r="AA1091" s="57"/>
    </row>
    <row r="1092" spans="1:27" s="55" customFormat="1" ht="21" customHeight="1" thickBot="1" x14ac:dyDescent="0.3">
      <c r="A1092" s="86"/>
      <c r="B1092" s="87"/>
      <c r="C1092" s="87"/>
      <c r="D1092" s="87"/>
      <c r="E1092" s="87"/>
      <c r="F1092" s="87"/>
      <c r="G1092" s="87"/>
      <c r="H1092" s="87"/>
      <c r="I1092" s="87"/>
      <c r="J1092" s="87"/>
      <c r="K1092" s="87"/>
      <c r="L1092" s="88"/>
      <c r="N1092" s="107"/>
      <c r="O1092" s="108"/>
      <c r="P1092" s="108"/>
      <c r="Q1092" s="108"/>
      <c r="R1092" s="108"/>
      <c r="S1092" s="108"/>
      <c r="T1092" s="108"/>
      <c r="U1092" s="108"/>
      <c r="V1092" s="108"/>
      <c r="W1092" s="108"/>
      <c r="X1092" s="108"/>
      <c r="Y1092" s="108"/>
      <c r="Z1092" s="109"/>
    </row>
    <row r="1093" spans="1:27" s="55" customFormat="1" ht="21" customHeight="1" thickBot="1" x14ac:dyDescent="0.3">
      <c r="N1093" s="92"/>
      <c r="O1093" s="92"/>
      <c r="P1093" s="92"/>
      <c r="Q1093" s="92"/>
      <c r="R1093" s="92"/>
      <c r="S1093" s="92"/>
      <c r="T1093" s="92"/>
      <c r="U1093" s="92"/>
      <c r="V1093" s="92"/>
      <c r="W1093" s="92"/>
      <c r="X1093" s="92"/>
      <c r="Y1093" s="92"/>
      <c r="Z1093" s="92"/>
    </row>
    <row r="1094" spans="1:27" s="55" customFormat="1" ht="21" customHeight="1" x14ac:dyDescent="0.25">
      <c r="A1094" s="297" t="s">
        <v>56</v>
      </c>
      <c r="B1094" s="298"/>
      <c r="C1094" s="298"/>
      <c r="D1094" s="298"/>
      <c r="E1094" s="298"/>
      <c r="F1094" s="298"/>
      <c r="G1094" s="298"/>
      <c r="H1094" s="298"/>
      <c r="I1094" s="298"/>
      <c r="J1094" s="298"/>
      <c r="K1094" s="298"/>
      <c r="L1094" s="299"/>
      <c r="M1094" s="143"/>
      <c r="N1094" s="93"/>
      <c r="O1094" s="285" t="s">
        <v>58</v>
      </c>
      <c r="P1094" s="286"/>
      <c r="Q1094" s="286"/>
      <c r="R1094" s="287"/>
      <c r="S1094" s="94"/>
      <c r="T1094" s="285" t="s">
        <v>59</v>
      </c>
      <c r="U1094" s="286"/>
      <c r="V1094" s="286"/>
      <c r="W1094" s="286"/>
      <c r="X1094" s="286"/>
      <c r="Y1094" s="287"/>
      <c r="Z1094" s="92"/>
    </row>
    <row r="1095" spans="1:27" s="55" customFormat="1" ht="21" customHeight="1" x14ac:dyDescent="0.25">
      <c r="A1095" s="56"/>
      <c r="B1095" s="57"/>
      <c r="C1095" s="288" t="s">
        <v>114</v>
      </c>
      <c r="D1095" s="288"/>
      <c r="E1095" s="288"/>
      <c r="F1095" s="288"/>
      <c r="G1095" s="58" t="str">
        <f>$J$1</f>
        <v>June</v>
      </c>
      <c r="H1095" s="289">
        <f>$K$1</f>
        <v>2019</v>
      </c>
      <c r="I1095" s="289"/>
      <c r="J1095" s="57"/>
      <c r="K1095" s="59"/>
      <c r="L1095" s="60"/>
      <c r="M1095" s="59"/>
      <c r="N1095" s="96"/>
      <c r="O1095" s="97" t="s">
        <v>69</v>
      </c>
      <c r="P1095" s="97" t="s">
        <v>7</v>
      </c>
      <c r="Q1095" s="97" t="s">
        <v>6</v>
      </c>
      <c r="R1095" s="97" t="s">
        <v>70</v>
      </c>
      <c r="S1095" s="98"/>
      <c r="T1095" s="97" t="s">
        <v>69</v>
      </c>
      <c r="U1095" s="97" t="s">
        <v>71</v>
      </c>
      <c r="V1095" s="97" t="s">
        <v>29</v>
      </c>
      <c r="W1095" s="97" t="s">
        <v>28</v>
      </c>
      <c r="X1095" s="97" t="s">
        <v>30</v>
      </c>
      <c r="Y1095" s="97" t="s">
        <v>75</v>
      </c>
      <c r="Z1095" s="92"/>
    </row>
    <row r="1096" spans="1:27" s="55" customFormat="1" ht="21" customHeight="1" x14ac:dyDescent="0.25">
      <c r="A1096" s="56"/>
      <c r="B1096" s="57"/>
      <c r="C1096" s="57"/>
      <c r="D1096" s="62"/>
      <c r="E1096" s="62"/>
      <c r="F1096" s="62"/>
      <c r="G1096" s="62"/>
      <c r="H1096" s="62"/>
      <c r="I1096" s="57"/>
      <c r="J1096" s="63" t="s">
        <v>1</v>
      </c>
      <c r="K1096" s="64">
        <v>40000</v>
      </c>
      <c r="L1096" s="65"/>
      <c r="M1096" s="57"/>
      <c r="N1096" s="100"/>
      <c r="O1096" s="101" t="s">
        <v>61</v>
      </c>
      <c r="P1096" s="101">
        <v>31</v>
      </c>
      <c r="Q1096" s="101">
        <v>0</v>
      </c>
      <c r="R1096" s="101">
        <v>0</v>
      </c>
      <c r="S1096" s="102"/>
      <c r="T1096" s="101" t="s">
        <v>61</v>
      </c>
      <c r="U1096" s="103">
        <v>3000</v>
      </c>
      <c r="V1096" s="103"/>
      <c r="W1096" s="103">
        <f>V1096+U1096</f>
        <v>3000</v>
      </c>
      <c r="X1096" s="103">
        <v>3000</v>
      </c>
      <c r="Y1096" s="103">
        <f>W1096-X1096</f>
        <v>0</v>
      </c>
      <c r="Z1096" s="92"/>
    </row>
    <row r="1097" spans="1:27" s="55" customFormat="1" ht="21" customHeight="1" x14ac:dyDescent="0.25">
      <c r="A1097" s="56"/>
      <c r="B1097" s="57" t="s">
        <v>0</v>
      </c>
      <c r="C1097" s="112" t="s">
        <v>140</v>
      </c>
      <c r="D1097" s="57"/>
      <c r="E1097" s="57"/>
      <c r="F1097" s="57"/>
      <c r="G1097" s="57"/>
      <c r="H1097" s="68"/>
      <c r="I1097" s="62"/>
      <c r="J1097" s="57"/>
      <c r="K1097" s="57"/>
      <c r="L1097" s="69"/>
      <c r="M1097" s="143"/>
      <c r="N1097" s="104"/>
      <c r="O1097" s="101" t="s">
        <v>87</v>
      </c>
      <c r="P1097" s="101">
        <v>28</v>
      </c>
      <c r="Q1097" s="101">
        <v>0</v>
      </c>
      <c r="R1097" s="101">
        <f>IF(Q1097="","",R1096-Q1097)</f>
        <v>0</v>
      </c>
      <c r="S1097" s="105"/>
      <c r="T1097" s="101" t="s">
        <v>87</v>
      </c>
      <c r="U1097" s="177"/>
      <c r="V1097" s="103"/>
      <c r="W1097" s="177" t="str">
        <f>IF(U1097="","",U1097+V1097)</f>
        <v/>
      </c>
      <c r="X1097" s="103"/>
      <c r="Y1097" s="177" t="str">
        <f>IF(W1097="","",W1097-X1097)</f>
        <v/>
      </c>
      <c r="Z1097" s="92"/>
    </row>
    <row r="1098" spans="1:27" s="55" customFormat="1" ht="21" customHeight="1" x14ac:dyDescent="0.25">
      <c r="A1098" s="56"/>
      <c r="B1098" s="71" t="s">
        <v>57</v>
      </c>
      <c r="C1098" s="89"/>
      <c r="D1098" s="57"/>
      <c r="E1098" s="57"/>
      <c r="F1098" s="290" t="s">
        <v>59</v>
      </c>
      <c r="G1098" s="290"/>
      <c r="H1098" s="57"/>
      <c r="I1098" s="290" t="s">
        <v>60</v>
      </c>
      <c r="J1098" s="290"/>
      <c r="K1098" s="290"/>
      <c r="L1098" s="73"/>
      <c r="M1098" s="57"/>
      <c r="N1098" s="100"/>
      <c r="O1098" s="101" t="s">
        <v>62</v>
      </c>
      <c r="P1098" s="101">
        <v>31</v>
      </c>
      <c r="Q1098" s="101">
        <v>0</v>
      </c>
      <c r="R1098" s="101">
        <v>0</v>
      </c>
      <c r="S1098" s="105"/>
      <c r="T1098" s="101" t="s">
        <v>62</v>
      </c>
      <c r="U1098" s="177"/>
      <c r="V1098" s="103"/>
      <c r="W1098" s="177" t="str">
        <f t="shared" ref="W1098:W1107" si="200">IF(U1098="","",U1098+V1098)</f>
        <v/>
      </c>
      <c r="X1098" s="103"/>
      <c r="Y1098" s="177" t="str">
        <f t="shared" ref="Y1098:Y1107" si="201">IF(W1098="","",W1098-X1098)</f>
        <v/>
      </c>
      <c r="Z1098" s="92"/>
    </row>
    <row r="1099" spans="1:27" s="55" customFormat="1" ht="21" customHeight="1" x14ac:dyDescent="0.25">
      <c r="A1099" s="56"/>
      <c r="B1099" s="57"/>
      <c r="C1099" s="57"/>
      <c r="D1099" s="57"/>
      <c r="E1099" s="57"/>
      <c r="F1099" s="57"/>
      <c r="G1099" s="57"/>
      <c r="H1099" s="74"/>
      <c r="L1099" s="61"/>
      <c r="M1099" s="57"/>
      <c r="N1099" s="100"/>
      <c r="O1099" s="101" t="s">
        <v>63</v>
      </c>
      <c r="P1099" s="101">
        <v>30</v>
      </c>
      <c r="Q1099" s="101">
        <v>0</v>
      </c>
      <c r="R1099" s="101">
        <f t="shared" ref="R1099:R1107" si="202">IF(Q1099="","",R1098-Q1099)</f>
        <v>0</v>
      </c>
      <c r="S1099" s="105"/>
      <c r="T1099" s="101" t="s">
        <v>63</v>
      </c>
      <c r="U1099" s="177"/>
      <c r="V1099" s="103"/>
      <c r="W1099" s="177" t="str">
        <f t="shared" si="200"/>
        <v/>
      </c>
      <c r="X1099" s="103"/>
      <c r="Y1099" s="177" t="str">
        <f t="shared" si="201"/>
        <v/>
      </c>
      <c r="Z1099" s="92"/>
    </row>
    <row r="1100" spans="1:27" s="55" customFormat="1" ht="21" customHeight="1" x14ac:dyDescent="0.25">
      <c r="A1100" s="56"/>
      <c r="B1100" s="291" t="s">
        <v>58</v>
      </c>
      <c r="C1100" s="292"/>
      <c r="D1100" s="57"/>
      <c r="E1100" s="57"/>
      <c r="F1100" s="75" t="s">
        <v>80</v>
      </c>
      <c r="G1100" s="70">
        <f>IF($J$1="January",U1096,IF($J$1="February",U1097,IF($J$1="March",U1098,IF($J$1="April",U1099,IF($J$1="May",U1100,IF($J$1="June",U1101,IF($J$1="July",U1102,IF($J$1="August",U1103,IF($J$1="August",U1103,IF($J$1="September",U1104,IF($J$1="October",U1105,IF($J$1="November",U1106,IF($J$1="December",U1107)))))))))))))</f>
        <v>0</v>
      </c>
      <c r="H1100" s="74"/>
      <c r="I1100" s="76">
        <f>IF(C1104&gt;0,$K$2,C1102)</f>
        <v>30</v>
      </c>
      <c r="J1100" s="77" t="s">
        <v>77</v>
      </c>
      <c r="K1100" s="78">
        <f>K1096/$K$2*I1100</f>
        <v>40000</v>
      </c>
      <c r="L1100" s="79"/>
      <c r="M1100" s="57"/>
      <c r="N1100" s="100"/>
      <c r="O1100" s="101" t="s">
        <v>64</v>
      </c>
      <c r="P1100" s="101">
        <v>31</v>
      </c>
      <c r="Q1100" s="101">
        <v>0</v>
      </c>
      <c r="R1100" s="101">
        <v>0</v>
      </c>
      <c r="S1100" s="105"/>
      <c r="T1100" s="101" t="s">
        <v>64</v>
      </c>
      <c r="U1100" s="177"/>
      <c r="V1100" s="103"/>
      <c r="W1100" s="177" t="str">
        <f t="shared" si="200"/>
        <v/>
      </c>
      <c r="X1100" s="103"/>
      <c r="Y1100" s="177" t="str">
        <f t="shared" si="201"/>
        <v/>
      </c>
      <c r="Z1100" s="92"/>
    </row>
    <row r="1101" spans="1:27" s="55" customFormat="1" ht="21" customHeight="1" x14ac:dyDescent="0.25">
      <c r="A1101" s="56"/>
      <c r="B1101" s="66"/>
      <c r="C1101" s="66"/>
      <c r="D1101" s="57"/>
      <c r="E1101" s="57"/>
      <c r="F1101" s="75" t="s">
        <v>29</v>
      </c>
      <c r="G1101" s="70">
        <f>IF($J$1="January",V1096,IF($J$1="February",V1097,IF($J$1="March",V1098,IF($J$1="April",V1099,IF($J$1="May",V1100,IF($J$1="June",V1101,IF($J$1="July",V1102,IF($J$1="August",V1103,IF($J$1="August",V1103,IF($J$1="September",V1104,IF($J$1="October",V1105,IF($J$1="November",V1106,IF($J$1="December",V1107)))))))))))))</f>
        <v>0</v>
      </c>
      <c r="H1101" s="74"/>
      <c r="I1101" s="76"/>
      <c r="J1101" s="77" t="s">
        <v>78</v>
      </c>
      <c r="K1101" s="80">
        <f>K1096/$K$2/8*I1101</f>
        <v>0</v>
      </c>
      <c r="L1101" s="81"/>
      <c r="M1101" s="57"/>
      <c r="N1101" s="100"/>
      <c r="O1101" s="101" t="s">
        <v>65</v>
      </c>
      <c r="P1101" s="101">
        <v>24</v>
      </c>
      <c r="Q1101" s="101">
        <v>6</v>
      </c>
      <c r="R1101" s="101">
        <v>15</v>
      </c>
      <c r="S1101" s="105"/>
      <c r="T1101" s="101" t="s">
        <v>65</v>
      </c>
      <c r="U1101" s="177"/>
      <c r="V1101" s="103"/>
      <c r="W1101" s="177" t="str">
        <f t="shared" si="200"/>
        <v/>
      </c>
      <c r="X1101" s="103"/>
      <c r="Y1101" s="177" t="str">
        <f t="shared" si="201"/>
        <v/>
      </c>
      <c r="Z1101" s="92"/>
    </row>
    <row r="1102" spans="1:27" s="55" customFormat="1" ht="21" customHeight="1" x14ac:dyDescent="0.25">
      <c r="A1102" s="56"/>
      <c r="B1102" s="75" t="s">
        <v>7</v>
      </c>
      <c r="C1102" s="66">
        <f>IF($J$1="January",P1096,IF($J$1="February",P1097,IF($J$1="March",P1098,IF($J$1="April",P1099,IF($J$1="May",P1100,IF($J$1="June",P1101,IF($J$1="July",P1102,IF($J$1="August",P1103,IF($J$1="August",P1103,IF($J$1="September",P1104,IF($J$1="October",P1105,IF($J$1="November",P1106,IF($J$1="December",P1107)))))))))))))</f>
        <v>24</v>
      </c>
      <c r="D1102" s="57"/>
      <c r="E1102" s="57"/>
      <c r="F1102" s="75" t="s">
        <v>81</v>
      </c>
      <c r="G1102" s="70" t="str">
        <f>IF($J$1="January",W1096,IF($J$1="February",W1097,IF($J$1="March",W1098,IF($J$1="April",W1099,IF($J$1="May",W1100,IF($J$1="June",W1101,IF($J$1="July",W1102,IF($J$1="August",W1103,IF($J$1="August",W1103,IF($J$1="September",W1104,IF($J$1="October",W1105,IF($J$1="November",W1106,IF($J$1="December",W1107)))))))))))))</f>
        <v/>
      </c>
      <c r="H1102" s="74"/>
      <c r="I1102" s="293" t="s">
        <v>85</v>
      </c>
      <c r="J1102" s="294"/>
      <c r="K1102" s="80">
        <f>K1100+K1101</f>
        <v>40000</v>
      </c>
      <c r="L1102" s="81"/>
      <c r="M1102" s="57"/>
      <c r="N1102" s="100"/>
      <c r="O1102" s="101" t="s">
        <v>66</v>
      </c>
      <c r="P1102" s="101"/>
      <c r="Q1102" s="101"/>
      <c r="R1102" s="101" t="str">
        <f t="shared" si="202"/>
        <v/>
      </c>
      <c r="S1102" s="105"/>
      <c r="T1102" s="101" t="s">
        <v>66</v>
      </c>
      <c r="U1102" s="177"/>
      <c r="V1102" s="103"/>
      <c r="W1102" s="177" t="str">
        <f t="shared" si="200"/>
        <v/>
      </c>
      <c r="X1102" s="103"/>
      <c r="Y1102" s="177" t="str">
        <f t="shared" si="201"/>
        <v/>
      </c>
      <c r="Z1102" s="92"/>
    </row>
    <row r="1103" spans="1:27" s="55" customFormat="1" ht="21" customHeight="1" x14ac:dyDescent="0.25">
      <c r="A1103" s="56"/>
      <c r="B1103" s="75" t="s">
        <v>6</v>
      </c>
      <c r="C1103" s="66">
        <f>IF($J$1="January",Q1096,IF($J$1="February",Q1097,IF($J$1="March",Q1098,IF($J$1="April",Q1099,IF($J$1="May",Q1100,IF($J$1="June",Q1101,IF($J$1="July",Q1102,IF($J$1="August",Q1103,IF($J$1="August",Q1103,IF($J$1="September",Q1104,IF($J$1="October",Q1105,IF($J$1="November",Q1106,IF($J$1="December",Q1107)))))))))))))</f>
        <v>6</v>
      </c>
      <c r="D1103" s="57"/>
      <c r="E1103" s="57"/>
      <c r="F1103" s="75" t="s">
        <v>30</v>
      </c>
      <c r="G1103" s="70">
        <f>IF($J$1="January",X1096,IF($J$1="February",X1097,IF($J$1="March",X1098,IF($J$1="April",X1099,IF($J$1="May",X1100,IF($J$1="June",X1101,IF($J$1="July",X1102,IF($J$1="August",X1103,IF($J$1="August",X1103,IF($J$1="September",X1104,IF($J$1="October",X1105,IF($J$1="November",X1106,IF($J$1="December",X1107)))))))))))))</f>
        <v>0</v>
      </c>
      <c r="H1103" s="74"/>
      <c r="I1103" s="293" t="s">
        <v>86</v>
      </c>
      <c r="J1103" s="294"/>
      <c r="K1103" s="70">
        <f>G1103</f>
        <v>0</v>
      </c>
      <c r="L1103" s="82"/>
      <c r="M1103" s="57"/>
      <c r="N1103" s="100"/>
      <c r="O1103" s="101" t="s">
        <v>67</v>
      </c>
      <c r="P1103" s="101"/>
      <c r="Q1103" s="101"/>
      <c r="R1103" s="101" t="str">
        <f t="shared" si="202"/>
        <v/>
      </c>
      <c r="S1103" s="105"/>
      <c r="T1103" s="101" t="s">
        <v>67</v>
      </c>
      <c r="U1103" s="177"/>
      <c r="V1103" s="103"/>
      <c r="W1103" s="177" t="str">
        <f t="shared" si="200"/>
        <v/>
      </c>
      <c r="X1103" s="103"/>
      <c r="Y1103" s="177" t="str">
        <f t="shared" si="201"/>
        <v/>
      </c>
      <c r="Z1103" s="92"/>
    </row>
    <row r="1104" spans="1:27" s="55" customFormat="1" ht="21" customHeight="1" x14ac:dyDescent="0.25">
      <c r="A1104" s="56"/>
      <c r="B1104" s="83" t="s">
        <v>84</v>
      </c>
      <c r="C1104" s="66">
        <f>IF($J$1="January",R1096,IF($J$1="February",R1097,IF($J$1="March",R1098,IF($J$1="April",R1099,IF($J$1="May",R1100,IF($J$1="June",R1101,IF($J$1="July",R1102,IF($J$1="August",R1103,IF($J$1="August",R1103,IF($J$1="September",R1104,IF($J$1="October",R1105,IF($J$1="November",R1106,IF($J$1="December",R1107)))))))))))))</f>
        <v>15</v>
      </c>
      <c r="D1104" s="57"/>
      <c r="E1104" s="57"/>
      <c r="F1104" s="75" t="s">
        <v>83</v>
      </c>
      <c r="G1104" s="70" t="str">
        <f>IF($J$1="January",Y1096,IF($J$1="February",Y1097,IF($J$1="March",Y1098,IF($J$1="April",Y1099,IF($J$1="May",Y1100,IF($J$1="June",Y1101,IF($J$1="July",Y1102,IF($J$1="August",Y1103,IF($J$1="August",Y1103,IF($J$1="September",Y1104,IF($J$1="October",Y1105,IF($J$1="November",Y1106,IF($J$1="December",Y1107)))))))))))))</f>
        <v/>
      </c>
      <c r="H1104" s="57"/>
      <c r="I1104" s="295" t="s">
        <v>79</v>
      </c>
      <c r="J1104" s="296"/>
      <c r="K1104" s="84">
        <f>K1102-K1103</f>
        <v>40000</v>
      </c>
      <c r="L1104" s="85"/>
      <c r="M1104" s="57"/>
      <c r="N1104" s="100"/>
      <c r="O1104" s="101" t="s">
        <v>72</v>
      </c>
      <c r="P1104" s="101"/>
      <c r="Q1104" s="101"/>
      <c r="R1104" s="101" t="str">
        <f t="shared" si="202"/>
        <v/>
      </c>
      <c r="S1104" s="105"/>
      <c r="T1104" s="101" t="s">
        <v>72</v>
      </c>
      <c r="U1104" s="177"/>
      <c r="V1104" s="103"/>
      <c r="W1104" s="177" t="str">
        <f t="shared" si="200"/>
        <v/>
      </c>
      <c r="X1104" s="103"/>
      <c r="Y1104" s="177" t="str">
        <f t="shared" si="201"/>
        <v/>
      </c>
      <c r="Z1104" s="92"/>
    </row>
    <row r="1105" spans="1:26" s="55" customFormat="1" ht="21" customHeight="1" x14ac:dyDescent="0.25">
      <c r="A1105" s="56"/>
      <c r="B1105" s="57"/>
      <c r="C1105" s="57"/>
      <c r="D1105" s="57"/>
      <c r="E1105" s="57"/>
      <c r="F1105" s="57"/>
      <c r="G1105" s="57"/>
      <c r="H1105" s="57"/>
      <c r="I1105" s="57"/>
      <c r="J1105" s="57"/>
      <c r="K1105" s="57"/>
      <c r="L1105" s="73"/>
      <c r="M1105" s="57"/>
      <c r="N1105" s="100"/>
      <c r="O1105" s="101" t="s">
        <v>68</v>
      </c>
      <c r="P1105" s="101"/>
      <c r="Q1105" s="101"/>
      <c r="R1105" s="101" t="str">
        <f t="shared" si="202"/>
        <v/>
      </c>
      <c r="S1105" s="105"/>
      <c r="T1105" s="101" t="s">
        <v>68</v>
      </c>
      <c r="U1105" s="177"/>
      <c r="V1105" s="103"/>
      <c r="W1105" s="177" t="str">
        <f t="shared" si="200"/>
        <v/>
      </c>
      <c r="X1105" s="103"/>
      <c r="Y1105" s="177" t="str">
        <f t="shared" si="201"/>
        <v/>
      </c>
      <c r="Z1105" s="92"/>
    </row>
    <row r="1106" spans="1:26" s="55" customFormat="1" ht="21" customHeight="1" x14ac:dyDescent="0.25">
      <c r="A1106" s="56"/>
      <c r="B1106" s="284" t="s">
        <v>116</v>
      </c>
      <c r="C1106" s="284"/>
      <c r="D1106" s="284"/>
      <c r="E1106" s="284"/>
      <c r="F1106" s="284"/>
      <c r="G1106" s="284"/>
      <c r="H1106" s="284"/>
      <c r="I1106" s="284"/>
      <c r="J1106" s="284"/>
      <c r="K1106" s="284"/>
      <c r="L1106" s="73"/>
      <c r="M1106" s="57"/>
      <c r="N1106" s="100"/>
      <c r="O1106" s="101" t="s">
        <v>73</v>
      </c>
      <c r="P1106" s="101"/>
      <c r="Q1106" s="101"/>
      <c r="R1106" s="101" t="str">
        <f t="shared" si="202"/>
        <v/>
      </c>
      <c r="S1106" s="105"/>
      <c r="T1106" s="101" t="s">
        <v>73</v>
      </c>
      <c r="U1106" s="177"/>
      <c r="V1106" s="103"/>
      <c r="W1106" s="177" t="str">
        <f t="shared" si="200"/>
        <v/>
      </c>
      <c r="X1106" s="103"/>
      <c r="Y1106" s="177" t="str">
        <f t="shared" si="201"/>
        <v/>
      </c>
      <c r="Z1106" s="92"/>
    </row>
    <row r="1107" spans="1:26" s="55" customFormat="1" ht="21" customHeight="1" x14ac:dyDescent="0.25">
      <c r="A1107" s="56"/>
      <c r="B1107" s="284"/>
      <c r="C1107" s="284"/>
      <c r="D1107" s="284"/>
      <c r="E1107" s="284"/>
      <c r="F1107" s="284"/>
      <c r="G1107" s="284"/>
      <c r="H1107" s="284"/>
      <c r="I1107" s="284"/>
      <c r="J1107" s="284"/>
      <c r="K1107" s="284"/>
      <c r="L1107" s="73"/>
      <c r="M1107" s="57"/>
      <c r="N1107" s="100"/>
      <c r="O1107" s="101" t="s">
        <v>74</v>
      </c>
      <c r="P1107" s="101"/>
      <c r="Q1107" s="101"/>
      <c r="R1107" s="101" t="str">
        <f t="shared" si="202"/>
        <v/>
      </c>
      <c r="S1107" s="105"/>
      <c r="T1107" s="101" t="s">
        <v>74</v>
      </c>
      <c r="U1107" s="177"/>
      <c r="V1107" s="103"/>
      <c r="W1107" s="177" t="str">
        <f t="shared" si="200"/>
        <v/>
      </c>
      <c r="X1107" s="103"/>
      <c r="Y1107" s="177" t="str">
        <f t="shared" si="201"/>
        <v/>
      </c>
      <c r="Z1107" s="92"/>
    </row>
    <row r="1108" spans="1:26" s="55" customFormat="1" ht="21" customHeight="1" thickBot="1" x14ac:dyDescent="0.3">
      <c r="A1108" s="86"/>
      <c r="B1108" s="87"/>
      <c r="C1108" s="87"/>
      <c r="D1108" s="87"/>
      <c r="E1108" s="87"/>
      <c r="F1108" s="87"/>
      <c r="G1108" s="87"/>
      <c r="H1108" s="87"/>
      <c r="I1108" s="87"/>
      <c r="J1108" s="87"/>
      <c r="K1108" s="87"/>
      <c r="L1108" s="88"/>
      <c r="N1108" s="107"/>
      <c r="O1108" s="108"/>
      <c r="P1108" s="108"/>
      <c r="Q1108" s="108"/>
      <c r="R1108" s="108"/>
      <c r="S1108" s="108"/>
      <c r="T1108" s="108"/>
      <c r="U1108" s="108"/>
      <c r="V1108" s="108"/>
      <c r="W1108" s="108"/>
      <c r="X1108" s="108"/>
      <c r="Y1108" s="108"/>
      <c r="Z1108" s="92"/>
    </row>
    <row r="1109" spans="1:26" s="55" customFormat="1" ht="21" customHeight="1" thickBot="1" x14ac:dyDescent="0.3">
      <c r="A1109" s="56"/>
      <c r="B1109" s="57"/>
      <c r="C1109" s="57"/>
      <c r="D1109" s="57"/>
      <c r="E1109" s="57"/>
      <c r="F1109" s="57"/>
      <c r="G1109" s="57"/>
      <c r="H1109" s="57"/>
      <c r="I1109" s="57"/>
      <c r="J1109" s="57"/>
      <c r="K1109" s="57"/>
      <c r="L1109" s="73"/>
      <c r="N1109" s="100"/>
      <c r="O1109" s="105"/>
      <c r="P1109" s="105"/>
      <c r="Q1109" s="105"/>
      <c r="R1109" s="105"/>
      <c r="S1109" s="105"/>
      <c r="T1109" s="105"/>
      <c r="U1109" s="105"/>
      <c r="V1109" s="105"/>
      <c r="W1109" s="105"/>
      <c r="X1109" s="105"/>
      <c r="Y1109" s="105"/>
      <c r="Z1109" s="92"/>
    </row>
    <row r="1110" spans="1:26" s="55" customFormat="1" ht="21" customHeight="1" x14ac:dyDescent="0.25">
      <c r="A1110" s="314" t="s">
        <v>56</v>
      </c>
      <c r="B1110" s="315"/>
      <c r="C1110" s="315"/>
      <c r="D1110" s="315"/>
      <c r="E1110" s="315"/>
      <c r="F1110" s="315"/>
      <c r="G1110" s="315"/>
      <c r="H1110" s="315"/>
      <c r="I1110" s="315"/>
      <c r="J1110" s="315"/>
      <c r="K1110" s="315"/>
      <c r="L1110" s="316"/>
      <c r="M1110" s="91"/>
      <c r="N1110" s="93"/>
      <c r="O1110" s="285" t="s">
        <v>58</v>
      </c>
      <c r="P1110" s="286"/>
      <c r="Q1110" s="286"/>
      <c r="R1110" s="287"/>
      <c r="S1110" s="94"/>
      <c r="T1110" s="285" t="s">
        <v>59</v>
      </c>
      <c r="U1110" s="286"/>
      <c r="V1110" s="286"/>
      <c r="W1110" s="286"/>
      <c r="X1110" s="286"/>
      <c r="Y1110" s="287"/>
      <c r="Z1110" s="92"/>
    </row>
    <row r="1111" spans="1:26" s="55" customFormat="1" ht="21" customHeight="1" x14ac:dyDescent="0.25">
      <c r="A1111" s="56"/>
      <c r="B1111" s="57"/>
      <c r="C1111" s="288" t="s">
        <v>114</v>
      </c>
      <c r="D1111" s="288"/>
      <c r="E1111" s="288"/>
      <c r="F1111" s="288"/>
      <c r="G1111" s="58" t="str">
        <f>$J$1</f>
        <v>June</v>
      </c>
      <c r="H1111" s="289">
        <f>$K$1</f>
        <v>2019</v>
      </c>
      <c r="I1111" s="289"/>
      <c r="J1111" s="57"/>
      <c r="K1111" s="59"/>
      <c r="L1111" s="60"/>
      <c r="M1111" s="59"/>
      <c r="N1111" s="96"/>
      <c r="O1111" s="97" t="s">
        <v>69</v>
      </c>
      <c r="P1111" s="97" t="s">
        <v>7</v>
      </c>
      <c r="Q1111" s="97" t="s">
        <v>6</v>
      </c>
      <c r="R1111" s="97" t="s">
        <v>70</v>
      </c>
      <c r="S1111" s="98"/>
      <c r="T1111" s="97" t="s">
        <v>69</v>
      </c>
      <c r="U1111" s="97" t="s">
        <v>71</v>
      </c>
      <c r="V1111" s="97" t="s">
        <v>29</v>
      </c>
      <c r="W1111" s="97" t="s">
        <v>28</v>
      </c>
      <c r="X1111" s="97" t="s">
        <v>30</v>
      </c>
      <c r="Y1111" s="97" t="s">
        <v>75</v>
      </c>
      <c r="Z1111" s="92"/>
    </row>
    <row r="1112" spans="1:26" s="55" customFormat="1" ht="21" customHeight="1" x14ac:dyDescent="0.25">
      <c r="A1112" s="56"/>
      <c r="B1112" s="57"/>
      <c r="C1112" s="57"/>
      <c r="D1112" s="62"/>
      <c r="E1112" s="62"/>
      <c r="F1112" s="62"/>
      <c r="G1112" s="62"/>
      <c r="H1112" s="62"/>
      <c r="I1112" s="57"/>
      <c r="J1112" s="63" t="s">
        <v>1</v>
      </c>
      <c r="K1112" s="64"/>
      <c r="L1112" s="65"/>
      <c r="M1112" s="57"/>
      <c r="N1112" s="100"/>
      <c r="O1112" s="101" t="s">
        <v>61</v>
      </c>
      <c r="P1112" s="101"/>
      <c r="Q1112" s="101"/>
      <c r="R1112" s="101">
        <v>0</v>
      </c>
      <c r="S1112" s="102"/>
      <c r="T1112" s="101" t="s">
        <v>61</v>
      </c>
      <c r="U1112" s="103"/>
      <c r="V1112" s="103"/>
      <c r="W1112" s="103">
        <f>V1112+U1112</f>
        <v>0</v>
      </c>
      <c r="X1112" s="103"/>
      <c r="Y1112" s="103">
        <f>W1112-X1112</f>
        <v>0</v>
      </c>
      <c r="Z1112" s="92"/>
    </row>
    <row r="1113" spans="1:26" s="55" customFormat="1" ht="21" customHeight="1" x14ac:dyDescent="0.25">
      <c r="A1113" s="56"/>
      <c r="B1113" s="57" t="s">
        <v>0</v>
      </c>
      <c r="C1113" s="90"/>
      <c r="D1113" s="57"/>
      <c r="E1113" s="57"/>
      <c r="F1113" s="57"/>
      <c r="G1113" s="57"/>
      <c r="H1113" s="68"/>
      <c r="I1113" s="62"/>
      <c r="J1113" s="57"/>
      <c r="K1113" s="57"/>
      <c r="L1113" s="69"/>
      <c r="M1113" s="91"/>
      <c r="N1113" s="104"/>
      <c r="O1113" s="101" t="s">
        <v>87</v>
      </c>
      <c r="P1113" s="101"/>
      <c r="Q1113" s="101"/>
      <c r="R1113" s="101">
        <v>0</v>
      </c>
      <c r="S1113" s="105"/>
      <c r="T1113" s="101" t="s">
        <v>87</v>
      </c>
      <c r="U1113" s="177">
        <f>Y1112</f>
        <v>0</v>
      </c>
      <c r="V1113" s="103"/>
      <c r="W1113" s="177">
        <f>IF(U1113="","",U1113+V1113)</f>
        <v>0</v>
      </c>
      <c r="X1113" s="103"/>
      <c r="Y1113" s="177">
        <f>IF(W1113="","",W1113-X1113)</f>
        <v>0</v>
      </c>
      <c r="Z1113" s="92"/>
    </row>
    <row r="1114" spans="1:26" s="55" customFormat="1" ht="21" customHeight="1" x14ac:dyDescent="0.25">
      <c r="A1114" s="56"/>
      <c r="B1114" s="71" t="s">
        <v>57</v>
      </c>
      <c r="C1114" s="72"/>
      <c r="D1114" s="57"/>
      <c r="E1114" s="57"/>
      <c r="F1114" s="290" t="s">
        <v>59</v>
      </c>
      <c r="G1114" s="290"/>
      <c r="H1114" s="57"/>
      <c r="I1114" s="290" t="s">
        <v>60</v>
      </c>
      <c r="J1114" s="290"/>
      <c r="K1114" s="290"/>
      <c r="L1114" s="73"/>
      <c r="M1114" s="57"/>
      <c r="N1114" s="100"/>
      <c r="O1114" s="101" t="s">
        <v>62</v>
      </c>
      <c r="P1114" s="101"/>
      <c r="Q1114" s="101"/>
      <c r="R1114" s="101">
        <v>0</v>
      </c>
      <c r="S1114" s="105"/>
      <c r="T1114" s="101" t="s">
        <v>62</v>
      </c>
      <c r="U1114" s="177">
        <f>IF($J$1="April",Y1113,Y1113)</f>
        <v>0</v>
      </c>
      <c r="V1114" s="103"/>
      <c r="W1114" s="177">
        <f t="shared" ref="W1114:W1123" si="203">IF(U1114="","",U1114+V1114)</f>
        <v>0</v>
      </c>
      <c r="X1114" s="103"/>
      <c r="Y1114" s="177">
        <f t="shared" ref="Y1114:Y1123" si="204">IF(W1114="","",W1114-X1114)</f>
        <v>0</v>
      </c>
      <c r="Z1114" s="92"/>
    </row>
    <row r="1115" spans="1:26" s="55" customFormat="1" ht="21" customHeight="1" x14ac:dyDescent="0.25">
      <c r="A1115" s="56"/>
      <c r="B1115" s="57"/>
      <c r="C1115" s="57"/>
      <c r="D1115" s="57"/>
      <c r="E1115" s="57"/>
      <c r="F1115" s="57"/>
      <c r="G1115" s="57"/>
      <c r="H1115" s="74"/>
      <c r="L1115" s="61"/>
      <c r="M1115" s="57"/>
      <c r="N1115" s="100"/>
      <c r="O1115" s="101" t="s">
        <v>63</v>
      </c>
      <c r="P1115" s="101"/>
      <c r="Q1115" s="101"/>
      <c r="R1115" s="101" t="str">
        <f t="shared" ref="R1115:R1123" si="205">IF(Q1115="","",R1114-Q1115)</f>
        <v/>
      </c>
      <c r="S1115" s="105"/>
      <c r="T1115" s="101" t="s">
        <v>63</v>
      </c>
      <c r="U1115" s="177">
        <f>IF($J$1="April",Y1114,Y1114)</f>
        <v>0</v>
      </c>
      <c r="V1115" s="103"/>
      <c r="W1115" s="177">
        <f t="shared" si="203"/>
        <v>0</v>
      </c>
      <c r="X1115" s="103"/>
      <c r="Y1115" s="177">
        <f t="shared" si="204"/>
        <v>0</v>
      </c>
      <c r="Z1115" s="92"/>
    </row>
    <row r="1116" spans="1:26" s="55" customFormat="1" ht="21" customHeight="1" x14ac:dyDescent="0.25">
      <c r="A1116" s="56"/>
      <c r="B1116" s="291" t="s">
        <v>58</v>
      </c>
      <c r="C1116" s="292"/>
      <c r="D1116" s="57"/>
      <c r="E1116" s="57"/>
      <c r="F1116" s="75" t="s">
        <v>80</v>
      </c>
      <c r="G1116" s="70">
        <f>IF($J$1="January",U1112,IF($J$1="February",U1113,IF($J$1="March",U1114,IF($J$1="April",U1115,IF($J$1="May",U1116,IF($J$1="June",U1117,IF($J$1="July",U1118,IF($J$1="August",U1119,IF($J$1="August",U1119,IF($J$1="September",U1120,IF($J$1="October",U1121,IF($J$1="November",U1122,IF($J$1="December",U1123)))))))))))))</f>
        <v>0</v>
      </c>
      <c r="H1116" s="74"/>
      <c r="I1116" s="76"/>
      <c r="J1116" s="77" t="s">
        <v>77</v>
      </c>
      <c r="K1116" s="78">
        <f>K1112/$K$2*I1116</f>
        <v>0</v>
      </c>
      <c r="L1116" s="79"/>
      <c r="M1116" s="57"/>
      <c r="N1116" s="100"/>
      <c r="O1116" s="101" t="s">
        <v>64</v>
      </c>
      <c r="P1116" s="101"/>
      <c r="Q1116" s="101"/>
      <c r="R1116" s="101" t="str">
        <f t="shared" si="205"/>
        <v/>
      </c>
      <c r="S1116" s="105"/>
      <c r="T1116" s="101" t="s">
        <v>64</v>
      </c>
      <c r="U1116" s="177">
        <f>IF($J$1="May",Y1115,Y1115)</f>
        <v>0</v>
      </c>
      <c r="V1116" s="103"/>
      <c r="W1116" s="177">
        <f t="shared" si="203"/>
        <v>0</v>
      </c>
      <c r="X1116" s="103"/>
      <c r="Y1116" s="177">
        <f t="shared" si="204"/>
        <v>0</v>
      </c>
      <c r="Z1116" s="92"/>
    </row>
    <row r="1117" spans="1:26" s="55" customFormat="1" ht="21" customHeight="1" x14ac:dyDescent="0.25">
      <c r="A1117" s="56"/>
      <c r="B1117" s="66"/>
      <c r="C1117" s="66"/>
      <c r="D1117" s="57"/>
      <c r="E1117" s="57"/>
      <c r="F1117" s="75" t="s">
        <v>29</v>
      </c>
      <c r="G1117" s="70">
        <f>IF($J$1="January",V1112,IF($J$1="February",V1113,IF($J$1="March",V1114,IF($J$1="April",V1115,IF($J$1="May",V1116,IF($J$1="June",V1117,IF($J$1="July",V1118,IF($J$1="August",V1119,IF($J$1="August",V1119,IF($J$1="September",V1120,IF($J$1="October",V1121,IF($J$1="November",V1122,IF($J$1="December",V1123)))))))))))))</f>
        <v>0</v>
      </c>
      <c r="H1117" s="74"/>
      <c r="I1117" s="120"/>
      <c r="J1117" s="77" t="s">
        <v>78</v>
      </c>
      <c r="K1117" s="80">
        <f>K1112/$K$2/8*I1117</f>
        <v>0</v>
      </c>
      <c r="L1117" s="81"/>
      <c r="M1117" s="57"/>
      <c r="N1117" s="100"/>
      <c r="O1117" s="101" t="s">
        <v>65</v>
      </c>
      <c r="P1117" s="101"/>
      <c r="Q1117" s="101"/>
      <c r="R1117" s="101" t="str">
        <f t="shared" si="205"/>
        <v/>
      </c>
      <c r="S1117" s="105"/>
      <c r="T1117" s="101" t="s">
        <v>65</v>
      </c>
      <c r="U1117" s="177">
        <f>IF($J$1="May",Y1116,Y1116)</f>
        <v>0</v>
      </c>
      <c r="V1117" s="103"/>
      <c r="W1117" s="177">
        <f t="shared" si="203"/>
        <v>0</v>
      </c>
      <c r="X1117" s="103"/>
      <c r="Y1117" s="177">
        <f t="shared" si="204"/>
        <v>0</v>
      </c>
      <c r="Z1117" s="92"/>
    </row>
    <row r="1118" spans="1:26" s="55" customFormat="1" ht="21" customHeight="1" x14ac:dyDescent="0.25">
      <c r="A1118" s="56"/>
      <c r="B1118" s="75" t="s">
        <v>7</v>
      </c>
      <c r="C1118" s="66">
        <f>IF($J$1="January",P1112,IF($J$1="February",P1113,IF($J$1="March",P1114,IF($J$1="April",P1115,IF($J$1="May",P1116,IF($J$1="June",P1117,IF($J$1="July",P1118,IF($J$1="August",P1119,IF($J$1="August",P1119,IF($J$1="September",P1120,IF($J$1="October",P1121,IF($J$1="November",P1122,IF($J$1="December",P1123)))))))))))))</f>
        <v>0</v>
      </c>
      <c r="D1118" s="57"/>
      <c r="E1118" s="57"/>
      <c r="F1118" s="75" t="s">
        <v>81</v>
      </c>
      <c r="G1118" s="70">
        <f>IF($J$1="January",W1112,IF($J$1="February",W1113,IF($J$1="March",W1114,IF($J$1="April",W1115,IF($J$1="May",W1116,IF($J$1="June",W1117,IF($J$1="July",W1118,IF($J$1="August",W1119,IF($J$1="August",W1119,IF($J$1="September",W1120,IF($J$1="October",W1121,IF($J$1="November",W1122,IF($J$1="December",W1123)))))))))))))</f>
        <v>0</v>
      </c>
      <c r="H1118" s="74"/>
      <c r="I1118" s="293" t="s">
        <v>85</v>
      </c>
      <c r="J1118" s="294"/>
      <c r="K1118" s="80">
        <f>K1116+K1117</f>
        <v>0</v>
      </c>
      <c r="L1118" s="81"/>
      <c r="M1118" s="57"/>
      <c r="N1118" s="100"/>
      <c r="O1118" s="101" t="s">
        <v>66</v>
      </c>
      <c r="P1118" s="101"/>
      <c r="Q1118" s="101"/>
      <c r="R1118" s="101" t="str">
        <f t="shared" si="205"/>
        <v/>
      </c>
      <c r="S1118" s="105"/>
      <c r="T1118" s="101" t="s">
        <v>66</v>
      </c>
      <c r="U1118" s="177" t="str">
        <f>IF($J$1="July",Y1117,"")</f>
        <v/>
      </c>
      <c r="V1118" s="103"/>
      <c r="W1118" s="177" t="str">
        <f t="shared" si="203"/>
        <v/>
      </c>
      <c r="X1118" s="103"/>
      <c r="Y1118" s="177" t="str">
        <f t="shared" si="204"/>
        <v/>
      </c>
      <c r="Z1118" s="92"/>
    </row>
    <row r="1119" spans="1:26" s="55" customFormat="1" ht="21" customHeight="1" x14ac:dyDescent="0.25">
      <c r="A1119" s="56"/>
      <c r="B1119" s="75" t="s">
        <v>6</v>
      </c>
      <c r="C1119" s="66">
        <f>IF($J$1="January",Q1112,IF($J$1="February",Q1113,IF($J$1="March",Q1114,IF($J$1="April",Q1115,IF($J$1="May",Q1116,IF($J$1="June",Q1117,IF($J$1="July",Q1118,IF($J$1="August",Q1119,IF($J$1="August",Q1119,IF($J$1="September",Q1120,IF($J$1="October",Q1121,IF($J$1="November",Q1122,IF($J$1="December",Q1123)))))))))))))</f>
        <v>0</v>
      </c>
      <c r="D1119" s="57"/>
      <c r="E1119" s="57"/>
      <c r="F1119" s="75" t="s">
        <v>30</v>
      </c>
      <c r="G1119" s="70">
        <f>IF($J$1="January",X1112,IF($J$1="February",X1113,IF($J$1="March",X1114,IF($J$1="April",X1115,IF($J$1="May",X1116,IF($J$1="June",X1117,IF($J$1="July",X1118,IF($J$1="August",X1119,IF($J$1="August",X1119,IF($J$1="September",X1120,IF($J$1="October",X1121,IF($J$1="November",X1122,IF($J$1="December",X1123)))))))))))))</f>
        <v>0</v>
      </c>
      <c r="H1119" s="74"/>
      <c r="I1119" s="293" t="s">
        <v>86</v>
      </c>
      <c r="J1119" s="294"/>
      <c r="K1119" s="70">
        <f>G1119</f>
        <v>0</v>
      </c>
      <c r="L1119" s="82"/>
      <c r="M1119" s="57"/>
      <c r="N1119" s="100"/>
      <c r="O1119" s="101" t="s">
        <v>67</v>
      </c>
      <c r="P1119" s="101"/>
      <c r="Q1119" s="101"/>
      <c r="R1119" s="101" t="str">
        <f t="shared" si="205"/>
        <v/>
      </c>
      <c r="S1119" s="105"/>
      <c r="T1119" s="101" t="s">
        <v>67</v>
      </c>
      <c r="U1119" s="177" t="str">
        <f>IF($J$1="August",Y1118,"")</f>
        <v/>
      </c>
      <c r="V1119" s="103"/>
      <c r="W1119" s="177" t="str">
        <f t="shared" si="203"/>
        <v/>
      </c>
      <c r="X1119" s="103"/>
      <c r="Y1119" s="177" t="str">
        <f t="shared" si="204"/>
        <v/>
      </c>
      <c r="Z1119" s="92"/>
    </row>
    <row r="1120" spans="1:26" s="55" customFormat="1" ht="21" customHeight="1" x14ac:dyDescent="0.25">
      <c r="A1120" s="56"/>
      <c r="B1120" s="83" t="s">
        <v>84</v>
      </c>
      <c r="C1120" s="66" t="str">
        <f>IF($J$1="January",R1112,IF($J$1="February",R1113,IF($J$1="March",R1114,IF($J$1="April",R1115,IF($J$1="May",R1116,IF($J$1="June",R1117,IF($J$1="July",R1118,IF($J$1="August",R1119,IF($J$1="August",R1119,IF($J$1="September",R1120,IF($J$1="October",R1121,IF($J$1="November",R1122,IF($J$1="December",R1123)))))))))))))</f>
        <v/>
      </c>
      <c r="D1120" s="57"/>
      <c r="E1120" s="57"/>
      <c r="F1120" s="75" t="s">
        <v>83</v>
      </c>
      <c r="G1120" s="70">
        <f>IF($J$1="January",Y1112,IF($J$1="February",Y1113,IF($J$1="March",Y1114,IF($J$1="April",Y1115,IF($J$1="May",Y1116,IF($J$1="June",Y1117,IF($J$1="July",Y1118,IF($J$1="August",Y1119,IF($J$1="August",Y1119,IF($J$1="September",Y1120,IF($J$1="October",Y1121,IF($J$1="November",Y1122,IF($J$1="December",Y1123)))))))))))))</f>
        <v>0</v>
      </c>
      <c r="H1120" s="57"/>
      <c r="I1120" s="295" t="s">
        <v>79</v>
      </c>
      <c r="J1120" s="296"/>
      <c r="K1120" s="84">
        <f>K1118-K1119</f>
        <v>0</v>
      </c>
      <c r="L1120" s="85"/>
      <c r="M1120" s="57"/>
      <c r="N1120" s="100"/>
      <c r="O1120" s="101" t="s">
        <v>72</v>
      </c>
      <c r="P1120" s="101"/>
      <c r="Q1120" s="101"/>
      <c r="R1120" s="101" t="str">
        <f t="shared" si="205"/>
        <v/>
      </c>
      <c r="S1120" s="105"/>
      <c r="T1120" s="101" t="s">
        <v>72</v>
      </c>
      <c r="U1120" s="177" t="str">
        <f>IF($J$1="Sept",Y1119,"")</f>
        <v/>
      </c>
      <c r="V1120" s="103"/>
      <c r="W1120" s="177" t="str">
        <f t="shared" si="203"/>
        <v/>
      </c>
      <c r="X1120" s="103"/>
      <c r="Y1120" s="177" t="str">
        <f t="shared" si="204"/>
        <v/>
      </c>
      <c r="Z1120" s="92"/>
    </row>
    <row r="1121" spans="1:26" s="55" customFormat="1" ht="21" customHeight="1" x14ac:dyDescent="0.25">
      <c r="A1121" s="56"/>
      <c r="B1121" s="57"/>
      <c r="C1121" s="57"/>
      <c r="D1121" s="57"/>
      <c r="E1121" s="57"/>
      <c r="F1121" s="57"/>
      <c r="G1121" s="57"/>
      <c r="H1121" s="57"/>
      <c r="I1121" s="57"/>
      <c r="J1121" s="57"/>
      <c r="K1121" s="57"/>
      <c r="L1121" s="73"/>
      <c r="M1121" s="57"/>
      <c r="N1121" s="100"/>
      <c r="O1121" s="101" t="s">
        <v>68</v>
      </c>
      <c r="P1121" s="101"/>
      <c r="Q1121" s="101"/>
      <c r="R1121" s="101" t="str">
        <f t="shared" si="205"/>
        <v/>
      </c>
      <c r="S1121" s="105"/>
      <c r="T1121" s="101" t="s">
        <v>68</v>
      </c>
      <c r="U1121" s="177" t="str">
        <f>IF($J$1="October",Y1120,"")</f>
        <v/>
      </c>
      <c r="V1121" s="103"/>
      <c r="W1121" s="177" t="str">
        <f t="shared" si="203"/>
        <v/>
      </c>
      <c r="X1121" s="103"/>
      <c r="Y1121" s="177" t="str">
        <f t="shared" si="204"/>
        <v/>
      </c>
      <c r="Z1121" s="92"/>
    </row>
    <row r="1122" spans="1:26" s="55" customFormat="1" ht="21" customHeight="1" x14ac:dyDescent="0.25">
      <c r="A1122" s="56"/>
      <c r="B1122" s="284" t="s">
        <v>116</v>
      </c>
      <c r="C1122" s="284"/>
      <c r="D1122" s="284"/>
      <c r="E1122" s="284"/>
      <c r="F1122" s="284"/>
      <c r="G1122" s="284"/>
      <c r="H1122" s="284"/>
      <c r="I1122" s="284"/>
      <c r="J1122" s="284"/>
      <c r="K1122" s="284"/>
      <c r="L1122" s="73"/>
      <c r="M1122" s="57"/>
      <c r="N1122" s="100"/>
      <c r="O1122" s="101" t="s">
        <v>73</v>
      </c>
      <c r="P1122" s="101"/>
      <c r="Q1122" s="101"/>
      <c r="R1122" s="101" t="str">
        <f t="shared" si="205"/>
        <v/>
      </c>
      <c r="S1122" s="105"/>
      <c r="T1122" s="101" t="s">
        <v>73</v>
      </c>
      <c r="U1122" s="177" t="str">
        <f>IF($J$1="November",Y1121,"")</f>
        <v/>
      </c>
      <c r="V1122" s="103"/>
      <c r="W1122" s="177" t="str">
        <f t="shared" si="203"/>
        <v/>
      </c>
      <c r="X1122" s="103"/>
      <c r="Y1122" s="177" t="str">
        <f t="shared" si="204"/>
        <v/>
      </c>
      <c r="Z1122" s="92"/>
    </row>
    <row r="1123" spans="1:26" s="55" customFormat="1" ht="21" customHeight="1" x14ac:dyDescent="0.25">
      <c r="A1123" s="56"/>
      <c r="B1123" s="284"/>
      <c r="C1123" s="284"/>
      <c r="D1123" s="284"/>
      <c r="E1123" s="284"/>
      <c r="F1123" s="284"/>
      <c r="G1123" s="284"/>
      <c r="H1123" s="284"/>
      <c r="I1123" s="284"/>
      <c r="J1123" s="284"/>
      <c r="K1123" s="284"/>
      <c r="L1123" s="73"/>
      <c r="M1123" s="57"/>
      <c r="N1123" s="100"/>
      <c r="O1123" s="101" t="s">
        <v>74</v>
      </c>
      <c r="P1123" s="101"/>
      <c r="Q1123" s="101"/>
      <c r="R1123" s="101" t="str">
        <f t="shared" si="205"/>
        <v/>
      </c>
      <c r="S1123" s="105"/>
      <c r="T1123" s="101" t="s">
        <v>74</v>
      </c>
      <c r="U1123" s="177" t="str">
        <f>IF($J$1="Dec",Y1122,"")</f>
        <v/>
      </c>
      <c r="V1123" s="103"/>
      <c r="W1123" s="177" t="str">
        <f t="shared" si="203"/>
        <v/>
      </c>
      <c r="X1123" s="103"/>
      <c r="Y1123" s="177" t="str">
        <f t="shared" si="204"/>
        <v/>
      </c>
      <c r="Z1123" s="92"/>
    </row>
    <row r="1124" spans="1:26" s="55" customFormat="1" ht="21" customHeight="1" thickBot="1" x14ac:dyDescent="0.3">
      <c r="A1124" s="86"/>
      <c r="B1124" s="87"/>
      <c r="C1124" s="87"/>
      <c r="D1124" s="87"/>
      <c r="E1124" s="87"/>
      <c r="F1124" s="87"/>
      <c r="G1124" s="87"/>
      <c r="H1124" s="87"/>
      <c r="I1124" s="87"/>
      <c r="J1124" s="87"/>
      <c r="K1124" s="87"/>
      <c r="L1124" s="88"/>
      <c r="N1124" s="107"/>
      <c r="O1124" s="108"/>
      <c r="P1124" s="108"/>
      <c r="Q1124" s="108"/>
      <c r="R1124" s="108"/>
      <c r="S1124" s="108"/>
      <c r="T1124" s="108"/>
      <c r="U1124" s="108"/>
      <c r="V1124" s="108"/>
      <c r="W1124" s="108"/>
      <c r="X1124" s="108"/>
      <c r="Y1124" s="108"/>
      <c r="Z1124" s="92"/>
    </row>
    <row r="1125" spans="1:26" ht="21" customHeight="1" thickBot="1" x14ac:dyDescent="0.35"/>
    <row r="1126" spans="1:26" s="55" customFormat="1" ht="21" customHeight="1" x14ac:dyDescent="0.25">
      <c r="A1126" s="297" t="s">
        <v>56</v>
      </c>
      <c r="B1126" s="298"/>
      <c r="C1126" s="298"/>
      <c r="D1126" s="298"/>
      <c r="E1126" s="298"/>
      <c r="F1126" s="298"/>
      <c r="G1126" s="298"/>
      <c r="H1126" s="298"/>
      <c r="I1126" s="298"/>
      <c r="J1126" s="298"/>
      <c r="K1126" s="298"/>
      <c r="L1126" s="299"/>
      <c r="M1126" s="111"/>
      <c r="N1126" s="93"/>
      <c r="O1126" s="285" t="s">
        <v>58</v>
      </c>
      <c r="P1126" s="286"/>
      <c r="Q1126" s="286"/>
      <c r="R1126" s="287"/>
      <c r="S1126" s="94"/>
      <c r="T1126" s="285" t="s">
        <v>59</v>
      </c>
      <c r="U1126" s="286"/>
      <c r="V1126" s="286"/>
      <c r="W1126" s="286"/>
      <c r="X1126" s="286"/>
      <c r="Y1126" s="287"/>
      <c r="Z1126" s="92"/>
    </row>
    <row r="1127" spans="1:26" s="55" customFormat="1" ht="21" customHeight="1" x14ac:dyDescent="0.25">
      <c r="A1127" s="56"/>
      <c r="B1127" s="57"/>
      <c r="C1127" s="288" t="s">
        <v>114</v>
      </c>
      <c r="D1127" s="288"/>
      <c r="E1127" s="288"/>
      <c r="F1127" s="288"/>
      <c r="G1127" s="58" t="str">
        <f>$J$1</f>
        <v>June</v>
      </c>
      <c r="H1127" s="289">
        <f>$K$1</f>
        <v>2019</v>
      </c>
      <c r="I1127" s="289"/>
      <c r="J1127" s="57"/>
      <c r="K1127" s="59"/>
      <c r="L1127" s="60"/>
      <c r="M1127" s="59"/>
      <c r="N1127" s="96"/>
      <c r="O1127" s="97" t="s">
        <v>69</v>
      </c>
      <c r="P1127" s="97" t="s">
        <v>7</v>
      </c>
      <c r="Q1127" s="97" t="s">
        <v>6</v>
      </c>
      <c r="R1127" s="97" t="s">
        <v>70</v>
      </c>
      <c r="S1127" s="98"/>
      <c r="T1127" s="97" t="s">
        <v>69</v>
      </c>
      <c r="U1127" s="97" t="s">
        <v>71</v>
      </c>
      <c r="V1127" s="97" t="s">
        <v>29</v>
      </c>
      <c r="W1127" s="97" t="s">
        <v>28</v>
      </c>
      <c r="X1127" s="97" t="s">
        <v>30</v>
      </c>
      <c r="Y1127" s="97" t="s">
        <v>75</v>
      </c>
      <c r="Z1127" s="92"/>
    </row>
    <row r="1128" spans="1:26" s="55" customFormat="1" ht="21" customHeight="1" x14ac:dyDescent="0.25">
      <c r="A1128" s="56"/>
      <c r="B1128" s="57"/>
      <c r="C1128" s="57"/>
      <c r="D1128" s="62"/>
      <c r="E1128" s="62"/>
      <c r="F1128" s="62"/>
      <c r="G1128" s="62"/>
      <c r="H1128" s="62"/>
      <c r="I1128" s="57"/>
      <c r="J1128" s="63" t="s">
        <v>1</v>
      </c>
      <c r="K1128" s="64">
        <v>25000</v>
      </c>
      <c r="L1128" s="65"/>
      <c r="M1128" s="57"/>
      <c r="N1128" s="100"/>
      <c r="O1128" s="101" t="s">
        <v>61</v>
      </c>
      <c r="P1128" s="101"/>
      <c r="Q1128" s="101"/>
      <c r="R1128" s="101">
        <v>0</v>
      </c>
      <c r="S1128" s="102"/>
      <c r="T1128" s="101" t="s">
        <v>61</v>
      </c>
      <c r="U1128" s="103"/>
      <c r="V1128" s="103"/>
      <c r="W1128" s="103">
        <f>V1128+U1128</f>
        <v>0</v>
      </c>
      <c r="X1128" s="103"/>
      <c r="Y1128" s="103">
        <f>W1128-X1128</f>
        <v>0</v>
      </c>
      <c r="Z1128" s="92"/>
    </row>
    <row r="1129" spans="1:26" s="55" customFormat="1" ht="21" customHeight="1" x14ac:dyDescent="0.25">
      <c r="A1129" s="56"/>
      <c r="B1129" s="57" t="s">
        <v>0</v>
      </c>
      <c r="C1129" s="110" t="s">
        <v>193</v>
      </c>
      <c r="D1129" s="57"/>
      <c r="E1129" s="57"/>
      <c r="F1129" s="57"/>
      <c r="G1129" s="57"/>
      <c r="H1129" s="68"/>
      <c r="I1129" s="62"/>
      <c r="J1129" s="57"/>
      <c r="K1129" s="57"/>
      <c r="L1129" s="69"/>
      <c r="M1129" s="111"/>
      <c r="N1129" s="104"/>
      <c r="O1129" s="101" t="s">
        <v>87</v>
      </c>
      <c r="P1129" s="101"/>
      <c r="Q1129" s="101"/>
      <c r="R1129" s="101" t="str">
        <f>IF(Q1129="","",R1128-Q1129)</f>
        <v/>
      </c>
      <c r="S1129" s="105"/>
      <c r="T1129" s="101" t="s">
        <v>87</v>
      </c>
      <c r="U1129" s="177">
        <f>Y1128</f>
        <v>0</v>
      </c>
      <c r="V1129" s="103"/>
      <c r="W1129" s="177">
        <f>IF(U1129="","",U1129+V1129)</f>
        <v>0</v>
      </c>
      <c r="X1129" s="103"/>
      <c r="Y1129" s="177">
        <f>IF(W1129="","",W1129-X1129)</f>
        <v>0</v>
      </c>
      <c r="Z1129" s="92"/>
    </row>
    <row r="1130" spans="1:26" s="55" customFormat="1" ht="21" customHeight="1" x14ac:dyDescent="0.25">
      <c r="A1130" s="56"/>
      <c r="B1130" s="71" t="s">
        <v>57</v>
      </c>
      <c r="C1130" s="72"/>
      <c r="D1130" s="57"/>
      <c r="E1130" s="57"/>
      <c r="F1130" s="290" t="s">
        <v>59</v>
      </c>
      <c r="G1130" s="290"/>
      <c r="H1130" s="57"/>
      <c r="I1130" s="290" t="s">
        <v>60</v>
      </c>
      <c r="J1130" s="290"/>
      <c r="K1130" s="290"/>
      <c r="L1130" s="73"/>
      <c r="M1130" s="57"/>
      <c r="N1130" s="100"/>
      <c r="O1130" s="101" t="s">
        <v>62</v>
      </c>
      <c r="P1130" s="101"/>
      <c r="Q1130" s="101"/>
      <c r="R1130" s="101" t="str">
        <f t="shared" ref="R1130:R1138" si="206">IF(Q1130="","",R1129-Q1130)</f>
        <v/>
      </c>
      <c r="S1130" s="105"/>
      <c r="T1130" s="101" t="s">
        <v>62</v>
      </c>
      <c r="U1130" s="177">
        <f>IF($J$1="April",Y1129,Y1129)</f>
        <v>0</v>
      </c>
      <c r="V1130" s="103"/>
      <c r="W1130" s="177">
        <f t="shared" ref="W1130:W1139" si="207">IF(U1130="","",U1130+V1130)</f>
        <v>0</v>
      </c>
      <c r="X1130" s="103"/>
      <c r="Y1130" s="177">
        <f t="shared" ref="Y1130:Y1139" si="208">IF(W1130="","",W1130-X1130)</f>
        <v>0</v>
      </c>
      <c r="Z1130" s="92"/>
    </row>
    <row r="1131" spans="1:26" s="55" customFormat="1" ht="21" customHeight="1" x14ac:dyDescent="0.25">
      <c r="A1131" s="56"/>
      <c r="B1131" s="57"/>
      <c r="C1131" s="57"/>
      <c r="D1131" s="57"/>
      <c r="E1131" s="57"/>
      <c r="F1131" s="57"/>
      <c r="G1131" s="57"/>
      <c r="H1131" s="74"/>
      <c r="L1131" s="61"/>
      <c r="M1131" s="57"/>
      <c r="N1131" s="100"/>
      <c r="O1131" s="101" t="s">
        <v>63</v>
      </c>
      <c r="P1131" s="101"/>
      <c r="Q1131" s="101"/>
      <c r="R1131" s="101">
        <v>0</v>
      </c>
      <c r="S1131" s="105"/>
      <c r="T1131" s="101" t="s">
        <v>63</v>
      </c>
      <c r="U1131" s="177">
        <f>IF($J$1="April",Y1130,Y1130)</f>
        <v>0</v>
      </c>
      <c r="V1131" s="103"/>
      <c r="W1131" s="177">
        <f t="shared" si="207"/>
        <v>0</v>
      </c>
      <c r="X1131" s="103"/>
      <c r="Y1131" s="177">
        <f t="shared" si="208"/>
        <v>0</v>
      </c>
      <c r="Z1131" s="92"/>
    </row>
    <row r="1132" spans="1:26" s="55" customFormat="1" ht="21" customHeight="1" x14ac:dyDescent="0.25">
      <c r="A1132" s="56"/>
      <c r="B1132" s="291" t="s">
        <v>58</v>
      </c>
      <c r="C1132" s="292"/>
      <c r="D1132" s="57"/>
      <c r="E1132" s="57"/>
      <c r="F1132" s="75" t="s">
        <v>80</v>
      </c>
      <c r="G1132" s="70">
        <f>IF($J$1="January",U1128,IF($J$1="February",U1129,IF($J$1="March",U1130,IF($J$1="April",U1131,IF($J$1="May",U1132,IF($J$1="June",U1133,IF($J$1="July",U1134,IF($J$1="August",U1135,IF($J$1="August",U1135,IF($J$1="September",U1136,IF($J$1="October",U1137,IF($J$1="November",U1138,IF($J$1="December",U1139)))))))))))))</f>
        <v>0</v>
      </c>
      <c r="H1132" s="74"/>
      <c r="I1132" s="76">
        <f>IF(C1136&gt;0,$K$2,C1134)</f>
        <v>18</v>
      </c>
      <c r="J1132" s="77" t="s">
        <v>77</v>
      </c>
      <c r="K1132" s="78">
        <f>K1128/$K$2*I1132</f>
        <v>15000</v>
      </c>
      <c r="L1132" s="79"/>
      <c r="M1132" s="57"/>
      <c r="N1132" s="100"/>
      <c r="O1132" s="101" t="s">
        <v>64</v>
      </c>
      <c r="P1132" s="101"/>
      <c r="Q1132" s="101"/>
      <c r="R1132" s="101">
        <v>0</v>
      </c>
      <c r="S1132" s="105"/>
      <c r="T1132" s="101" t="s">
        <v>64</v>
      </c>
      <c r="U1132" s="177">
        <f>IF($J$1="May",Y1131,Y1131)</f>
        <v>0</v>
      </c>
      <c r="V1132" s="103"/>
      <c r="W1132" s="177">
        <f t="shared" si="207"/>
        <v>0</v>
      </c>
      <c r="X1132" s="103"/>
      <c r="Y1132" s="177">
        <f t="shared" si="208"/>
        <v>0</v>
      </c>
      <c r="Z1132" s="92"/>
    </row>
    <row r="1133" spans="1:26" s="55" customFormat="1" ht="21" customHeight="1" x14ac:dyDescent="0.25">
      <c r="A1133" s="56"/>
      <c r="B1133" s="66"/>
      <c r="C1133" s="66"/>
      <c r="D1133" s="57"/>
      <c r="E1133" s="57"/>
      <c r="F1133" s="75" t="s">
        <v>29</v>
      </c>
      <c r="G1133" s="70">
        <f>IF($J$1="January",V1128,IF($J$1="February",V1129,IF($J$1="March",V1130,IF($J$1="April",V1131,IF($J$1="May",V1132,IF($J$1="June",V1133,IF($J$1="July",V1134,IF($J$1="August",V1135,IF($J$1="August",V1135,IF($J$1="September",V1136,IF($J$1="October",V1137,IF($J$1="November",V1138,IF($J$1="December",V1139)))))))))))))</f>
        <v>0</v>
      </c>
      <c r="H1133" s="74"/>
      <c r="I1133" s="120">
        <v>37.5</v>
      </c>
      <c r="J1133" s="77" t="s">
        <v>78</v>
      </c>
      <c r="K1133" s="80">
        <f>K1128/$K$2/8*I1133</f>
        <v>3906.25</v>
      </c>
      <c r="L1133" s="81"/>
      <c r="M1133" s="57"/>
      <c r="N1133" s="100"/>
      <c r="O1133" s="101" t="s">
        <v>65</v>
      </c>
      <c r="P1133" s="101">
        <v>18</v>
      </c>
      <c r="Q1133" s="101">
        <v>12</v>
      </c>
      <c r="R1133" s="101">
        <v>0</v>
      </c>
      <c r="S1133" s="105"/>
      <c r="T1133" s="101" t="s">
        <v>65</v>
      </c>
      <c r="U1133" s="177">
        <f>IF($J$1="May",Y1132,Y1132)</f>
        <v>0</v>
      </c>
      <c r="V1133" s="103"/>
      <c r="W1133" s="177">
        <f t="shared" si="207"/>
        <v>0</v>
      </c>
      <c r="X1133" s="103"/>
      <c r="Y1133" s="177">
        <f t="shared" si="208"/>
        <v>0</v>
      </c>
      <c r="Z1133" s="92"/>
    </row>
    <row r="1134" spans="1:26" s="55" customFormat="1" ht="21" customHeight="1" x14ac:dyDescent="0.25">
      <c r="A1134" s="56"/>
      <c r="B1134" s="75" t="s">
        <v>7</v>
      </c>
      <c r="C1134" s="66">
        <f>IF($J$1="January",P1128,IF($J$1="February",P1129,IF($J$1="March",P1130,IF($J$1="April",P1131,IF($J$1="May",P1132,IF($J$1="June",P1133,IF($J$1="July",P1134,IF($J$1="August",P1135,IF($J$1="August",P1135,IF($J$1="September",P1136,IF($J$1="October",P1137,IF($J$1="November",P1138,IF($J$1="December",P1139)))))))))))))</f>
        <v>18</v>
      </c>
      <c r="D1134" s="57"/>
      <c r="E1134" s="57"/>
      <c r="F1134" s="75" t="s">
        <v>81</v>
      </c>
      <c r="G1134" s="70">
        <f>IF($J$1="January",W1128,IF($J$1="February",W1129,IF($J$1="March",W1130,IF($J$1="April",W1131,IF($J$1="May",W1132,IF($J$1="June",W1133,IF($J$1="July",W1134,IF($J$1="August",W1135,IF($J$1="August",W1135,IF($J$1="September",W1136,IF($J$1="October",W1137,IF($J$1="November",W1138,IF($J$1="December",W1139)))))))))))))</f>
        <v>0</v>
      </c>
      <c r="H1134" s="74"/>
      <c r="I1134" s="293" t="s">
        <v>85</v>
      </c>
      <c r="J1134" s="294"/>
      <c r="K1134" s="80">
        <f>K1132+K1133</f>
        <v>18906.25</v>
      </c>
      <c r="L1134" s="81"/>
      <c r="M1134" s="57"/>
      <c r="N1134" s="100"/>
      <c r="O1134" s="101" t="s">
        <v>66</v>
      </c>
      <c r="P1134" s="101"/>
      <c r="Q1134" s="101"/>
      <c r="R1134" s="101">
        <v>0</v>
      </c>
      <c r="S1134" s="105"/>
      <c r="T1134" s="101" t="s">
        <v>66</v>
      </c>
      <c r="U1134" s="177" t="str">
        <f>IF($J$1="July",Y1133,"")</f>
        <v/>
      </c>
      <c r="V1134" s="103"/>
      <c r="W1134" s="177" t="str">
        <f t="shared" si="207"/>
        <v/>
      </c>
      <c r="X1134" s="103"/>
      <c r="Y1134" s="177" t="str">
        <f t="shared" si="208"/>
        <v/>
      </c>
      <c r="Z1134" s="92"/>
    </row>
    <row r="1135" spans="1:26" s="55" customFormat="1" ht="21" customHeight="1" x14ac:dyDescent="0.25">
      <c r="A1135" s="56"/>
      <c r="B1135" s="75" t="s">
        <v>6</v>
      </c>
      <c r="C1135" s="66">
        <f>IF($J$1="January",Q1128,IF($J$1="February",Q1129,IF($J$1="March",Q1130,IF($J$1="April",Q1131,IF($J$1="May",Q1132,IF($J$1="June",Q1133,IF($J$1="July",Q1134,IF($J$1="August",Q1135,IF($J$1="August",Q1135,IF($J$1="September",Q1136,IF($J$1="October",Q1137,IF($J$1="November",Q1138,IF($J$1="December",Q1139)))))))))))))</f>
        <v>12</v>
      </c>
      <c r="D1135" s="57"/>
      <c r="E1135" s="57"/>
      <c r="F1135" s="75" t="s">
        <v>30</v>
      </c>
      <c r="G1135" s="70">
        <f>IF($J$1="January",X1128,IF($J$1="February",X1129,IF($J$1="March",X1130,IF($J$1="April",X1131,IF($J$1="May",X1132,IF($J$1="June",X1133,IF($J$1="July",X1134,IF($J$1="August",X1135,IF($J$1="August",X1135,IF($J$1="September",X1136,IF($J$1="October",X1137,IF($J$1="November",X1138,IF($J$1="December",X1139)))))))))))))</f>
        <v>0</v>
      </c>
      <c r="H1135" s="74"/>
      <c r="I1135" s="293" t="s">
        <v>86</v>
      </c>
      <c r="J1135" s="294"/>
      <c r="K1135" s="70">
        <f>G1135</f>
        <v>0</v>
      </c>
      <c r="L1135" s="82"/>
      <c r="M1135" s="57"/>
      <c r="N1135" s="100"/>
      <c r="O1135" s="101" t="s">
        <v>67</v>
      </c>
      <c r="P1135" s="101"/>
      <c r="Q1135" s="101"/>
      <c r="R1135" s="101" t="str">
        <f t="shared" si="206"/>
        <v/>
      </c>
      <c r="S1135" s="105"/>
      <c r="T1135" s="101" t="s">
        <v>67</v>
      </c>
      <c r="U1135" s="177" t="str">
        <f>IF($J$1="August",Y1134,"")</f>
        <v/>
      </c>
      <c r="V1135" s="103"/>
      <c r="W1135" s="177" t="str">
        <f t="shared" si="207"/>
        <v/>
      </c>
      <c r="X1135" s="103"/>
      <c r="Y1135" s="177" t="str">
        <f t="shared" si="208"/>
        <v/>
      </c>
      <c r="Z1135" s="92"/>
    </row>
    <row r="1136" spans="1:26" s="55" customFormat="1" ht="21" customHeight="1" x14ac:dyDescent="0.25">
      <c r="A1136" s="56"/>
      <c r="B1136" s="83" t="s">
        <v>84</v>
      </c>
      <c r="C1136" s="66">
        <f>IF($J$1="January",R1128,IF($J$1="February",R1129,IF($J$1="March",R1130,IF($J$1="April",R1131,IF($J$1="May",R1132,IF($J$1="June",R1133,IF($J$1="July",R1134,IF($J$1="August",R1135,IF($J$1="August",R1135,IF($J$1="September",R1136,IF($J$1="October",R1137,IF($J$1="November",R1138,IF($J$1="December",R1139)))))))))))))</f>
        <v>0</v>
      </c>
      <c r="D1136" s="57"/>
      <c r="E1136" s="57"/>
      <c r="F1136" s="75" t="s">
        <v>83</v>
      </c>
      <c r="G1136" s="70">
        <f>IF($J$1="January",Y1128,IF($J$1="February",Y1129,IF($J$1="March",Y1130,IF($J$1="April",Y1131,IF($J$1="May",Y1132,IF($J$1="June",Y1133,IF($J$1="July",Y1134,IF($J$1="August",Y1135,IF($J$1="August",Y1135,IF($J$1="September",Y1136,IF($J$1="October",Y1137,IF($J$1="November",Y1138,IF($J$1="December",Y1139)))))))))))))</f>
        <v>0</v>
      </c>
      <c r="H1136" s="57"/>
      <c r="I1136" s="290" t="s">
        <v>79</v>
      </c>
      <c r="J1136" s="290"/>
      <c r="K1136" s="84">
        <f>K1134-K1135</f>
        <v>18906.25</v>
      </c>
      <c r="L1136" s="85"/>
      <c r="M1136" s="57"/>
      <c r="N1136" s="100"/>
      <c r="O1136" s="101" t="s">
        <v>72</v>
      </c>
      <c r="P1136" s="101"/>
      <c r="Q1136" s="101"/>
      <c r="R1136" s="101" t="str">
        <f t="shared" si="206"/>
        <v/>
      </c>
      <c r="S1136" s="105"/>
      <c r="T1136" s="101" t="s">
        <v>72</v>
      </c>
      <c r="U1136" s="177" t="str">
        <f>IF($J$1="Sept",Y1135,"")</f>
        <v/>
      </c>
      <c r="V1136" s="103"/>
      <c r="W1136" s="177" t="str">
        <f t="shared" si="207"/>
        <v/>
      </c>
      <c r="X1136" s="103"/>
      <c r="Y1136" s="177" t="str">
        <f t="shared" si="208"/>
        <v/>
      </c>
      <c r="Z1136" s="92"/>
    </row>
    <row r="1137" spans="1:27" s="55" customFormat="1" ht="21" customHeight="1" x14ac:dyDescent="0.25">
      <c r="A1137" s="56"/>
      <c r="B1137" s="57"/>
      <c r="C1137" s="57"/>
      <c r="D1137" s="57"/>
      <c r="E1137" s="57"/>
      <c r="F1137" s="57"/>
      <c r="G1137" s="57"/>
      <c r="H1137" s="57"/>
      <c r="I1137" s="328"/>
      <c r="J1137" s="328"/>
      <c r="K1137" s="74"/>
      <c r="L1137" s="73"/>
      <c r="M1137" s="57"/>
      <c r="N1137" s="100"/>
      <c r="O1137" s="101" t="s">
        <v>68</v>
      </c>
      <c r="P1137" s="101"/>
      <c r="Q1137" s="101"/>
      <c r="R1137" s="101">
        <v>0</v>
      </c>
      <c r="S1137" s="105"/>
      <c r="T1137" s="101" t="s">
        <v>68</v>
      </c>
      <c r="U1137" s="177" t="str">
        <f>IF($J$1="October",Y1136,"")</f>
        <v/>
      </c>
      <c r="V1137" s="103"/>
      <c r="W1137" s="177" t="str">
        <f t="shared" si="207"/>
        <v/>
      </c>
      <c r="X1137" s="103"/>
      <c r="Y1137" s="177" t="str">
        <f t="shared" si="208"/>
        <v/>
      </c>
      <c r="Z1137" s="92"/>
    </row>
    <row r="1138" spans="1:27" s="55" customFormat="1" ht="21" customHeight="1" x14ac:dyDescent="0.4">
      <c r="A1138" s="56"/>
      <c r="B1138" s="229"/>
      <c r="C1138" s="229"/>
      <c r="D1138" s="229"/>
      <c r="E1138" s="229"/>
      <c r="F1138" s="229"/>
      <c r="G1138" s="229"/>
      <c r="H1138" s="229"/>
      <c r="I1138" s="328"/>
      <c r="J1138" s="328"/>
      <c r="K1138" s="231"/>
      <c r="L1138" s="73"/>
      <c r="M1138" s="57"/>
      <c r="N1138" s="100"/>
      <c r="O1138" s="101" t="s">
        <v>73</v>
      </c>
      <c r="P1138" s="101"/>
      <c r="Q1138" s="101"/>
      <c r="R1138" s="101" t="str">
        <f t="shared" si="206"/>
        <v/>
      </c>
      <c r="S1138" s="105"/>
      <c r="T1138" s="101" t="s">
        <v>73</v>
      </c>
      <c r="U1138" s="177" t="str">
        <f>IF($J$1="November",Y1137,"")</f>
        <v/>
      </c>
      <c r="V1138" s="103"/>
      <c r="W1138" s="177" t="str">
        <f t="shared" si="207"/>
        <v/>
      </c>
      <c r="X1138" s="103"/>
      <c r="Y1138" s="177" t="str">
        <f t="shared" si="208"/>
        <v/>
      </c>
      <c r="Z1138" s="92"/>
    </row>
    <row r="1139" spans="1:27" s="55" customFormat="1" ht="21" customHeight="1" x14ac:dyDescent="0.4">
      <c r="A1139" s="56"/>
      <c r="B1139" s="229"/>
      <c r="C1139" s="229"/>
      <c r="D1139" s="229"/>
      <c r="E1139" s="229"/>
      <c r="F1139" s="229"/>
      <c r="G1139" s="229"/>
      <c r="H1139" s="229"/>
      <c r="I1139" s="229"/>
      <c r="J1139" s="229"/>
      <c r="K1139" s="229"/>
      <c r="L1139" s="73"/>
      <c r="M1139" s="57"/>
      <c r="N1139" s="100"/>
      <c r="O1139" s="101" t="s">
        <v>74</v>
      </c>
      <c r="P1139" s="101"/>
      <c r="Q1139" s="101"/>
      <c r="R1139" s="101">
        <v>0</v>
      </c>
      <c r="S1139" s="105"/>
      <c r="T1139" s="101" t="s">
        <v>74</v>
      </c>
      <c r="U1139" s="177" t="str">
        <f>IF($J$1="Dec",Y1138,"")</f>
        <v/>
      </c>
      <c r="V1139" s="103"/>
      <c r="W1139" s="177" t="str">
        <f t="shared" si="207"/>
        <v/>
      </c>
      <c r="X1139" s="103"/>
      <c r="Y1139" s="177" t="str">
        <f t="shared" si="208"/>
        <v/>
      </c>
      <c r="Z1139" s="92"/>
    </row>
    <row r="1140" spans="1:27" s="55" customFormat="1" ht="21" customHeight="1" thickBot="1" x14ac:dyDescent="0.3">
      <c r="A1140" s="86"/>
      <c r="B1140" s="87"/>
      <c r="C1140" s="87"/>
      <c r="D1140" s="87"/>
      <c r="E1140" s="87"/>
      <c r="F1140" s="87"/>
      <c r="G1140" s="87"/>
      <c r="H1140" s="87"/>
      <c r="I1140" s="87"/>
      <c r="J1140" s="87"/>
      <c r="K1140" s="87"/>
      <c r="L1140" s="88"/>
      <c r="N1140" s="107"/>
      <c r="O1140" s="108"/>
      <c r="P1140" s="108"/>
      <c r="Q1140" s="108"/>
      <c r="R1140" s="108"/>
      <c r="S1140" s="108"/>
      <c r="T1140" s="108"/>
      <c r="U1140" s="108"/>
      <c r="V1140" s="108"/>
      <c r="W1140" s="108"/>
      <c r="X1140" s="108"/>
      <c r="Y1140" s="108"/>
      <c r="Z1140" s="92"/>
    </row>
    <row r="1141" spans="1:27" ht="21" customHeight="1" thickBot="1" x14ac:dyDescent="0.35"/>
    <row r="1142" spans="1:27" s="55" customFormat="1" ht="21" customHeight="1" x14ac:dyDescent="0.25">
      <c r="A1142" s="297" t="s">
        <v>56</v>
      </c>
      <c r="B1142" s="298"/>
      <c r="C1142" s="298"/>
      <c r="D1142" s="298"/>
      <c r="E1142" s="298"/>
      <c r="F1142" s="298"/>
      <c r="G1142" s="298"/>
      <c r="H1142" s="298"/>
      <c r="I1142" s="298"/>
      <c r="J1142" s="298"/>
      <c r="K1142" s="298"/>
      <c r="L1142" s="299"/>
      <c r="M1142" s="143"/>
      <c r="N1142" s="93"/>
      <c r="O1142" s="285" t="s">
        <v>58</v>
      </c>
      <c r="P1142" s="286"/>
      <c r="Q1142" s="286"/>
      <c r="R1142" s="287"/>
      <c r="S1142" s="94"/>
      <c r="T1142" s="285" t="s">
        <v>59</v>
      </c>
      <c r="U1142" s="286"/>
      <c r="V1142" s="286"/>
      <c r="W1142" s="286"/>
      <c r="X1142" s="286"/>
      <c r="Y1142" s="287"/>
      <c r="Z1142" s="95"/>
      <c r="AA1142" s="143"/>
    </row>
    <row r="1143" spans="1:27" s="55" customFormat="1" ht="21" customHeight="1" x14ac:dyDescent="0.25">
      <c r="A1143" s="56"/>
      <c r="B1143" s="57"/>
      <c r="C1143" s="288" t="s">
        <v>114</v>
      </c>
      <c r="D1143" s="288"/>
      <c r="E1143" s="288"/>
      <c r="F1143" s="288"/>
      <c r="G1143" s="58" t="str">
        <f>$J$1</f>
        <v>June</v>
      </c>
      <c r="H1143" s="289">
        <f>$K$1</f>
        <v>2019</v>
      </c>
      <c r="I1143" s="289"/>
      <c r="J1143" s="57"/>
      <c r="K1143" s="59"/>
      <c r="L1143" s="60"/>
      <c r="M1143" s="59"/>
      <c r="N1143" s="96"/>
      <c r="O1143" s="97" t="s">
        <v>69</v>
      </c>
      <c r="P1143" s="97" t="s">
        <v>7</v>
      </c>
      <c r="Q1143" s="97" t="s">
        <v>6</v>
      </c>
      <c r="R1143" s="97" t="s">
        <v>70</v>
      </c>
      <c r="S1143" s="98"/>
      <c r="T1143" s="97" t="s">
        <v>69</v>
      </c>
      <c r="U1143" s="97" t="s">
        <v>71</v>
      </c>
      <c r="V1143" s="97" t="s">
        <v>29</v>
      </c>
      <c r="W1143" s="97" t="s">
        <v>28</v>
      </c>
      <c r="X1143" s="97" t="s">
        <v>30</v>
      </c>
      <c r="Y1143" s="97" t="s">
        <v>75</v>
      </c>
      <c r="Z1143" s="99"/>
      <c r="AA1143" s="59"/>
    </row>
    <row r="1144" spans="1:27" s="55" customFormat="1" ht="21" customHeight="1" x14ac:dyDescent="0.25">
      <c r="A1144" s="56"/>
      <c r="B1144" s="57"/>
      <c r="C1144" s="57"/>
      <c r="D1144" s="62"/>
      <c r="E1144" s="62"/>
      <c r="F1144" s="62"/>
      <c r="G1144" s="62"/>
      <c r="H1144" s="62"/>
      <c r="I1144" s="57"/>
      <c r="J1144" s="63" t="s">
        <v>1</v>
      </c>
      <c r="K1144" s="64">
        <v>20000</v>
      </c>
      <c r="L1144" s="65"/>
      <c r="M1144" s="57"/>
      <c r="N1144" s="100"/>
      <c r="O1144" s="101" t="s">
        <v>61</v>
      </c>
      <c r="P1144" s="101">
        <v>31</v>
      </c>
      <c r="Q1144" s="101">
        <v>0</v>
      </c>
      <c r="R1144" s="101">
        <v>0</v>
      </c>
      <c r="S1144" s="102"/>
      <c r="T1144" s="101" t="s">
        <v>61</v>
      </c>
      <c r="U1144" s="103"/>
      <c r="V1144" s="103"/>
      <c r="W1144" s="103">
        <f>V1144+U1144</f>
        <v>0</v>
      </c>
      <c r="X1144" s="103"/>
      <c r="Y1144" s="103">
        <f>W1144-X1144</f>
        <v>0</v>
      </c>
      <c r="Z1144" s="99"/>
      <c r="AA1144" s="57"/>
    </row>
    <row r="1145" spans="1:27" s="55" customFormat="1" ht="21" customHeight="1" x14ac:dyDescent="0.25">
      <c r="A1145" s="56"/>
      <c r="B1145" s="57" t="s">
        <v>0</v>
      </c>
      <c r="C1145" s="112" t="s">
        <v>142</v>
      </c>
      <c r="D1145" s="57"/>
      <c r="E1145" s="57"/>
      <c r="F1145" s="57"/>
      <c r="G1145" s="57"/>
      <c r="H1145" s="68"/>
      <c r="I1145" s="62"/>
      <c r="J1145" s="57"/>
      <c r="K1145" s="57"/>
      <c r="L1145" s="69"/>
      <c r="M1145" s="143"/>
      <c r="N1145" s="104"/>
      <c r="O1145" s="101" t="s">
        <v>87</v>
      </c>
      <c r="P1145" s="101">
        <v>28</v>
      </c>
      <c r="Q1145" s="101">
        <v>0</v>
      </c>
      <c r="R1145" s="101">
        <v>0</v>
      </c>
      <c r="S1145" s="105"/>
      <c r="T1145" s="101" t="s">
        <v>87</v>
      </c>
      <c r="U1145" s="177">
        <f>Y1144</f>
        <v>0</v>
      </c>
      <c r="V1145" s="103"/>
      <c r="W1145" s="177">
        <f>IF(U1145="","",U1145+V1145)</f>
        <v>0</v>
      </c>
      <c r="X1145" s="103"/>
      <c r="Y1145" s="177">
        <f>IF(W1145="","",W1145-X1145)</f>
        <v>0</v>
      </c>
      <c r="Z1145" s="106"/>
      <c r="AA1145" s="143"/>
    </row>
    <row r="1146" spans="1:27" s="55" customFormat="1" ht="21" customHeight="1" x14ac:dyDescent="0.25">
      <c r="A1146" s="56"/>
      <c r="B1146" s="71" t="s">
        <v>57</v>
      </c>
      <c r="C1146" s="72"/>
      <c r="D1146" s="57"/>
      <c r="E1146" s="57"/>
      <c r="F1146" s="295" t="s">
        <v>59</v>
      </c>
      <c r="G1146" s="296"/>
      <c r="H1146" s="57"/>
      <c r="I1146" s="295" t="s">
        <v>60</v>
      </c>
      <c r="J1146" s="304"/>
      <c r="K1146" s="296"/>
      <c r="L1146" s="73"/>
      <c r="M1146" s="57"/>
      <c r="N1146" s="100"/>
      <c r="O1146" s="101" t="s">
        <v>62</v>
      </c>
      <c r="P1146" s="101">
        <v>31</v>
      </c>
      <c r="Q1146" s="101">
        <v>0</v>
      </c>
      <c r="R1146" s="101">
        <f>IF(Q1146="","",R1145-Q1146)</f>
        <v>0</v>
      </c>
      <c r="S1146" s="105"/>
      <c r="T1146" s="101" t="s">
        <v>62</v>
      </c>
      <c r="U1146" s="177">
        <f>IF($J$1="April",Y1145,Y1145)</f>
        <v>0</v>
      </c>
      <c r="V1146" s="103"/>
      <c r="W1146" s="177">
        <f t="shared" ref="W1146:W1155" si="209">IF(U1146="","",U1146+V1146)</f>
        <v>0</v>
      </c>
      <c r="X1146" s="103"/>
      <c r="Y1146" s="177">
        <f t="shared" ref="Y1146:Y1155" si="210">IF(W1146="","",W1146-X1146)</f>
        <v>0</v>
      </c>
      <c r="Z1146" s="106"/>
      <c r="AA1146" s="57"/>
    </row>
    <row r="1147" spans="1:27" s="55" customFormat="1" ht="21" customHeight="1" x14ac:dyDescent="0.25">
      <c r="A1147" s="56"/>
      <c r="B1147" s="57"/>
      <c r="C1147" s="57"/>
      <c r="D1147" s="57"/>
      <c r="E1147" s="57"/>
      <c r="F1147" s="57"/>
      <c r="G1147" s="57"/>
      <c r="H1147" s="74"/>
      <c r="L1147" s="61"/>
      <c r="M1147" s="57"/>
      <c r="N1147" s="100"/>
      <c r="O1147" s="101" t="s">
        <v>63</v>
      </c>
      <c r="P1147" s="101">
        <v>30</v>
      </c>
      <c r="Q1147" s="101">
        <v>0</v>
      </c>
      <c r="R1147" s="101">
        <v>0</v>
      </c>
      <c r="S1147" s="105"/>
      <c r="T1147" s="101" t="s">
        <v>63</v>
      </c>
      <c r="U1147" s="177">
        <f>IF($J$1="April",Y1146,Y1146)</f>
        <v>0</v>
      </c>
      <c r="V1147" s="103"/>
      <c r="W1147" s="177">
        <f t="shared" si="209"/>
        <v>0</v>
      </c>
      <c r="X1147" s="103"/>
      <c r="Y1147" s="177">
        <f t="shared" si="210"/>
        <v>0</v>
      </c>
      <c r="Z1147" s="106"/>
      <c r="AA1147" s="57"/>
    </row>
    <row r="1148" spans="1:27" s="55" customFormat="1" ht="21" customHeight="1" x14ac:dyDescent="0.25">
      <c r="A1148" s="56"/>
      <c r="B1148" s="291" t="s">
        <v>58</v>
      </c>
      <c r="C1148" s="292"/>
      <c r="D1148" s="57"/>
      <c r="E1148" s="57"/>
      <c r="F1148" s="75" t="s">
        <v>80</v>
      </c>
      <c r="G1148" s="70">
        <f>IF($J$1="January",U1144,IF($J$1="February",U1145,IF($J$1="March",U1146,IF($J$1="April",U1147,IF($J$1="May",U1148,IF($J$1="June",U1149,IF($J$1="July",U1150,IF($J$1="August",U1151,IF($J$1="August",U1151,IF($J$1="September",U1152,IF($J$1="October",U1153,IF($J$1="November",U1154,IF($J$1="December",U1155)))))))))))))</f>
        <v>0</v>
      </c>
      <c r="H1148" s="74"/>
      <c r="I1148" s="76">
        <f>IF(C1152&gt;0,$K$2,C1150)</f>
        <v>13</v>
      </c>
      <c r="J1148" s="77" t="s">
        <v>77</v>
      </c>
      <c r="K1148" s="78">
        <f>K1144/$K$2*I1148</f>
        <v>8666.6666666666661</v>
      </c>
      <c r="L1148" s="79"/>
      <c r="M1148" s="57"/>
      <c r="N1148" s="100"/>
      <c r="O1148" s="101" t="s">
        <v>64</v>
      </c>
      <c r="P1148" s="101"/>
      <c r="Q1148" s="101"/>
      <c r="R1148" s="101">
        <v>0</v>
      </c>
      <c r="S1148" s="105"/>
      <c r="T1148" s="101" t="s">
        <v>64</v>
      </c>
      <c r="U1148" s="177">
        <f>IF($J$1="May",Y1147,Y1147)</f>
        <v>0</v>
      </c>
      <c r="V1148" s="103"/>
      <c r="W1148" s="177">
        <f t="shared" si="209"/>
        <v>0</v>
      </c>
      <c r="X1148" s="103"/>
      <c r="Y1148" s="177">
        <f t="shared" si="210"/>
        <v>0</v>
      </c>
      <c r="Z1148" s="106"/>
      <c r="AA1148" s="57"/>
    </row>
    <row r="1149" spans="1:27" s="55" customFormat="1" ht="21" customHeight="1" x14ac:dyDescent="0.25">
      <c r="A1149" s="56"/>
      <c r="B1149" s="66"/>
      <c r="C1149" s="66"/>
      <c r="D1149" s="57"/>
      <c r="E1149" s="57"/>
      <c r="F1149" s="75" t="s">
        <v>29</v>
      </c>
      <c r="G1149" s="70">
        <f>IF($J$1="January",V1144,IF($J$1="February",V1145,IF($J$1="March",V1146,IF($J$1="April",V1147,IF($J$1="May",V1148,IF($J$1="June",V1149,IF($J$1="July",V1150,IF($J$1="August",V1151,IF($J$1="August",V1151,IF($J$1="September",V1152,IF($J$1="October",V1153,IF($J$1="November",V1154,IF($J$1="December",V1155)))))))))))))</f>
        <v>0</v>
      </c>
      <c r="H1149" s="74"/>
      <c r="I1149" s="195">
        <v>70</v>
      </c>
      <c r="J1149" s="77" t="s">
        <v>78</v>
      </c>
      <c r="K1149" s="80">
        <f>K1144/$K$2/8*I1149</f>
        <v>5833.333333333333</v>
      </c>
      <c r="L1149" s="81"/>
      <c r="M1149" s="57"/>
      <c r="N1149" s="100"/>
      <c r="O1149" s="101" t="s">
        <v>65</v>
      </c>
      <c r="P1149" s="101">
        <v>13</v>
      </c>
      <c r="Q1149" s="101">
        <v>17</v>
      </c>
      <c r="R1149" s="101">
        <v>0</v>
      </c>
      <c r="S1149" s="105"/>
      <c r="T1149" s="101" t="s">
        <v>65</v>
      </c>
      <c r="U1149" s="177">
        <f>IF($J$1="May",Y1148,Y1148)</f>
        <v>0</v>
      </c>
      <c r="V1149" s="103"/>
      <c r="W1149" s="177">
        <f t="shared" si="209"/>
        <v>0</v>
      </c>
      <c r="X1149" s="103"/>
      <c r="Y1149" s="177">
        <f t="shared" si="210"/>
        <v>0</v>
      </c>
      <c r="Z1149" s="106"/>
      <c r="AA1149" s="57"/>
    </row>
    <row r="1150" spans="1:27" s="55" customFormat="1" ht="21" customHeight="1" x14ac:dyDescent="0.25">
      <c r="A1150" s="56"/>
      <c r="B1150" s="75" t="s">
        <v>7</v>
      </c>
      <c r="C1150" s="66">
        <f>IF($J$1="January",P1144,IF($J$1="February",P1145,IF($J$1="March",P1146,IF($J$1="April",P1147,IF($J$1="May",P1148,IF($J$1="June",P1149,IF($J$1="July",P1150,IF($J$1="August",P1151,IF($J$1="August",P1151,IF($J$1="September",P1152,IF($J$1="October",P1153,IF($J$1="November",P1154,IF($J$1="December",P1155)))))))))))))</f>
        <v>13</v>
      </c>
      <c r="D1150" s="57"/>
      <c r="E1150" s="57"/>
      <c r="F1150" s="75" t="s">
        <v>81</v>
      </c>
      <c r="G1150" s="70">
        <f>IF($J$1="January",W1144,IF($J$1="February",W1145,IF($J$1="March",W1146,IF($J$1="April",W1147,IF($J$1="May",W1148,IF($J$1="June",W1149,IF($J$1="July",W1150,IF($J$1="August",W1151,IF($J$1="August",W1151,IF($J$1="September",W1152,IF($J$1="October",W1153,IF($J$1="November",W1154,IF($J$1="December",W1155)))))))))))))</f>
        <v>0</v>
      </c>
      <c r="H1150" s="74"/>
      <c r="I1150" s="293" t="s">
        <v>85</v>
      </c>
      <c r="J1150" s="294"/>
      <c r="K1150" s="80">
        <f>K1148+K1149</f>
        <v>14500</v>
      </c>
      <c r="L1150" s="81"/>
      <c r="M1150" s="57"/>
      <c r="N1150" s="100"/>
      <c r="O1150" s="101" t="s">
        <v>66</v>
      </c>
      <c r="P1150" s="101"/>
      <c r="Q1150" s="101"/>
      <c r="R1150" s="101">
        <v>0</v>
      </c>
      <c r="S1150" s="105"/>
      <c r="T1150" s="101" t="s">
        <v>66</v>
      </c>
      <c r="U1150" s="177" t="str">
        <f>IF($J$1="July",Y1149,"")</f>
        <v/>
      </c>
      <c r="V1150" s="103"/>
      <c r="W1150" s="177" t="str">
        <f t="shared" si="209"/>
        <v/>
      </c>
      <c r="X1150" s="103"/>
      <c r="Y1150" s="177" t="str">
        <f t="shared" si="210"/>
        <v/>
      </c>
      <c r="Z1150" s="106"/>
      <c r="AA1150" s="57"/>
    </row>
    <row r="1151" spans="1:27" s="55" customFormat="1" ht="21" customHeight="1" x14ac:dyDescent="0.25">
      <c r="A1151" s="56"/>
      <c r="B1151" s="75" t="s">
        <v>6</v>
      </c>
      <c r="C1151" s="66">
        <f>IF($J$1="January",Q1144,IF($J$1="February",Q1145,IF($J$1="March",Q1146,IF($J$1="April",Q1147,IF($J$1="May",Q1148,IF($J$1="June",Q1149,IF($J$1="July",Q1150,IF($J$1="August",Q1151,IF($J$1="August",Q1151,IF($J$1="September",Q1152,IF($J$1="October",Q1153,IF($J$1="November",Q1154,IF($J$1="December",Q1155)))))))))))))</f>
        <v>17</v>
      </c>
      <c r="D1151" s="57"/>
      <c r="E1151" s="57"/>
      <c r="F1151" s="75" t="s">
        <v>30</v>
      </c>
      <c r="G1151" s="70">
        <f>IF($J$1="January",X1144,IF($J$1="February",X1145,IF($J$1="March",X1146,IF($J$1="April",X1147,IF($J$1="May",X1148,IF($J$1="June",X1149,IF($J$1="July",X1150,IF($J$1="August",X1151,IF($J$1="August",X1151,IF($J$1="September",X1152,IF($J$1="October",X1153,IF($J$1="November",X1154,IF($J$1="December",X1155)))))))))))))</f>
        <v>0</v>
      </c>
      <c r="H1151" s="74"/>
      <c r="I1151" s="293" t="s">
        <v>86</v>
      </c>
      <c r="J1151" s="294"/>
      <c r="K1151" s="70">
        <f>G1151</f>
        <v>0</v>
      </c>
      <c r="L1151" s="82"/>
      <c r="M1151" s="57"/>
      <c r="N1151" s="100"/>
      <c r="O1151" s="101" t="s">
        <v>67</v>
      </c>
      <c r="P1151" s="101"/>
      <c r="Q1151" s="101"/>
      <c r="R1151" s="101" t="str">
        <f>IF(Q1151="","",R1150-Q1151)</f>
        <v/>
      </c>
      <c r="S1151" s="105"/>
      <c r="T1151" s="101" t="s">
        <v>67</v>
      </c>
      <c r="U1151" s="177" t="str">
        <f>IF($J$1="August",Y1150,"")</f>
        <v/>
      </c>
      <c r="V1151" s="103"/>
      <c r="W1151" s="177" t="str">
        <f t="shared" si="209"/>
        <v/>
      </c>
      <c r="X1151" s="103"/>
      <c r="Y1151" s="177" t="str">
        <f t="shared" si="210"/>
        <v/>
      </c>
      <c r="Z1151" s="106"/>
      <c r="AA1151" s="57"/>
    </row>
    <row r="1152" spans="1:27" s="55" customFormat="1" ht="21" customHeight="1" x14ac:dyDescent="0.25">
      <c r="A1152" s="56"/>
      <c r="B1152" s="83" t="s">
        <v>84</v>
      </c>
      <c r="C1152" s="66">
        <f>IF($J$1="January",R1144,IF($J$1="February",R1145,IF($J$1="March",R1146,IF($J$1="April",R1147,IF($J$1="May",R1148,IF($J$1="June",R1149,IF($J$1="July",R1150,IF($J$1="August",R1151,IF($J$1="August",R1151,IF($J$1="September",R1152,IF($J$1="October",R1153,IF($J$1="November",R1154,IF($J$1="December",R1155)))))))))))))</f>
        <v>0</v>
      </c>
      <c r="D1152" s="57"/>
      <c r="E1152" s="57"/>
      <c r="F1152" s="75" t="s">
        <v>83</v>
      </c>
      <c r="G1152" s="70">
        <f>IF($J$1="January",Y1144,IF($J$1="February",Y1145,IF($J$1="March",Y1146,IF($J$1="April",Y1147,IF($J$1="May",Y1148,IF($J$1="June",Y1149,IF($J$1="July",Y1150,IF($J$1="August",Y1151,IF($J$1="August",Y1151,IF($J$1="September",Y1152,IF($J$1="October",Y1153,IF($J$1="November",Y1154,IF($J$1="December",Y1155)))))))))))))</f>
        <v>0</v>
      </c>
      <c r="H1152" s="57"/>
      <c r="I1152" s="295" t="s">
        <v>79</v>
      </c>
      <c r="J1152" s="296"/>
      <c r="K1152" s="84">
        <f>K1150-K1151</f>
        <v>14500</v>
      </c>
      <c r="L1152" s="85"/>
      <c r="M1152" s="57"/>
      <c r="N1152" s="100"/>
      <c r="O1152" s="101" t="s">
        <v>72</v>
      </c>
      <c r="P1152" s="101"/>
      <c r="Q1152" s="101"/>
      <c r="R1152" s="101">
        <v>0</v>
      </c>
      <c r="S1152" s="105"/>
      <c r="T1152" s="101" t="s">
        <v>72</v>
      </c>
      <c r="U1152" s="177" t="str">
        <f>IF($J$1="Sept",Y1151,"")</f>
        <v/>
      </c>
      <c r="V1152" s="103"/>
      <c r="W1152" s="177" t="str">
        <f t="shared" si="209"/>
        <v/>
      </c>
      <c r="X1152" s="103"/>
      <c r="Y1152" s="177" t="str">
        <f t="shared" si="210"/>
        <v/>
      </c>
      <c r="Z1152" s="106"/>
      <c r="AA1152" s="57"/>
    </row>
    <row r="1153" spans="1:27" s="55" customFormat="1" ht="21" customHeight="1" x14ac:dyDescent="0.25">
      <c r="A1153" s="56"/>
      <c r="B1153" s="57"/>
      <c r="C1153" s="57"/>
      <c r="D1153" s="57"/>
      <c r="E1153" s="57"/>
      <c r="F1153" s="57"/>
      <c r="G1153" s="57"/>
      <c r="H1153" s="57"/>
      <c r="I1153" s="57"/>
      <c r="J1153" s="57"/>
      <c r="K1153" s="57"/>
      <c r="L1153" s="73"/>
      <c r="M1153" s="57"/>
      <c r="N1153" s="100"/>
      <c r="O1153" s="101" t="s">
        <v>68</v>
      </c>
      <c r="P1153" s="101"/>
      <c r="Q1153" s="101"/>
      <c r="R1153" s="101">
        <v>0</v>
      </c>
      <c r="S1153" s="105"/>
      <c r="T1153" s="101" t="s">
        <v>68</v>
      </c>
      <c r="U1153" s="177" t="str">
        <f>IF($J$1="October",Y1152,"")</f>
        <v/>
      </c>
      <c r="V1153" s="103"/>
      <c r="W1153" s="177" t="str">
        <f t="shared" si="209"/>
        <v/>
      </c>
      <c r="X1153" s="103"/>
      <c r="Y1153" s="177" t="str">
        <f t="shared" si="210"/>
        <v/>
      </c>
      <c r="Z1153" s="106"/>
      <c r="AA1153" s="57"/>
    </row>
    <row r="1154" spans="1:27" s="55" customFormat="1" ht="21" customHeight="1" x14ac:dyDescent="0.25">
      <c r="A1154" s="56"/>
      <c r="B1154" s="284" t="s">
        <v>116</v>
      </c>
      <c r="C1154" s="284"/>
      <c r="D1154" s="284"/>
      <c r="E1154" s="284"/>
      <c r="F1154" s="284"/>
      <c r="G1154" s="284"/>
      <c r="H1154" s="284"/>
      <c r="I1154" s="284"/>
      <c r="J1154" s="284"/>
      <c r="K1154" s="284"/>
      <c r="L1154" s="73"/>
      <c r="M1154" s="57"/>
      <c r="N1154" s="100"/>
      <c r="O1154" s="101" t="s">
        <v>73</v>
      </c>
      <c r="P1154" s="101"/>
      <c r="Q1154" s="101"/>
      <c r="R1154" s="101" t="str">
        <f>IF(Q1154="","",R1153-Q1154)</f>
        <v/>
      </c>
      <c r="S1154" s="105"/>
      <c r="T1154" s="101" t="s">
        <v>73</v>
      </c>
      <c r="U1154" s="177" t="str">
        <f>IF($J$1="November",Y1153,"")</f>
        <v/>
      </c>
      <c r="V1154" s="103"/>
      <c r="W1154" s="177" t="str">
        <f t="shared" si="209"/>
        <v/>
      </c>
      <c r="X1154" s="103"/>
      <c r="Y1154" s="177" t="str">
        <f t="shared" si="210"/>
        <v/>
      </c>
      <c r="Z1154" s="106"/>
      <c r="AA1154" s="57"/>
    </row>
    <row r="1155" spans="1:27" s="55" customFormat="1" ht="21" customHeight="1" x14ac:dyDescent="0.25">
      <c r="A1155" s="56"/>
      <c r="B1155" s="284"/>
      <c r="C1155" s="284"/>
      <c r="D1155" s="284"/>
      <c r="E1155" s="284"/>
      <c r="F1155" s="284"/>
      <c r="G1155" s="284"/>
      <c r="H1155" s="284"/>
      <c r="I1155" s="284"/>
      <c r="J1155" s="284"/>
      <c r="K1155" s="284"/>
      <c r="L1155" s="73"/>
      <c r="M1155" s="57"/>
      <c r="N1155" s="100"/>
      <c r="O1155" s="101" t="s">
        <v>74</v>
      </c>
      <c r="P1155" s="101"/>
      <c r="Q1155" s="101"/>
      <c r="R1155" s="101">
        <v>0</v>
      </c>
      <c r="S1155" s="105"/>
      <c r="T1155" s="101" t="s">
        <v>74</v>
      </c>
      <c r="U1155" s="177" t="str">
        <f>IF($J$1="Dec",Y1154,"")</f>
        <v/>
      </c>
      <c r="V1155" s="103"/>
      <c r="W1155" s="177" t="str">
        <f t="shared" si="209"/>
        <v/>
      </c>
      <c r="X1155" s="103"/>
      <c r="Y1155" s="177" t="str">
        <f t="shared" si="210"/>
        <v/>
      </c>
      <c r="Z1155" s="106"/>
      <c r="AA1155" s="57"/>
    </row>
    <row r="1156" spans="1:27" s="55" customFormat="1" ht="21" customHeight="1" thickBot="1" x14ac:dyDescent="0.3">
      <c r="A1156" s="86"/>
      <c r="B1156" s="87"/>
      <c r="C1156" s="87"/>
      <c r="D1156" s="87"/>
      <c r="E1156" s="87"/>
      <c r="F1156" s="87"/>
      <c r="G1156" s="87"/>
      <c r="H1156" s="87"/>
      <c r="I1156" s="87"/>
      <c r="J1156" s="87"/>
      <c r="K1156" s="87"/>
      <c r="L1156" s="88"/>
      <c r="N1156" s="107"/>
      <c r="O1156" s="108"/>
      <c r="P1156" s="108"/>
      <c r="Q1156" s="108"/>
      <c r="R1156" s="108"/>
      <c r="S1156" s="108"/>
      <c r="T1156" s="108"/>
      <c r="U1156" s="108"/>
      <c r="V1156" s="108"/>
      <c r="W1156" s="108"/>
      <c r="X1156" s="108"/>
      <c r="Y1156" s="108"/>
      <c r="Z1156" s="109"/>
    </row>
    <row r="1157" spans="1:27" ht="21" customHeight="1" thickBot="1" x14ac:dyDescent="0.35"/>
    <row r="1158" spans="1:27" s="55" customFormat="1" ht="21" customHeight="1" x14ac:dyDescent="0.25">
      <c r="A1158" s="305" t="s">
        <v>56</v>
      </c>
      <c r="B1158" s="306"/>
      <c r="C1158" s="306"/>
      <c r="D1158" s="306"/>
      <c r="E1158" s="306"/>
      <c r="F1158" s="306"/>
      <c r="G1158" s="306"/>
      <c r="H1158" s="306"/>
      <c r="I1158" s="306"/>
      <c r="J1158" s="306"/>
      <c r="K1158" s="306"/>
      <c r="L1158" s="307"/>
      <c r="M1158" s="54"/>
      <c r="N1158" s="93"/>
      <c r="O1158" s="285" t="s">
        <v>58</v>
      </c>
      <c r="P1158" s="286"/>
      <c r="Q1158" s="286"/>
      <c r="R1158" s="287"/>
      <c r="S1158" s="94"/>
      <c r="T1158" s="285" t="s">
        <v>59</v>
      </c>
      <c r="U1158" s="286"/>
      <c r="V1158" s="286"/>
      <c r="W1158" s="286"/>
      <c r="X1158" s="286"/>
      <c r="Y1158" s="287"/>
      <c r="Z1158" s="95"/>
      <c r="AA1158" s="54"/>
    </row>
    <row r="1159" spans="1:27" s="55" customFormat="1" ht="21" customHeight="1" x14ac:dyDescent="0.25">
      <c r="A1159" s="56"/>
      <c r="B1159" s="57"/>
      <c r="C1159" s="288" t="s">
        <v>114</v>
      </c>
      <c r="D1159" s="288"/>
      <c r="E1159" s="288"/>
      <c r="F1159" s="288"/>
      <c r="G1159" s="58" t="str">
        <f>$J$1</f>
        <v>June</v>
      </c>
      <c r="H1159" s="289">
        <f>$K$1</f>
        <v>2019</v>
      </c>
      <c r="I1159" s="289"/>
      <c r="J1159" s="57"/>
      <c r="K1159" s="59"/>
      <c r="L1159" s="60"/>
      <c r="M1159" s="59"/>
      <c r="N1159" s="96"/>
      <c r="O1159" s="97" t="s">
        <v>69</v>
      </c>
      <c r="P1159" s="97" t="s">
        <v>7</v>
      </c>
      <c r="Q1159" s="97" t="s">
        <v>6</v>
      </c>
      <c r="R1159" s="97" t="s">
        <v>70</v>
      </c>
      <c r="S1159" s="98"/>
      <c r="T1159" s="97" t="s">
        <v>69</v>
      </c>
      <c r="U1159" s="97" t="s">
        <v>71</v>
      </c>
      <c r="V1159" s="97" t="s">
        <v>29</v>
      </c>
      <c r="W1159" s="97" t="s">
        <v>28</v>
      </c>
      <c r="X1159" s="97" t="s">
        <v>30</v>
      </c>
      <c r="Y1159" s="97" t="s">
        <v>75</v>
      </c>
      <c r="Z1159" s="99"/>
      <c r="AA1159" s="59"/>
    </row>
    <row r="1160" spans="1:27" s="55" customFormat="1" ht="21" customHeight="1" x14ac:dyDescent="0.25">
      <c r="A1160" s="56"/>
      <c r="B1160" s="57"/>
      <c r="C1160" s="57"/>
      <c r="D1160" s="62"/>
      <c r="E1160" s="62"/>
      <c r="F1160" s="62"/>
      <c r="G1160" s="62"/>
      <c r="H1160" s="62"/>
      <c r="I1160" s="57"/>
      <c r="J1160" s="63" t="s">
        <v>1</v>
      </c>
      <c r="K1160" s="64">
        <v>9000</v>
      </c>
      <c r="L1160" s="65"/>
      <c r="M1160" s="57"/>
      <c r="N1160" s="100"/>
      <c r="O1160" s="101" t="s">
        <v>61</v>
      </c>
      <c r="P1160" s="101"/>
      <c r="Q1160" s="101"/>
      <c r="R1160" s="101">
        <v>0</v>
      </c>
      <c r="S1160" s="102"/>
      <c r="T1160" s="101" t="s">
        <v>61</v>
      </c>
      <c r="U1160" s="103"/>
      <c r="V1160" s="103"/>
      <c r="W1160" s="103">
        <f>V1160+U1160</f>
        <v>0</v>
      </c>
      <c r="X1160" s="103"/>
      <c r="Y1160" s="103">
        <f>W1160-X1160</f>
        <v>0</v>
      </c>
      <c r="Z1160" s="99"/>
      <c r="AA1160" s="57"/>
    </row>
    <row r="1161" spans="1:27" s="55" customFormat="1" ht="21" customHeight="1" x14ac:dyDescent="0.25">
      <c r="A1161" s="56"/>
      <c r="B1161" s="57" t="s">
        <v>0</v>
      </c>
      <c r="C1161" s="67" t="s">
        <v>124</v>
      </c>
      <c r="D1161" s="57"/>
      <c r="E1161" s="57"/>
      <c r="F1161" s="57"/>
      <c r="G1161" s="57"/>
      <c r="H1161" s="68"/>
      <c r="I1161" s="62"/>
      <c r="J1161" s="57"/>
      <c r="K1161" s="57"/>
      <c r="L1161" s="69"/>
      <c r="M1161" s="54"/>
      <c r="N1161" s="104"/>
      <c r="O1161" s="101" t="s">
        <v>87</v>
      </c>
      <c r="P1161" s="101"/>
      <c r="Q1161" s="101"/>
      <c r="R1161" s="101" t="str">
        <f>IF(Q1161="","",R1160-Q1161)</f>
        <v/>
      </c>
      <c r="S1161" s="105"/>
      <c r="T1161" s="101" t="s">
        <v>87</v>
      </c>
      <c r="U1161" s="177">
        <f>Y1160</f>
        <v>0</v>
      </c>
      <c r="V1161" s="103"/>
      <c r="W1161" s="177">
        <f>IF(U1161="","",U1161+V1161)</f>
        <v>0</v>
      </c>
      <c r="X1161" s="103"/>
      <c r="Y1161" s="177">
        <f>IF(W1161="","",W1161-X1161)</f>
        <v>0</v>
      </c>
      <c r="Z1161" s="106"/>
      <c r="AA1161" s="54"/>
    </row>
    <row r="1162" spans="1:27" s="55" customFormat="1" ht="21" customHeight="1" x14ac:dyDescent="0.25">
      <c r="A1162" s="56"/>
      <c r="B1162" s="71" t="s">
        <v>57</v>
      </c>
      <c r="C1162" s="89"/>
      <c r="D1162" s="57"/>
      <c r="E1162" s="57"/>
      <c r="F1162" s="290" t="s">
        <v>59</v>
      </c>
      <c r="G1162" s="290"/>
      <c r="H1162" s="57"/>
      <c r="I1162" s="290" t="s">
        <v>60</v>
      </c>
      <c r="J1162" s="290"/>
      <c r="K1162" s="290"/>
      <c r="L1162" s="73"/>
      <c r="M1162" s="57"/>
      <c r="N1162" s="100"/>
      <c r="O1162" s="101" t="s">
        <v>62</v>
      </c>
      <c r="P1162" s="101"/>
      <c r="Q1162" s="101"/>
      <c r="R1162" s="101" t="str">
        <f t="shared" ref="R1162:R1171" si="211">IF(Q1162="","",R1161-Q1162)</f>
        <v/>
      </c>
      <c r="S1162" s="105"/>
      <c r="T1162" s="101" t="s">
        <v>62</v>
      </c>
      <c r="U1162" s="177">
        <f>IF($J$1="April",Y1161,Y1161)</f>
        <v>0</v>
      </c>
      <c r="V1162" s="103"/>
      <c r="W1162" s="177">
        <f t="shared" ref="W1162:W1171" si="212">IF(U1162="","",U1162+V1162)</f>
        <v>0</v>
      </c>
      <c r="X1162" s="103"/>
      <c r="Y1162" s="177">
        <f t="shared" ref="Y1162:Y1171" si="213">IF(W1162="","",W1162-X1162)</f>
        <v>0</v>
      </c>
      <c r="Z1162" s="106"/>
      <c r="AA1162" s="57"/>
    </row>
    <row r="1163" spans="1:27" s="55" customFormat="1" ht="21" customHeight="1" x14ac:dyDescent="0.25">
      <c r="A1163" s="56"/>
      <c r="B1163" s="57"/>
      <c r="C1163" s="57"/>
      <c r="D1163" s="57"/>
      <c r="E1163" s="57"/>
      <c r="F1163" s="57"/>
      <c r="G1163" s="57"/>
      <c r="H1163" s="74"/>
      <c r="L1163" s="61"/>
      <c r="M1163" s="57"/>
      <c r="N1163" s="100"/>
      <c r="O1163" s="101" t="s">
        <v>63</v>
      </c>
      <c r="P1163" s="101"/>
      <c r="Q1163" s="101"/>
      <c r="R1163" s="101" t="str">
        <f t="shared" si="211"/>
        <v/>
      </c>
      <c r="S1163" s="105"/>
      <c r="T1163" s="101" t="s">
        <v>63</v>
      </c>
      <c r="U1163" s="177">
        <f>IF($J$1="April",Y1162,Y1162)</f>
        <v>0</v>
      </c>
      <c r="V1163" s="103"/>
      <c r="W1163" s="177">
        <f t="shared" si="212"/>
        <v>0</v>
      </c>
      <c r="X1163" s="103"/>
      <c r="Y1163" s="177">
        <f t="shared" si="213"/>
        <v>0</v>
      </c>
      <c r="Z1163" s="106"/>
      <c r="AA1163" s="57"/>
    </row>
    <row r="1164" spans="1:27" s="55" customFormat="1" ht="21" customHeight="1" x14ac:dyDescent="0.25">
      <c r="A1164" s="56"/>
      <c r="B1164" s="291" t="s">
        <v>58</v>
      </c>
      <c r="C1164" s="292"/>
      <c r="D1164" s="57"/>
      <c r="E1164" s="57"/>
      <c r="F1164" s="75" t="s">
        <v>80</v>
      </c>
      <c r="G1164" s="70">
        <f>IF($J$1="January",U1160,IF($J$1="February",U1161,IF($J$1="March",U1162,IF($J$1="April",U1163,IF($J$1="May",U1164,IF($J$1="June",U1165,IF($J$1="July",U1166,IF($J$1="August",U1167,IF($J$1="August",U1167,IF($J$1="September",U1168,IF($J$1="October",U1169,IF($J$1="November",U1170,IF($J$1="December",U1171)))))))))))))</f>
        <v>0</v>
      </c>
      <c r="H1164" s="74"/>
      <c r="I1164" s="76"/>
      <c r="J1164" s="77" t="s">
        <v>77</v>
      </c>
      <c r="K1164" s="78">
        <f>K1160/$K$2*I1164</f>
        <v>0</v>
      </c>
      <c r="L1164" s="79"/>
      <c r="M1164" s="57"/>
      <c r="N1164" s="100"/>
      <c r="O1164" s="101" t="s">
        <v>64</v>
      </c>
      <c r="P1164" s="101"/>
      <c r="Q1164" s="101"/>
      <c r="R1164" s="101" t="str">
        <f t="shared" si="211"/>
        <v/>
      </c>
      <c r="S1164" s="105"/>
      <c r="T1164" s="101" t="s">
        <v>64</v>
      </c>
      <c r="U1164" s="177">
        <f>IF($J$1="May",Y1163,Y1163)</f>
        <v>0</v>
      </c>
      <c r="V1164" s="103"/>
      <c r="W1164" s="177">
        <f t="shared" si="212"/>
        <v>0</v>
      </c>
      <c r="X1164" s="103"/>
      <c r="Y1164" s="177">
        <f t="shared" si="213"/>
        <v>0</v>
      </c>
      <c r="Z1164" s="106"/>
      <c r="AA1164" s="57"/>
    </row>
    <row r="1165" spans="1:27" s="55" customFormat="1" ht="21" customHeight="1" x14ac:dyDescent="0.25">
      <c r="A1165" s="56"/>
      <c r="B1165" s="66"/>
      <c r="C1165" s="66"/>
      <c r="D1165" s="57"/>
      <c r="E1165" s="57"/>
      <c r="F1165" s="75" t="s">
        <v>29</v>
      </c>
      <c r="G1165" s="70">
        <f>IF($J$1="January",V1160,IF($J$1="February",V1161,IF($J$1="March",V1162,IF($J$1="April",V1163,IF($J$1="May",V1164,IF($J$1="June",V1165,IF($J$1="July",V1166,IF($J$1="August",V1167,IF($J$1="August",V1167,IF($J$1="September",V1168,IF($J$1="October",V1169,IF($J$1="November",V1170,IF($J$1="December",V1171)))))))))))))</f>
        <v>0</v>
      </c>
      <c r="H1165" s="74"/>
      <c r="I1165" s="76"/>
      <c r="J1165" s="77" t="s">
        <v>78</v>
      </c>
      <c r="K1165" s="80">
        <f>K1160/$K$2/8*I1165</f>
        <v>0</v>
      </c>
      <c r="L1165" s="81"/>
      <c r="M1165" s="57"/>
      <c r="N1165" s="100"/>
      <c r="O1165" s="101" t="s">
        <v>65</v>
      </c>
      <c r="P1165" s="101"/>
      <c r="Q1165" s="101"/>
      <c r="R1165" s="101" t="str">
        <f t="shared" si="211"/>
        <v/>
      </c>
      <c r="S1165" s="105"/>
      <c r="T1165" s="101" t="s">
        <v>65</v>
      </c>
      <c r="U1165" s="177">
        <f>IF($J$1="May",Y1164,Y1164)</f>
        <v>0</v>
      </c>
      <c r="V1165" s="103"/>
      <c r="W1165" s="177">
        <f t="shared" si="212"/>
        <v>0</v>
      </c>
      <c r="X1165" s="103"/>
      <c r="Y1165" s="177">
        <f t="shared" si="213"/>
        <v>0</v>
      </c>
      <c r="Z1165" s="106"/>
      <c r="AA1165" s="57"/>
    </row>
    <row r="1166" spans="1:27" s="55" customFormat="1" ht="21" customHeight="1" x14ac:dyDescent="0.25">
      <c r="A1166" s="56"/>
      <c r="B1166" s="75" t="s">
        <v>7</v>
      </c>
      <c r="C1166" s="66">
        <f>IF($J$1="January",P1160,IF($J$1="February",P1161,IF($J$1="March",P1162,IF($J$1="April",P1163,IF($J$1="May",P1164,IF($J$1="June",P1165,IF($J$1="July",P1166,IF($J$1="August",P1167,IF($J$1="August",P1167,IF($J$1="September",P1168,IF($J$1="October",P1169,IF($J$1="November",P1170,IF($J$1="December",P1171)))))))))))))</f>
        <v>0</v>
      </c>
      <c r="D1166" s="57"/>
      <c r="E1166" s="57"/>
      <c r="F1166" s="75" t="s">
        <v>81</v>
      </c>
      <c r="G1166" s="70">
        <f>IF($J$1="January",W1160,IF($J$1="February",W1161,IF($J$1="March",W1162,IF($J$1="April",W1163,IF($J$1="May",W1164,IF($J$1="June",W1165,IF($J$1="July",W1166,IF($J$1="August",W1167,IF($J$1="August",W1167,IF($J$1="September",W1168,IF($J$1="October",W1169,IF($J$1="November",W1170,IF($J$1="December",W1171)))))))))))))</f>
        <v>0</v>
      </c>
      <c r="H1166" s="74"/>
      <c r="I1166" s="293" t="s">
        <v>85</v>
      </c>
      <c r="J1166" s="294"/>
      <c r="K1166" s="80">
        <f>K1164+K1165</f>
        <v>0</v>
      </c>
      <c r="L1166" s="81"/>
      <c r="M1166" s="57"/>
      <c r="N1166" s="100"/>
      <c r="O1166" s="101" t="s">
        <v>66</v>
      </c>
      <c r="P1166" s="101"/>
      <c r="Q1166" s="101"/>
      <c r="R1166" s="101" t="str">
        <f t="shared" si="211"/>
        <v/>
      </c>
      <c r="S1166" s="105"/>
      <c r="T1166" s="101" t="s">
        <v>66</v>
      </c>
      <c r="U1166" s="177" t="str">
        <f>IF($J$1="July",Y1165,"")</f>
        <v/>
      </c>
      <c r="V1166" s="103"/>
      <c r="W1166" s="177" t="str">
        <f t="shared" si="212"/>
        <v/>
      </c>
      <c r="X1166" s="103"/>
      <c r="Y1166" s="177" t="str">
        <f t="shared" si="213"/>
        <v/>
      </c>
      <c r="Z1166" s="106"/>
      <c r="AA1166" s="57"/>
    </row>
    <row r="1167" spans="1:27" s="55" customFormat="1" ht="21" customHeight="1" x14ac:dyDescent="0.25">
      <c r="A1167" s="56"/>
      <c r="B1167" s="75" t="s">
        <v>6</v>
      </c>
      <c r="C1167" s="66">
        <f>IF($J$1="January",Q1160,IF($J$1="February",Q1161,IF($J$1="March",Q1162,IF($J$1="April",Q1163,IF($J$1="May",Q1164,IF($J$1="June",Q1165,IF($J$1="July",Q1166,IF($J$1="August",Q1167,IF($J$1="August",Q1167,IF($J$1="September",Q1168,IF($J$1="October",Q1169,IF($J$1="November",Q1170,IF($J$1="December",Q1171)))))))))))))</f>
        <v>0</v>
      </c>
      <c r="D1167" s="57"/>
      <c r="E1167" s="57"/>
      <c r="F1167" s="75" t="s">
        <v>30</v>
      </c>
      <c r="G1167" s="70">
        <f>IF($J$1="January",X1160,IF($J$1="February",X1161,IF($J$1="March",X1162,IF($J$1="April",X1163,IF($J$1="May",X1164,IF($J$1="June",X1165,IF($J$1="July",X1166,IF($J$1="August",X1167,IF($J$1="August",X1167,IF($J$1="September",X1168,IF($J$1="October",X1169,IF($J$1="November",X1170,IF($J$1="December",X1171)))))))))))))</f>
        <v>0</v>
      </c>
      <c r="H1167" s="74"/>
      <c r="I1167" s="293" t="s">
        <v>86</v>
      </c>
      <c r="J1167" s="294"/>
      <c r="K1167" s="70">
        <f>G1167</f>
        <v>0</v>
      </c>
      <c r="L1167" s="82"/>
      <c r="M1167" s="57"/>
      <c r="N1167" s="100"/>
      <c r="O1167" s="101" t="s">
        <v>67</v>
      </c>
      <c r="P1167" s="101"/>
      <c r="Q1167" s="101"/>
      <c r="R1167" s="101" t="str">
        <f t="shared" si="211"/>
        <v/>
      </c>
      <c r="S1167" s="105"/>
      <c r="T1167" s="101" t="s">
        <v>67</v>
      </c>
      <c r="U1167" s="177" t="str">
        <f>IF($J$1="August",Y1166,"")</f>
        <v/>
      </c>
      <c r="V1167" s="103"/>
      <c r="W1167" s="177" t="str">
        <f t="shared" si="212"/>
        <v/>
      </c>
      <c r="X1167" s="103"/>
      <c r="Y1167" s="177" t="str">
        <f t="shared" si="213"/>
        <v/>
      </c>
      <c r="Z1167" s="106"/>
      <c r="AA1167" s="57"/>
    </row>
    <row r="1168" spans="1:27" s="55" customFormat="1" ht="21" customHeight="1" x14ac:dyDescent="0.25">
      <c r="A1168" s="56"/>
      <c r="B1168" s="83" t="s">
        <v>84</v>
      </c>
      <c r="C1168" s="66" t="str">
        <f>IF($J$1="January",R1160,IF($J$1="February",R1161,IF($J$1="March",R1162,IF($J$1="April",R1163,IF($J$1="May",R1164,IF($J$1="June",R1165,IF($J$1="July",R1166,IF($J$1="August",R1167,IF($J$1="August",R1167,IF($J$1="September",R1168,IF($J$1="October",R1169,IF($J$1="November",R1170,IF($J$1="December",R1171)))))))))))))</f>
        <v/>
      </c>
      <c r="D1168" s="57"/>
      <c r="E1168" s="57"/>
      <c r="F1168" s="75" t="s">
        <v>83</v>
      </c>
      <c r="G1168" s="70">
        <f>IF($J$1="January",Y1160,IF($J$1="February",Y1161,IF($J$1="March",Y1162,IF($J$1="April",Y1163,IF($J$1="May",Y1164,IF($J$1="June",Y1165,IF($J$1="July",Y1166,IF($J$1="August",Y1167,IF($J$1="August",Y1167,IF($J$1="September",Y1168,IF($J$1="October",Y1169,IF($J$1="November",Y1170,IF($J$1="December",Y1171)))))))))))))</f>
        <v>0</v>
      </c>
      <c r="H1168" s="57"/>
      <c r="I1168" s="295" t="s">
        <v>79</v>
      </c>
      <c r="J1168" s="296"/>
      <c r="K1168" s="84">
        <f>K1166-K1167</f>
        <v>0</v>
      </c>
      <c r="L1168" s="85"/>
      <c r="M1168" s="57"/>
      <c r="N1168" s="100"/>
      <c r="O1168" s="101" t="s">
        <v>72</v>
      </c>
      <c r="P1168" s="101"/>
      <c r="Q1168" s="101"/>
      <c r="R1168" s="101" t="str">
        <f t="shared" si="211"/>
        <v/>
      </c>
      <c r="S1168" s="105"/>
      <c r="T1168" s="101" t="s">
        <v>72</v>
      </c>
      <c r="U1168" s="177" t="str">
        <f>IF($J$1="Sept",Y1167,"")</f>
        <v/>
      </c>
      <c r="V1168" s="103"/>
      <c r="W1168" s="177" t="str">
        <f t="shared" si="212"/>
        <v/>
      </c>
      <c r="X1168" s="103"/>
      <c r="Y1168" s="177" t="str">
        <f t="shared" si="213"/>
        <v/>
      </c>
      <c r="Z1168" s="106"/>
      <c r="AA1168" s="57"/>
    </row>
    <row r="1169" spans="1:27" s="55" customFormat="1" ht="21" customHeight="1" x14ac:dyDescent="0.25">
      <c r="A1169" s="56"/>
      <c r="B1169" s="57"/>
      <c r="C1169" s="57"/>
      <c r="D1169" s="57"/>
      <c r="E1169" s="57"/>
      <c r="F1169" s="57"/>
      <c r="G1169" s="57"/>
      <c r="H1169" s="57"/>
      <c r="I1169" s="57"/>
      <c r="J1169" s="57"/>
      <c r="K1169" s="57"/>
      <c r="L1169" s="73"/>
      <c r="M1169" s="57"/>
      <c r="N1169" s="100"/>
      <c r="O1169" s="101" t="s">
        <v>68</v>
      </c>
      <c r="P1169" s="101"/>
      <c r="Q1169" s="101"/>
      <c r="R1169" s="101" t="str">
        <f t="shared" si="211"/>
        <v/>
      </c>
      <c r="S1169" s="105"/>
      <c r="T1169" s="101" t="s">
        <v>68</v>
      </c>
      <c r="U1169" s="177" t="str">
        <f>IF($J$1="October",Y1168,"")</f>
        <v/>
      </c>
      <c r="V1169" s="103"/>
      <c r="W1169" s="177" t="str">
        <f t="shared" si="212"/>
        <v/>
      </c>
      <c r="X1169" s="103"/>
      <c r="Y1169" s="177" t="str">
        <f t="shared" si="213"/>
        <v/>
      </c>
      <c r="Z1169" s="106"/>
      <c r="AA1169" s="57"/>
    </row>
    <row r="1170" spans="1:27" s="55" customFormat="1" ht="21" customHeight="1" x14ac:dyDescent="0.25">
      <c r="A1170" s="56"/>
      <c r="B1170" s="284" t="s">
        <v>116</v>
      </c>
      <c r="C1170" s="284"/>
      <c r="D1170" s="284"/>
      <c r="E1170" s="284"/>
      <c r="F1170" s="284"/>
      <c r="G1170" s="284"/>
      <c r="H1170" s="284"/>
      <c r="I1170" s="284"/>
      <c r="J1170" s="284"/>
      <c r="K1170" s="284"/>
      <c r="L1170" s="73"/>
      <c r="M1170" s="57"/>
      <c r="N1170" s="100"/>
      <c r="O1170" s="101" t="s">
        <v>73</v>
      </c>
      <c r="P1170" s="101"/>
      <c r="Q1170" s="101"/>
      <c r="R1170" s="101" t="str">
        <f t="shared" si="211"/>
        <v/>
      </c>
      <c r="S1170" s="105"/>
      <c r="T1170" s="101" t="s">
        <v>73</v>
      </c>
      <c r="U1170" s="177" t="str">
        <f>IF($J$1="November",Y1169,"")</f>
        <v/>
      </c>
      <c r="V1170" s="103"/>
      <c r="W1170" s="177" t="str">
        <f t="shared" si="212"/>
        <v/>
      </c>
      <c r="X1170" s="103"/>
      <c r="Y1170" s="177" t="str">
        <f t="shared" si="213"/>
        <v/>
      </c>
      <c r="Z1170" s="106"/>
      <c r="AA1170" s="57"/>
    </row>
    <row r="1171" spans="1:27" s="55" customFormat="1" ht="21" customHeight="1" x14ac:dyDescent="0.25">
      <c r="A1171" s="56"/>
      <c r="B1171" s="284"/>
      <c r="C1171" s="284"/>
      <c r="D1171" s="284"/>
      <c r="E1171" s="284"/>
      <c r="F1171" s="284"/>
      <c r="G1171" s="284"/>
      <c r="H1171" s="284"/>
      <c r="I1171" s="284"/>
      <c r="J1171" s="284"/>
      <c r="K1171" s="284"/>
      <c r="L1171" s="73"/>
      <c r="M1171" s="57"/>
      <c r="N1171" s="100"/>
      <c r="O1171" s="101" t="s">
        <v>74</v>
      </c>
      <c r="P1171" s="101"/>
      <c r="Q1171" s="101"/>
      <c r="R1171" s="101" t="str">
        <f t="shared" si="211"/>
        <v/>
      </c>
      <c r="S1171" s="105"/>
      <c r="T1171" s="101" t="s">
        <v>74</v>
      </c>
      <c r="U1171" s="177" t="str">
        <f>IF($J$1="Dec",Y1170,"")</f>
        <v/>
      </c>
      <c r="V1171" s="103"/>
      <c r="W1171" s="177" t="str">
        <f t="shared" si="212"/>
        <v/>
      </c>
      <c r="X1171" s="103"/>
      <c r="Y1171" s="177" t="str">
        <f t="shared" si="213"/>
        <v/>
      </c>
      <c r="Z1171" s="106"/>
      <c r="AA1171" s="57"/>
    </row>
    <row r="1172" spans="1:27" s="55" customFormat="1" ht="21" customHeight="1" thickBot="1" x14ac:dyDescent="0.3">
      <c r="A1172" s="86"/>
      <c r="B1172" s="87"/>
      <c r="C1172" s="87"/>
      <c r="D1172" s="87"/>
      <c r="E1172" s="87"/>
      <c r="F1172" s="87"/>
      <c r="G1172" s="87"/>
      <c r="H1172" s="87"/>
      <c r="I1172" s="87"/>
      <c r="J1172" s="87"/>
      <c r="K1172" s="87"/>
      <c r="L1172" s="88"/>
      <c r="N1172" s="107"/>
      <c r="O1172" s="108"/>
      <c r="P1172" s="108"/>
      <c r="Q1172" s="108"/>
      <c r="R1172" s="108"/>
      <c r="S1172" s="108"/>
      <c r="T1172" s="108"/>
      <c r="U1172" s="108"/>
      <c r="V1172" s="108"/>
      <c r="W1172" s="108"/>
      <c r="X1172" s="108"/>
      <c r="Y1172" s="108"/>
      <c r="Z1172" s="109"/>
    </row>
    <row r="1173" spans="1:27" ht="21" customHeight="1" thickBot="1" x14ac:dyDescent="0.35"/>
    <row r="1174" spans="1:27" s="55" customFormat="1" ht="21" customHeight="1" x14ac:dyDescent="0.25">
      <c r="A1174" s="297" t="s">
        <v>56</v>
      </c>
      <c r="B1174" s="298"/>
      <c r="C1174" s="298"/>
      <c r="D1174" s="298"/>
      <c r="E1174" s="298"/>
      <c r="F1174" s="298"/>
      <c r="G1174" s="298"/>
      <c r="H1174" s="298"/>
      <c r="I1174" s="298"/>
      <c r="J1174" s="298"/>
      <c r="K1174" s="298"/>
      <c r="L1174" s="299"/>
      <c r="M1174" s="54"/>
      <c r="N1174" s="93"/>
      <c r="O1174" s="285" t="s">
        <v>58</v>
      </c>
      <c r="P1174" s="286"/>
      <c r="Q1174" s="286"/>
      <c r="R1174" s="287"/>
      <c r="S1174" s="94"/>
      <c r="T1174" s="285" t="s">
        <v>59</v>
      </c>
      <c r="U1174" s="286"/>
      <c r="V1174" s="286"/>
      <c r="W1174" s="286"/>
      <c r="X1174" s="286"/>
      <c r="Y1174" s="287"/>
      <c r="Z1174" s="95"/>
    </row>
    <row r="1175" spans="1:27" s="55" customFormat="1" ht="21" customHeight="1" x14ac:dyDescent="0.25">
      <c r="A1175" s="56"/>
      <c r="B1175" s="57"/>
      <c r="C1175" s="288" t="s">
        <v>114</v>
      </c>
      <c r="D1175" s="288"/>
      <c r="E1175" s="288"/>
      <c r="F1175" s="288"/>
      <c r="G1175" s="58" t="str">
        <f>$J$1</f>
        <v>June</v>
      </c>
      <c r="H1175" s="289">
        <f>$K$1</f>
        <v>2019</v>
      </c>
      <c r="I1175" s="289"/>
      <c r="J1175" s="57"/>
      <c r="K1175" s="59"/>
      <c r="L1175" s="60"/>
      <c r="M1175" s="59"/>
      <c r="N1175" s="96"/>
      <c r="O1175" s="97" t="s">
        <v>69</v>
      </c>
      <c r="P1175" s="97" t="s">
        <v>7</v>
      </c>
      <c r="Q1175" s="97" t="s">
        <v>6</v>
      </c>
      <c r="R1175" s="97" t="s">
        <v>70</v>
      </c>
      <c r="S1175" s="98"/>
      <c r="T1175" s="97" t="s">
        <v>69</v>
      </c>
      <c r="U1175" s="97" t="s">
        <v>71</v>
      </c>
      <c r="V1175" s="97" t="s">
        <v>29</v>
      </c>
      <c r="W1175" s="97" t="s">
        <v>28</v>
      </c>
      <c r="X1175" s="97" t="s">
        <v>30</v>
      </c>
      <c r="Y1175" s="97" t="s">
        <v>75</v>
      </c>
      <c r="Z1175" s="99"/>
    </row>
    <row r="1176" spans="1:27" s="55" customFormat="1" ht="21" customHeight="1" x14ac:dyDescent="0.25">
      <c r="A1176" s="56"/>
      <c r="B1176" s="57"/>
      <c r="C1176" s="57"/>
      <c r="D1176" s="62"/>
      <c r="E1176" s="62"/>
      <c r="F1176" s="62"/>
      <c r="G1176" s="62"/>
      <c r="H1176" s="62"/>
      <c r="I1176" s="57"/>
      <c r="J1176" s="63" t="s">
        <v>1</v>
      </c>
      <c r="K1176" s="64">
        <v>13000</v>
      </c>
      <c r="L1176" s="65"/>
      <c r="M1176" s="57"/>
      <c r="N1176" s="100"/>
      <c r="O1176" s="101" t="s">
        <v>61</v>
      </c>
      <c r="P1176" s="101"/>
      <c r="Q1176" s="101">
        <v>0</v>
      </c>
      <c r="R1176" s="101">
        <v>0</v>
      </c>
      <c r="S1176" s="102"/>
      <c r="T1176" s="101" t="s">
        <v>61</v>
      </c>
      <c r="U1176" s="103"/>
      <c r="V1176" s="103"/>
      <c r="W1176" s="103">
        <f>V1176+U1176</f>
        <v>0</v>
      </c>
      <c r="X1176" s="103"/>
      <c r="Y1176" s="103">
        <f>W1176-X1176</f>
        <v>0</v>
      </c>
      <c r="Z1176" s="99"/>
    </row>
    <row r="1177" spans="1:27" s="55" customFormat="1" ht="21" customHeight="1" x14ac:dyDescent="0.25">
      <c r="A1177" s="56"/>
      <c r="B1177" s="57" t="s">
        <v>0</v>
      </c>
      <c r="C1177" s="67" t="s">
        <v>181</v>
      </c>
      <c r="D1177" s="57"/>
      <c r="E1177" s="57"/>
      <c r="F1177" s="57"/>
      <c r="G1177" s="57"/>
      <c r="H1177" s="68"/>
      <c r="I1177" s="62"/>
      <c r="J1177" s="57"/>
      <c r="K1177" s="57"/>
      <c r="L1177" s="69"/>
      <c r="M1177" s="54"/>
      <c r="N1177" s="104"/>
      <c r="O1177" s="101" t="s">
        <v>87</v>
      </c>
      <c r="P1177" s="101"/>
      <c r="Q1177" s="101">
        <v>0</v>
      </c>
      <c r="R1177" s="101">
        <v>0</v>
      </c>
      <c r="S1177" s="105"/>
      <c r="T1177" s="101" t="s">
        <v>87</v>
      </c>
      <c r="U1177" s="177">
        <f>Y1176</f>
        <v>0</v>
      </c>
      <c r="V1177" s="103"/>
      <c r="W1177" s="177">
        <f>IF(U1177="","",U1177+V1177)</f>
        <v>0</v>
      </c>
      <c r="X1177" s="103"/>
      <c r="Y1177" s="177">
        <f>IF(W1177="","",W1177-X1177)</f>
        <v>0</v>
      </c>
      <c r="Z1177" s="106"/>
    </row>
    <row r="1178" spans="1:27" s="55" customFormat="1" ht="21" customHeight="1" x14ac:dyDescent="0.25">
      <c r="A1178" s="56"/>
      <c r="B1178" s="71" t="s">
        <v>57</v>
      </c>
      <c r="C1178" s="67"/>
      <c r="D1178" s="57"/>
      <c r="E1178" s="57"/>
      <c r="F1178" s="290" t="s">
        <v>59</v>
      </c>
      <c r="G1178" s="290"/>
      <c r="H1178" s="57"/>
      <c r="I1178" s="290" t="s">
        <v>60</v>
      </c>
      <c r="J1178" s="290"/>
      <c r="K1178" s="290"/>
      <c r="L1178" s="73"/>
      <c r="M1178" s="57"/>
      <c r="N1178" s="100"/>
      <c r="O1178" s="101" t="s">
        <v>62</v>
      </c>
      <c r="P1178" s="101"/>
      <c r="Q1178" s="101"/>
      <c r="R1178" s="101" t="str">
        <f t="shared" ref="R1178:R1187" si="214">IF(Q1178="","",R1177-Q1178)</f>
        <v/>
      </c>
      <c r="S1178" s="105"/>
      <c r="T1178" s="101" t="s">
        <v>62</v>
      </c>
      <c r="U1178" s="177">
        <f>IF($J$1="April",Y1177,Y1177)</f>
        <v>0</v>
      </c>
      <c r="V1178" s="103"/>
      <c r="W1178" s="177">
        <f t="shared" ref="W1178:W1187" si="215">IF(U1178="","",U1178+V1178)</f>
        <v>0</v>
      </c>
      <c r="X1178" s="103"/>
      <c r="Y1178" s="177">
        <f t="shared" ref="Y1178:Y1187" si="216">IF(W1178="","",W1178-X1178)</f>
        <v>0</v>
      </c>
      <c r="Z1178" s="106"/>
    </row>
    <row r="1179" spans="1:27" s="55" customFormat="1" ht="21" customHeight="1" x14ac:dyDescent="0.25">
      <c r="A1179" s="56"/>
      <c r="B1179" s="57"/>
      <c r="C1179" s="57"/>
      <c r="D1179" s="57"/>
      <c r="E1179" s="57"/>
      <c r="F1179" s="57"/>
      <c r="G1179" s="57"/>
      <c r="H1179" s="74"/>
      <c r="L1179" s="61"/>
      <c r="M1179" s="57"/>
      <c r="N1179" s="100"/>
      <c r="O1179" s="101" t="s">
        <v>63</v>
      </c>
      <c r="P1179" s="101">
        <v>6</v>
      </c>
      <c r="Q1179" s="101">
        <v>24</v>
      </c>
      <c r="R1179" s="101">
        <v>0</v>
      </c>
      <c r="S1179" s="105"/>
      <c r="T1179" s="101" t="s">
        <v>63</v>
      </c>
      <c r="U1179" s="177">
        <f>IF($J$1="April",Y1178,Y1178)</f>
        <v>0</v>
      </c>
      <c r="V1179" s="103"/>
      <c r="W1179" s="177">
        <f t="shared" si="215"/>
        <v>0</v>
      </c>
      <c r="X1179" s="103"/>
      <c r="Y1179" s="177">
        <f t="shared" si="216"/>
        <v>0</v>
      </c>
      <c r="Z1179" s="106"/>
    </row>
    <row r="1180" spans="1:27" s="55" customFormat="1" ht="21" customHeight="1" x14ac:dyDescent="0.25">
      <c r="A1180" s="56"/>
      <c r="B1180" s="291" t="s">
        <v>58</v>
      </c>
      <c r="C1180" s="292"/>
      <c r="D1180" s="57"/>
      <c r="E1180" s="57"/>
      <c r="F1180" s="75" t="s">
        <v>80</v>
      </c>
      <c r="G1180" s="70">
        <f>IF($J$1="January",U1176,IF($J$1="February",U1177,IF($J$1="March",U1178,IF($J$1="April",U1179,IF($J$1="May",U1180,IF($J$1="June",U1181,IF($J$1="July",U1182,IF($J$1="August",U1183,IF($J$1="August",U1183,IF($J$1="September",U1184,IF($J$1="October",U1185,IF($J$1="November",U1186,IF($J$1="December",U1187)))))))))))))</f>
        <v>0</v>
      </c>
      <c r="H1180" s="74"/>
      <c r="I1180" s="76">
        <f>IF(C1184&gt;0,$K$2,C1182)</f>
        <v>29</v>
      </c>
      <c r="J1180" s="77" t="s">
        <v>77</v>
      </c>
      <c r="K1180" s="78">
        <f>K1176/$K$2*I1180</f>
        <v>12566.666666666666</v>
      </c>
      <c r="L1180" s="79"/>
      <c r="M1180" s="57"/>
      <c r="N1180" s="100"/>
      <c r="O1180" s="101" t="s">
        <v>64</v>
      </c>
      <c r="P1180" s="101">
        <v>30</v>
      </c>
      <c r="Q1180" s="101">
        <v>1</v>
      </c>
      <c r="R1180" s="101"/>
      <c r="S1180" s="105"/>
      <c r="T1180" s="101" t="s">
        <v>64</v>
      </c>
      <c r="U1180" s="177">
        <f>IF($J$1="May",Y1179,Y1179)</f>
        <v>0</v>
      </c>
      <c r="V1180" s="103"/>
      <c r="W1180" s="177">
        <f t="shared" si="215"/>
        <v>0</v>
      </c>
      <c r="X1180" s="103"/>
      <c r="Y1180" s="177">
        <f t="shared" si="216"/>
        <v>0</v>
      </c>
      <c r="Z1180" s="106"/>
    </row>
    <row r="1181" spans="1:27" s="55" customFormat="1" ht="21" customHeight="1" x14ac:dyDescent="0.25">
      <c r="A1181" s="56"/>
      <c r="B1181" s="66"/>
      <c r="C1181" s="66"/>
      <c r="D1181" s="57"/>
      <c r="E1181" s="57"/>
      <c r="F1181" s="75" t="s">
        <v>29</v>
      </c>
      <c r="G1181" s="70">
        <f>IF($J$1="January",V1176,IF($J$1="February",V1177,IF($J$1="March",V1178,IF($J$1="April",V1179,IF($J$1="May",V1180,IF($J$1="June",V1181,IF($J$1="July",V1182,IF($J$1="August",V1183,IF($J$1="August",V1183,IF($J$1="September",V1184,IF($J$1="October",V1185,IF($J$1="November",V1186,IF($J$1="December",V1187)))))))))))))</f>
        <v>0</v>
      </c>
      <c r="H1181" s="74"/>
      <c r="I1181" s="76">
        <v>14</v>
      </c>
      <c r="J1181" s="77" t="s">
        <v>78</v>
      </c>
      <c r="K1181" s="80">
        <f>K1176/$K$2/8*I1181</f>
        <v>758.33333333333326</v>
      </c>
      <c r="L1181" s="81"/>
      <c r="M1181" s="57"/>
      <c r="N1181" s="100"/>
      <c r="O1181" s="101" t="s">
        <v>65</v>
      </c>
      <c r="P1181" s="101">
        <v>29</v>
      </c>
      <c r="Q1181" s="101">
        <v>1</v>
      </c>
      <c r="R1181" s="101">
        <f t="shared" si="214"/>
        <v>-1</v>
      </c>
      <c r="S1181" s="105"/>
      <c r="T1181" s="101" t="s">
        <v>65</v>
      </c>
      <c r="U1181" s="177">
        <f>IF($J$1="May",Y1180,Y1180)</f>
        <v>0</v>
      </c>
      <c r="V1181" s="103"/>
      <c r="W1181" s="177">
        <f t="shared" si="215"/>
        <v>0</v>
      </c>
      <c r="X1181" s="103"/>
      <c r="Y1181" s="177">
        <f t="shared" si="216"/>
        <v>0</v>
      </c>
      <c r="Z1181" s="106"/>
    </row>
    <row r="1182" spans="1:27" s="55" customFormat="1" ht="21" customHeight="1" x14ac:dyDescent="0.25">
      <c r="A1182" s="56"/>
      <c r="B1182" s="75" t="s">
        <v>7</v>
      </c>
      <c r="C1182" s="66">
        <f>IF($J$1="January",P1176,IF($J$1="February",P1177,IF($J$1="March",P1178,IF($J$1="April",P1179,IF($J$1="May",P1180,IF($J$1="June",P1181,IF($J$1="July",P1182,IF($J$1="August",P1183,IF($J$1="August",P1183,IF($J$1="September",P1184,IF($J$1="October",P1185,IF($J$1="November",P1186,IF($J$1="December",P1187)))))))))))))</f>
        <v>29</v>
      </c>
      <c r="D1182" s="57"/>
      <c r="E1182" s="57"/>
      <c r="F1182" s="75" t="s">
        <v>81</v>
      </c>
      <c r="G1182" s="70">
        <f>IF($J$1="January",W1176,IF($J$1="February",W1177,IF($J$1="March",W1178,IF($J$1="April",W1179,IF($J$1="May",W1180,IF($J$1="June",W1181,IF($J$1="July",W1182,IF($J$1="August",W1183,IF($J$1="August",W1183,IF($J$1="September",W1184,IF($J$1="October",W1185,IF($J$1="November",W1186,IF($J$1="December",W1187)))))))))))))</f>
        <v>0</v>
      </c>
      <c r="H1182" s="74"/>
      <c r="I1182" s="293" t="s">
        <v>85</v>
      </c>
      <c r="J1182" s="294"/>
      <c r="K1182" s="80">
        <f>K1180+K1181</f>
        <v>13325</v>
      </c>
      <c r="L1182" s="81"/>
      <c r="M1182" s="57"/>
      <c r="N1182" s="100"/>
      <c r="O1182" s="101" t="s">
        <v>66</v>
      </c>
      <c r="P1182" s="101"/>
      <c r="Q1182" s="101"/>
      <c r="R1182" s="101" t="str">
        <f t="shared" si="214"/>
        <v/>
      </c>
      <c r="S1182" s="105"/>
      <c r="T1182" s="101" t="s">
        <v>66</v>
      </c>
      <c r="U1182" s="177" t="str">
        <f>IF($J$1="July",Y1181,"")</f>
        <v/>
      </c>
      <c r="V1182" s="103"/>
      <c r="W1182" s="177" t="str">
        <f t="shared" si="215"/>
        <v/>
      </c>
      <c r="X1182" s="103"/>
      <c r="Y1182" s="177" t="str">
        <f t="shared" si="216"/>
        <v/>
      </c>
      <c r="Z1182" s="106"/>
    </row>
    <row r="1183" spans="1:27" s="55" customFormat="1" ht="21" customHeight="1" x14ac:dyDescent="0.25">
      <c r="A1183" s="56"/>
      <c r="B1183" s="75" t="s">
        <v>6</v>
      </c>
      <c r="C1183" s="66">
        <f>IF($J$1="January",Q1176,IF($J$1="February",Q1177,IF($J$1="March",Q1178,IF($J$1="April",Q1179,IF($J$1="May",Q1180,IF($J$1="June",Q1181,IF($J$1="July",Q1182,IF($J$1="August",Q1183,IF($J$1="August",Q1183,IF($J$1="September",Q1184,IF($J$1="October",Q1185,IF($J$1="November",Q1186,IF($J$1="December",Q1187)))))))))))))</f>
        <v>1</v>
      </c>
      <c r="D1183" s="57"/>
      <c r="E1183" s="57"/>
      <c r="F1183" s="75" t="s">
        <v>30</v>
      </c>
      <c r="G1183" s="70">
        <f>IF($J$1="January",X1176,IF($J$1="February",X1177,IF($J$1="March",X1178,IF($J$1="April",X1179,IF($J$1="May",X1180,IF($J$1="June",X1181,IF($J$1="July",X1182,IF($J$1="August",X1183,IF($J$1="August",X1183,IF($J$1="September",X1184,IF($J$1="October",X1185,IF($J$1="November",X1186,IF($J$1="December",X1187)))))))))))))</f>
        <v>0</v>
      </c>
      <c r="H1183" s="74"/>
      <c r="I1183" s="293" t="s">
        <v>86</v>
      </c>
      <c r="J1183" s="294"/>
      <c r="K1183" s="70">
        <f>G1183</f>
        <v>0</v>
      </c>
      <c r="L1183" s="82"/>
      <c r="M1183" s="57"/>
      <c r="N1183" s="100"/>
      <c r="O1183" s="101" t="s">
        <v>67</v>
      </c>
      <c r="P1183" s="101"/>
      <c r="Q1183" s="101"/>
      <c r="R1183" s="101" t="str">
        <f t="shared" si="214"/>
        <v/>
      </c>
      <c r="S1183" s="105"/>
      <c r="T1183" s="101" t="s">
        <v>67</v>
      </c>
      <c r="U1183" s="177" t="str">
        <f>IF($J$1="August",Y1182,"")</f>
        <v/>
      </c>
      <c r="V1183" s="103"/>
      <c r="W1183" s="177" t="str">
        <f t="shared" si="215"/>
        <v/>
      </c>
      <c r="X1183" s="103"/>
      <c r="Y1183" s="177" t="str">
        <f t="shared" si="216"/>
        <v/>
      </c>
      <c r="Z1183" s="106"/>
    </row>
    <row r="1184" spans="1:27" s="55" customFormat="1" ht="21" customHeight="1" x14ac:dyDescent="0.25">
      <c r="A1184" s="56"/>
      <c r="B1184" s="83" t="s">
        <v>84</v>
      </c>
      <c r="C1184" s="66">
        <f>IF($J$1="January",R1176,IF($J$1="February",R1177,IF($J$1="March",R1178,IF($J$1="April",R1179,IF($J$1="May",R1180,IF($J$1="June",R1181,IF($J$1="July",R1182,IF($J$1="August",R1183,IF($J$1="August",R1183,IF($J$1="September",R1184,IF($J$1="October",R1185,IF($J$1="November",R1186,IF($J$1="December",R1187)))))))))))))</f>
        <v>-1</v>
      </c>
      <c r="D1184" s="57"/>
      <c r="E1184" s="57"/>
      <c r="F1184" s="75" t="s">
        <v>83</v>
      </c>
      <c r="G1184" s="70">
        <f>IF($J$1="January",Y1176,IF($J$1="February",Y1177,IF($J$1="March",Y1178,IF($J$1="April",Y1179,IF($J$1="May",Y1180,IF($J$1="June",Y1181,IF($J$1="July",Y1182,IF($J$1="August",Y1183,IF($J$1="August",Y1183,IF($J$1="September",Y1184,IF($J$1="October",Y1185,IF($J$1="November",Y1186,IF($J$1="December",Y1187)))))))))))))</f>
        <v>0</v>
      </c>
      <c r="H1184" s="57"/>
      <c r="I1184" s="295" t="s">
        <v>79</v>
      </c>
      <c r="J1184" s="296"/>
      <c r="K1184" s="84">
        <f>K1182-K1183</f>
        <v>13325</v>
      </c>
      <c r="L1184" s="85"/>
      <c r="M1184" s="57"/>
      <c r="N1184" s="100"/>
      <c r="O1184" s="101" t="s">
        <v>72</v>
      </c>
      <c r="P1184" s="101"/>
      <c r="Q1184" s="101"/>
      <c r="R1184" s="101" t="str">
        <f t="shared" si="214"/>
        <v/>
      </c>
      <c r="S1184" s="105"/>
      <c r="T1184" s="101" t="s">
        <v>72</v>
      </c>
      <c r="U1184" s="177" t="str">
        <f>IF($J$1="Sept",Y1183,"")</f>
        <v/>
      </c>
      <c r="V1184" s="103"/>
      <c r="W1184" s="177" t="str">
        <f t="shared" si="215"/>
        <v/>
      </c>
      <c r="X1184" s="103"/>
      <c r="Y1184" s="177" t="str">
        <f t="shared" si="216"/>
        <v/>
      </c>
      <c r="Z1184" s="106"/>
    </row>
    <row r="1185" spans="1:26" s="55" customFormat="1" ht="21" customHeight="1" x14ac:dyDescent="0.25">
      <c r="A1185" s="56"/>
      <c r="B1185" s="57"/>
      <c r="C1185" s="57"/>
      <c r="D1185" s="57"/>
      <c r="E1185" s="57"/>
      <c r="F1185" s="57"/>
      <c r="G1185" s="57"/>
      <c r="H1185" s="57"/>
      <c r="I1185" s="57"/>
      <c r="J1185" s="57"/>
      <c r="K1185" s="57"/>
      <c r="L1185" s="73"/>
      <c r="M1185" s="57"/>
      <c r="N1185" s="100"/>
      <c r="O1185" s="101" t="s">
        <v>68</v>
      </c>
      <c r="P1185" s="101"/>
      <c r="Q1185" s="101"/>
      <c r="R1185" s="101" t="str">
        <f t="shared" si="214"/>
        <v/>
      </c>
      <c r="S1185" s="105"/>
      <c r="T1185" s="101" t="s">
        <v>68</v>
      </c>
      <c r="U1185" s="177" t="str">
        <f>IF($J$1="October",Y1184,"")</f>
        <v/>
      </c>
      <c r="V1185" s="103"/>
      <c r="W1185" s="177" t="str">
        <f t="shared" si="215"/>
        <v/>
      </c>
      <c r="X1185" s="103"/>
      <c r="Y1185" s="177" t="str">
        <f t="shared" si="216"/>
        <v/>
      </c>
      <c r="Z1185" s="106"/>
    </row>
    <row r="1186" spans="1:26" s="55" customFormat="1" ht="21" customHeight="1" x14ac:dyDescent="0.25">
      <c r="A1186" s="56"/>
      <c r="B1186" s="284" t="s">
        <v>116</v>
      </c>
      <c r="C1186" s="284"/>
      <c r="D1186" s="284"/>
      <c r="E1186" s="284"/>
      <c r="F1186" s="284"/>
      <c r="G1186" s="284"/>
      <c r="H1186" s="284"/>
      <c r="I1186" s="284"/>
      <c r="J1186" s="284"/>
      <c r="K1186" s="284"/>
      <c r="L1186" s="73"/>
      <c r="M1186" s="57"/>
      <c r="N1186" s="100"/>
      <c r="O1186" s="101" t="s">
        <v>73</v>
      </c>
      <c r="P1186" s="101"/>
      <c r="Q1186" s="101"/>
      <c r="R1186" s="101">
        <v>0</v>
      </c>
      <c r="S1186" s="105"/>
      <c r="T1186" s="101" t="s">
        <v>73</v>
      </c>
      <c r="U1186" s="177" t="str">
        <f>IF($J$1="November",Y1185,"")</f>
        <v/>
      </c>
      <c r="V1186" s="103"/>
      <c r="W1186" s="177" t="str">
        <f t="shared" si="215"/>
        <v/>
      </c>
      <c r="X1186" s="103"/>
      <c r="Y1186" s="177" t="str">
        <f t="shared" si="216"/>
        <v/>
      </c>
      <c r="Z1186" s="106"/>
    </row>
    <row r="1187" spans="1:26" s="55" customFormat="1" ht="21" customHeight="1" x14ac:dyDescent="0.25">
      <c r="A1187" s="56"/>
      <c r="B1187" s="284"/>
      <c r="C1187" s="284"/>
      <c r="D1187" s="284"/>
      <c r="E1187" s="284"/>
      <c r="F1187" s="284"/>
      <c r="G1187" s="284"/>
      <c r="H1187" s="284"/>
      <c r="I1187" s="284"/>
      <c r="J1187" s="284"/>
      <c r="K1187" s="284"/>
      <c r="L1187" s="73"/>
      <c r="M1187" s="57"/>
      <c r="N1187" s="100"/>
      <c r="O1187" s="101" t="s">
        <v>74</v>
      </c>
      <c r="P1187" s="101"/>
      <c r="Q1187" s="101"/>
      <c r="R1187" s="101" t="str">
        <f t="shared" si="214"/>
        <v/>
      </c>
      <c r="S1187" s="105"/>
      <c r="T1187" s="101" t="s">
        <v>74</v>
      </c>
      <c r="U1187" s="177" t="str">
        <f>IF($J$1="Dec",Y1186,"")</f>
        <v/>
      </c>
      <c r="V1187" s="103"/>
      <c r="W1187" s="177" t="str">
        <f t="shared" si="215"/>
        <v/>
      </c>
      <c r="X1187" s="103"/>
      <c r="Y1187" s="177" t="str">
        <f t="shared" si="216"/>
        <v/>
      </c>
      <c r="Z1187" s="106"/>
    </row>
    <row r="1188" spans="1:26" s="55" customFormat="1" ht="21" customHeight="1" thickBot="1" x14ac:dyDescent="0.3">
      <c r="A1188" s="86"/>
      <c r="B1188" s="87"/>
      <c r="C1188" s="87"/>
      <c r="D1188" s="87"/>
      <c r="E1188" s="87"/>
      <c r="F1188" s="87"/>
      <c r="G1188" s="87"/>
      <c r="H1188" s="87"/>
      <c r="I1188" s="87"/>
      <c r="J1188" s="87"/>
      <c r="K1188" s="87"/>
      <c r="L1188" s="88"/>
      <c r="N1188" s="107"/>
      <c r="O1188" s="108"/>
      <c r="P1188" s="108"/>
      <c r="Q1188" s="108"/>
      <c r="R1188" s="108"/>
      <c r="S1188" s="108"/>
      <c r="T1188" s="108"/>
      <c r="U1188" s="108"/>
      <c r="V1188" s="108"/>
      <c r="W1188" s="108"/>
      <c r="X1188" s="108"/>
      <c r="Y1188" s="108"/>
      <c r="Z1188" s="109"/>
    </row>
    <row r="1189" spans="1:26" ht="21" customHeight="1" thickBot="1" x14ac:dyDescent="0.35"/>
    <row r="1190" spans="1:26" s="55" customFormat="1" ht="21" customHeight="1" x14ac:dyDescent="0.25">
      <c r="A1190" s="297" t="s">
        <v>56</v>
      </c>
      <c r="B1190" s="298"/>
      <c r="C1190" s="298"/>
      <c r="D1190" s="298"/>
      <c r="E1190" s="298"/>
      <c r="F1190" s="298"/>
      <c r="G1190" s="298"/>
      <c r="H1190" s="298"/>
      <c r="I1190" s="298"/>
      <c r="J1190" s="298"/>
      <c r="K1190" s="298"/>
      <c r="L1190" s="299"/>
      <c r="M1190" s="115"/>
      <c r="N1190" s="93"/>
      <c r="O1190" s="285" t="s">
        <v>58</v>
      </c>
      <c r="P1190" s="286"/>
      <c r="Q1190" s="286"/>
      <c r="R1190" s="287"/>
      <c r="S1190" s="94"/>
      <c r="T1190" s="285" t="s">
        <v>59</v>
      </c>
      <c r="U1190" s="286"/>
      <c r="V1190" s="286"/>
      <c r="W1190" s="286"/>
      <c r="X1190" s="286"/>
      <c r="Y1190" s="287"/>
      <c r="Z1190" s="95"/>
    </row>
    <row r="1191" spans="1:26" s="55" customFormat="1" ht="21" customHeight="1" x14ac:dyDescent="0.25">
      <c r="A1191" s="56"/>
      <c r="B1191" s="57"/>
      <c r="C1191" s="288" t="s">
        <v>114</v>
      </c>
      <c r="D1191" s="288"/>
      <c r="E1191" s="288"/>
      <c r="F1191" s="288"/>
      <c r="G1191" s="58" t="str">
        <f>$J$1</f>
        <v>June</v>
      </c>
      <c r="H1191" s="289">
        <f>$K$1</f>
        <v>2019</v>
      </c>
      <c r="I1191" s="289"/>
      <c r="J1191" s="57"/>
      <c r="K1191" s="59"/>
      <c r="L1191" s="60"/>
      <c r="M1191" s="59"/>
      <c r="N1191" s="96"/>
      <c r="O1191" s="97" t="s">
        <v>69</v>
      </c>
      <c r="P1191" s="97" t="s">
        <v>7</v>
      </c>
      <c r="Q1191" s="97" t="s">
        <v>6</v>
      </c>
      <c r="R1191" s="97" t="s">
        <v>70</v>
      </c>
      <c r="S1191" s="98"/>
      <c r="T1191" s="97" t="s">
        <v>69</v>
      </c>
      <c r="U1191" s="97" t="s">
        <v>71</v>
      </c>
      <c r="V1191" s="97" t="s">
        <v>29</v>
      </c>
      <c r="W1191" s="97" t="s">
        <v>28</v>
      </c>
      <c r="X1191" s="97" t="s">
        <v>30</v>
      </c>
      <c r="Y1191" s="97" t="s">
        <v>75</v>
      </c>
      <c r="Z1191" s="99"/>
    </row>
    <row r="1192" spans="1:26" s="55" customFormat="1" ht="21" customHeight="1" x14ac:dyDescent="0.25">
      <c r="A1192" s="56"/>
      <c r="B1192" s="57"/>
      <c r="C1192" s="57"/>
      <c r="D1192" s="62"/>
      <c r="E1192" s="62"/>
      <c r="F1192" s="62"/>
      <c r="G1192" s="62"/>
      <c r="H1192" s="62"/>
      <c r="I1192" s="57"/>
      <c r="J1192" s="63" t="s">
        <v>1</v>
      </c>
      <c r="K1192" s="64">
        <v>13000</v>
      </c>
      <c r="L1192" s="65"/>
      <c r="M1192" s="57"/>
      <c r="N1192" s="100"/>
      <c r="O1192" s="101" t="s">
        <v>61</v>
      </c>
      <c r="P1192" s="101">
        <v>29</v>
      </c>
      <c r="Q1192" s="101">
        <v>2</v>
      </c>
      <c r="R1192" s="101">
        <v>0</v>
      </c>
      <c r="S1192" s="102"/>
      <c r="T1192" s="101" t="s">
        <v>61</v>
      </c>
      <c r="U1192" s="103"/>
      <c r="V1192" s="103">
        <f>2000+1000+500</f>
        <v>3500</v>
      </c>
      <c r="W1192" s="103">
        <f>V1192+U1192</f>
        <v>3500</v>
      </c>
      <c r="X1192" s="103">
        <v>3500</v>
      </c>
      <c r="Y1192" s="103">
        <f>W1192-X1192</f>
        <v>0</v>
      </c>
      <c r="Z1192" s="99"/>
    </row>
    <row r="1193" spans="1:26" s="55" customFormat="1" ht="21" customHeight="1" x14ac:dyDescent="0.25">
      <c r="A1193" s="56"/>
      <c r="B1193" s="57" t="s">
        <v>0</v>
      </c>
      <c r="C1193" s="112" t="s">
        <v>137</v>
      </c>
      <c r="D1193" s="57"/>
      <c r="E1193" s="57"/>
      <c r="F1193" s="57"/>
      <c r="G1193" s="57"/>
      <c r="H1193" s="68"/>
      <c r="I1193" s="62"/>
      <c r="J1193" s="57"/>
      <c r="K1193" s="57"/>
      <c r="L1193" s="69"/>
      <c r="M1193" s="115"/>
      <c r="N1193" s="104"/>
      <c r="O1193" s="101" t="s">
        <v>87</v>
      </c>
      <c r="P1193" s="101">
        <v>27</v>
      </c>
      <c r="Q1193" s="101">
        <v>1</v>
      </c>
      <c r="R1193" s="101">
        <v>0</v>
      </c>
      <c r="S1193" s="105"/>
      <c r="T1193" s="101" t="s">
        <v>87</v>
      </c>
      <c r="U1193" s="177"/>
      <c r="V1193" s="103">
        <f>5500+1000</f>
        <v>6500</v>
      </c>
      <c r="W1193" s="103">
        <f>V1193+U1193</f>
        <v>6500</v>
      </c>
      <c r="X1193" s="103">
        <v>6500</v>
      </c>
      <c r="Y1193" s="177">
        <f>IF(W1193="","",W1193-X1193)</f>
        <v>0</v>
      </c>
      <c r="Z1193" s="106"/>
    </row>
    <row r="1194" spans="1:26" s="55" customFormat="1" ht="21" customHeight="1" x14ac:dyDescent="0.25">
      <c r="A1194" s="56"/>
      <c r="B1194" s="71" t="s">
        <v>57</v>
      </c>
      <c r="C1194" s="112"/>
      <c r="D1194" s="57"/>
      <c r="E1194" s="57"/>
      <c r="F1194" s="290" t="s">
        <v>59</v>
      </c>
      <c r="G1194" s="290"/>
      <c r="H1194" s="57"/>
      <c r="I1194" s="290" t="s">
        <v>60</v>
      </c>
      <c r="J1194" s="290"/>
      <c r="K1194" s="290"/>
      <c r="L1194" s="73"/>
      <c r="M1194" s="57"/>
      <c r="N1194" s="100"/>
      <c r="O1194" s="101" t="s">
        <v>62</v>
      </c>
      <c r="P1194" s="101">
        <v>29</v>
      </c>
      <c r="Q1194" s="101">
        <v>2</v>
      </c>
      <c r="R1194" s="101">
        <v>0</v>
      </c>
      <c r="S1194" s="105"/>
      <c r="T1194" s="101" t="s">
        <v>62</v>
      </c>
      <c r="U1194" s="177"/>
      <c r="V1194" s="103">
        <f>1000+5500+1000+1500+1000+500</f>
        <v>10500</v>
      </c>
      <c r="W1194" s="103">
        <f>V1194+U1194</f>
        <v>10500</v>
      </c>
      <c r="X1194" s="103">
        <v>10500</v>
      </c>
      <c r="Y1194" s="177">
        <f t="shared" ref="Y1194:Y1203" si="217">IF(W1194="","",W1194-X1194)</f>
        <v>0</v>
      </c>
      <c r="Z1194" s="106"/>
    </row>
    <row r="1195" spans="1:26" s="55" customFormat="1" ht="21" customHeight="1" x14ac:dyDescent="0.25">
      <c r="A1195" s="56"/>
      <c r="B1195" s="57"/>
      <c r="C1195" s="57"/>
      <c r="D1195" s="57"/>
      <c r="E1195" s="57"/>
      <c r="F1195" s="57"/>
      <c r="G1195" s="57"/>
      <c r="H1195" s="74"/>
      <c r="L1195" s="61"/>
      <c r="M1195" s="57"/>
      <c r="N1195" s="100"/>
      <c r="O1195" s="101" t="s">
        <v>63</v>
      </c>
      <c r="P1195" s="101">
        <v>26</v>
      </c>
      <c r="Q1195" s="101">
        <v>4</v>
      </c>
      <c r="R1195" s="101">
        <v>0</v>
      </c>
      <c r="S1195" s="105"/>
      <c r="T1195" s="101" t="s">
        <v>63</v>
      </c>
      <c r="U1195" s="177">
        <f>Y1194</f>
        <v>0</v>
      </c>
      <c r="V1195" s="103">
        <f>1000+5000+2000+2000</f>
        <v>10000</v>
      </c>
      <c r="W1195" s="177">
        <f t="shared" ref="W1195:W1203" si="218">IF(U1195="","",U1195+V1195)</f>
        <v>10000</v>
      </c>
      <c r="X1195" s="103">
        <v>10000</v>
      </c>
      <c r="Y1195" s="177">
        <f t="shared" si="217"/>
        <v>0</v>
      </c>
      <c r="Z1195" s="106"/>
    </row>
    <row r="1196" spans="1:26" s="55" customFormat="1" ht="21" customHeight="1" x14ac:dyDescent="0.25">
      <c r="A1196" s="56"/>
      <c r="B1196" s="291" t="s">
        <v>58</v>
      </c>
      <c r="C1196" s="292"/>
      <c r="D1196" s="57"/>
      <c r="E1196" s="57"/>
      <c r="F1196" s="75" t="s">
        <v>80</v>
      </c>
      <c r="G1196" s="70">
        <f>IF($J$1="January",U1192,IF($J$1="February",U1193,IF($J$1="March",U1194,IF($J$1="April",U1195,IF($J$1="May",U1196,IF($J$1="June",U1197,IF($J$1="July",U1198,IF($J$1="August",U1199,IF($J$1="August",U1199,IF($J$1="September",U1200,IF($J$1="October",U1201,IF($J$1="November",U1202,IF($J$1="December",U1203)))))))))))))</f>
        <v>0</v>
      </c>
      <c r="H1196" s="74"/>
      <c r="I1196" s="76">
        <f>IF(C1200&gt;0,$K$2,C1198)</f>
        <v>26</v>
      </c>
      <c r="J1196" s="77" t="s">
        <v>77</v>
      </c>
      <c r="K1196" s="78">
        <f>K1192/$K$2*I1196</f>
        <v>11266.666666666666</v>
      </c>
      <c r="L1196" s="79"/>
      <c r="M1196" s="57"/>
      <c r="N1196" s="100"/>
      <c r="O1196" s="101" t="s">
        <v>64</v>
      </c>
      <c r="P1196" s="101">
        <v>28</v>
      </c>
      <c r="Q1196" s="101">
        <v>3</v>
      </c>
      <c r="R1196" s="101">
        <v>0</v>
      </c>
      <c r="S1196" s="105"/>
      <c r="T1196" s="101" t="s">
        <v>64</v>
      </c>
      <c r="U1196" s="177"/>
      <c r="V1196" s="103">
        <f>2000+1000+7500</f>
        <v>10500</v>
      </c>
      <c r="W1196" s="177">
        <f>V1196+U1196</f>
        <v>10500</v>
      </c>
      <c r="X1196" s="103">
        <v>10500</v>
      </c>
      <c r="Y1196" s="177">
        <f t="shared" si="217"/>
        <v>0</v>
      </c>
      <c r="Z1196" s="106"/>
    </row>
    <row r="1197" spans="1:26" s="55" customFormat="1" ht="21" customHeight="1" x14ac:dyDescent="0.25">
      <c r="A1197" s="56"/>
      <c r="B1197" s="66"/>
      <c r="C1197" s="66"/>
      <c r="D1197" s="57"/>
      <c r="E1197" s="57"/>
      <c r="F1197" s="75" t="s">
        <v>29</v>
      </c>
      <c r="G1197" s="70">
        <f>IF($J$1="January",V1192,IF($J$1="February",V1193,IF($J$1="March",V1194,IF($J$1="April",V1195,IF($J$1="May",V1196,IF($J$1="June",V1197,IF($J$1="July",V1198,IF($J$1="August",V1199,IF($J$1="August",V1199,IF($J$1="September",V1200,IF($J$1="October",V1201,IF($J$1="November",V1202,IF($J$1="December",V1203)))))))))))))</f>
        <v>10000</v>
      </c>
      <c r="H1197" s="74"/>
      <c r="I1197" s="120">
        <v>9.1199999999999992</v>
      </c>
      <c r="J1197" s="77" t="s">
        <v>78</v>
      </c>
      <c r="K1197" s="80">
        <f>K1192/$K$2/8*I1197</f>
        <v>493.99999999999994</v>
      </c>
      <c r="L1197" s="81"/>
      <c r="M1197" s="57"/>
      <c r="N1197" s="100"/>
      <c r="O1197" s="101" t="s">
        <v>65</v>
      </c>
      <c r="P1197" s="101">
        <v>26</v>
      </c>
      <c r="Q1197" s="101">
        <v>4</v>
      </c>
      <c r="R1197" s="101">
        <v>0</v>
      </c>
      <c r="S1197" s="105"/>
      <c r="T1197" s="101" t="s">
        <v>65</v>
      </c>
      <c r="U1197" s="177">
        <f>Y1196</f>
        <v>0</v>
      </c>
      <c r="V1197" s="103">
        <f>5500+1000+1000+2500</f>
        <v>10000</v>
      </c>
      <c r="W1197" s="177">
        <f t="shared" si="218"/>
        <v>10000</v>
      </c>
      <c r="X1197" s="103">
        <v>1760</v>
      </c>
      <c r="Y1197" s="177">
        <f t="shared" si="217"/>
        <v>8240</v>
      </c>
      <c r="Z1197" s="106"/>
    </row>
    <row r="1198" spans="1:26" s="55" customFormat="1" ht="21" customHeight="1" x14ac:dyDescent="0.25">
      <c r="A1198" s="56"/>
      <c r="B1198" s="75" t="s">
        <v>7</v>
      </c>
      <c r="C1198" s="66">
        <f>IF($J$1="January",P1192,IF($J$1="February",P1193,IF($J$1="March",P1194,IF($J$1="April",P1195,IF($J$1="May",P1196,IF($J$1="June",P1197,IF($J$1="July",P1198,IF($J$1="August",P1199,IF($J$1="August",P1199,IF($J$1="September",P1200,IF($J$1="October",P1201,IF($J$1="November",P1202,IF($J$1="December",P1203)))))))))))))</f>
        <v>26</v>
      </c>
      <c r="D1198" s="57"/>
      <c r="E1198" s="57"/>
      <c r="F1198" s="75" t="s">
        <v>81</v>
      </c>
      <c r="G1198" s="70">
        <f>IF($J$1="January",W1192,IF($J$1="February",W1193,IF($J$1="March",W1194,IF($J$1="April",W1195,IF($J$1="May",W1196,IF($J$1="June",W1197,IF($J$1="July",W1198,IF($J$1="August",W1199,IF($J$1="August",W1199,IF($J$1="September",W1200,IF($J$1="October",W1201,IF($J$1="November",W1202,IF($J$1="December",W1203)))))))))))))</f>
        <v>10000</v>
      </c>
      <c r="H1198" s="74"/>
      <c r="I1198" s="293" t="s">
        <v>85</v>
      </c>
      <c r="J1198" s="294"/>
      <c r="K1198" s="80">
        <f>K1196+K1197</f>
        <v>11760.666666666666</v>
      </c>
      <c r="L1198" s="81"/>
      <c r="M1198" s="57"/>
      <c r="N1198" s="100"/>
      <c r="O1198" s="101" t="s">
        <v>66</v>
      </c>
      <c r="P1198" s="101"/>
      <c r="Q1198" s="101"/>
      <c r="R1198" s="101" t="str">
        <f>IF(Q1198="","",R1197-Q1198)</f>
        <v/>
      </c>
      <c r="S1198" s="105"/>
      <c r="T1198" s="101" t="s">
        <v>66</v>
      </c>
      <c r="U1198" s="177"/>
      <c r="V1198" s="103"/>
      <c r="W1198" s="177" t="str">
        <f t="shared" si="218"/>
        <v/>
      </c>
      <c r="X1198" s="103"/>
      <c r="Y1198" s="177" t="str">
        <f t="shared" si="217"/>
        <v/>
      </c>
      <c r="Z1198" s="106"/>
    </row>
    <row r="1199" spans="1:26" s="55" customFormat="1" ht="21" customHeight="1" x14ac:dyDescent="0.25">
      <c r="A1199" s="56"/>
      <c r="B1199" s="75" t="s">
        <v>6</v>
      </c>
      <c r="C1199" s="66">
        <f>IF($J$1="January",Q1192,IF($J$1="February",Q1193,IF($J$1="March",Q1194,IF($J$1="April",Q1195,IF($J$1="May",Q1196,IF($J$1="June",Q1197,IF($J$1="July",Q1198,IF($J$1="August",Q1199,IF($J$1="August",Q1199,IF($J$1="September",Q1200,IF($J$1="October",Q1201,IF($J$1="November",Q1202,IF($J$1="December",Q1203)))))))))))))</f>
        <v>4</v>
      </c>
      <c r="D1199" s="57"/>
      <c r="E1199" s="57"/>
      <c r="F1199" s="75" t="s">
        <v>30</v>
      </c>
      <c r="G1199" s="70">
        <f>IF($J$1="January",X1192,IF($J$1="February",X1193,IF($J$1="March",X1194,IF($J$1="April",X1195,IF($J$1="May",X1196,IF($J$1="June",X1197,IF($J$1="July",X1198,IF($J$1="August",X1199,IF($J$1="August",X1199,IF($J$1="September",X1200,IF($J$1="October",X1201,IF($J$1="November",X1202,IF($J$1="December",X1203)))))))))))))</f>
        <v>1760</v>
      </c>
      <c r="H1199" s="74"/>
      <c r="I1199" s="293" t="s">
        <v>86</v>
      </c>
      <c r="J1199" s="294"/>
      <c r="K1199" s="70">
        <f>G1199</f>
        <v>1760</v>
      </c>
      <c r="L1199" s="82"/>
      <c r="M1199" s="57"/>
      <c r="N1199" s="100"/>
      <c r="O1199" s="101" t="s">
        <v>67</v>
      </c>
      <c r="P1199" s="101"/>
      <c r="Q1199" s="101"/>
      <c r="R1199" s="101">
        <v>0</v>
      </c>
      <c r="S1199" s="105"/>
      <c r="T1199" s="101" t="s">
        <v>67</v>
      </c>
      <c r="U1199" s="177"/>
      <c r="V1199" s="103"/>
      <c r="W1199" s="177" t="str">
        <f t="shared" si="218"/>
        <v/>
      </c>
      <c r="X1199" s="103"/>
      <c r="Y1199" s="177" t="str">
        <f t="shared" si="217"/>
        <v/>
      </c>
      <c r="Z1199" s="106"/>
    </row>
    <row r="1200" spans="1:26" s="55" customFormat="1" ht="21" customHeight="1" x14ac:dyDescent="0.25">
      <c r="A1200" s="56"/>
      <c r="B1200" s="83" t="s">
        <v>84</v>
      </c>
      <c r="C1200" s="66">
        <f>IF($J$1="January",R1192,IF($J$1="February",R1193,IF($J$1="March",R1194,IF($J$1="April",R1195,IF($J$1="May",R1196,IF($J$1="June",R1197,IF($J$1="July",R1198,IF($J$1="August",R1199,IF($J$1="August",R1199,IF($J$1="September",R1200,IF($J$1="October",R1201,IF($J$1="November",R1202,IF($J$1="December",R1203)))))))))))))</f>
        <v>0</v>
      </c>
      <c r="D1200" s="57"/>
      <c r="E1200" s="57"/>
      <c r="F1200" s="75" t="s">
        <v>83</v>
      </c>
      <c r="G1200" s="70">
        <f>IF($J$1="January",Y1192,IF($J$1="February",Y1193,IF($J$1="March",Y1194,IF($J$1="April",Y1195,IF($J$1="May",Y1196,IF($J$1="June",Y1197,IF($J$1="July",Y1198,IF($J$1="August",Y1199,IF($J$1="August",Y1199,IF($J$1="September",Y1200,IF($J$1="October",Y1201,IF($J$1="November",Y1202,IF($J$1="December",Y1203)))))))))))))</f>
        <v>8240</v>
      </c>
      <c r="H1200" s="57"/>
      <c r="I1200" s="295" t="s">
        <v>79</v>
      </c>
      <c r="J1200" s="296"/>
      <c r="K1200" s="84">
        <f>K1198-K1199</f>
        <v>10000.666666666666</v>
      </c>
      <c r="L1200" s="85"/>
      <c r="M1200" s="57"/>
      <c r="N1200" s="100"/>
      <c r="O1200" s="101" t="s">
        <v>72</v>
      </c>
      <c r="P1200" s="101"/>
      <c r="Q1200" s="101"/>
      <c r="R1200" s="101">
        <v>0</v>
      </c>
      <c r="S1200" s="105"/>
      <c r="T1200" s="101" t="s">
        <v>72</v>
      </c>
      <c r="U1200" s="177"/>
      <c r="V1200" s="103"/>
      <c r="W1200" s="177" t="str">
        <f t="shared" si="218"/>
        <v/>
      </c>
      <c r="X1200" s="103"/>
      <c r="Y1200" s="177" t="str">
        <f t="shared" si="217"/>
        <v/>
      </c>
      <c r="Z1200" s="106"/>
    </row>
    <row r="1201" spans="1:26" s="55" customFormat="1" ht="21" customHeight="1" x14ac:dyDescent="0.25">
      <c r="A1201" s="56"/>
      <c r="B1201" s="57"/>
      <c r="C1201" s="57"/>
      <c r="D1201" s="57"/>
      <c r="E1201" s="57"/>
      <c r="F1201" s="57"/>
      <c r="G1201" s="57"/>
      <c r="H1201" s="57"/>
      <c r="I1201" s="57"/>
      <c r="J1201" s="57"/>
      <c r="K1201" s="57"/>
      <c r="L1201" s="73"/>
      <c r="M1201" s="57"/>
      <c r="N1201" s="100"/>
      <c r="O1201" s="101" t="s">
        <v>68</v>
      </c>
      <c r="P1201" s="101"/>
      <c r="Q1201" s="101"/>
      <c r="R1201" s="101">
        <v>0</v>
      </c>
      <c r="S1201" s="105"/>
      <c r="T1201" s="101" t="s">
        <v>68</v>
      </c>
      <c r="U1201" s="177"/>
      <c r="V1201" s="103"/>
      <c r="W1201" s="177" t="str">
        <f t="shared" si="218"/>
        <v/>
      </c>
      <c r="X1201" s="103"/>
      <c r="Y1201" s="177" t="str">
        <f t="shared" si="217"/>
        <v/>
      </c>
      <c r="Z1201" s="106"/>
    </row>
    <row r="1202" spans="1:26" s="55" customFormat="1" ht="21" customHeight="1" x14ac:dyDescent="0.25">
      <c r="A1202" s="56"/>
      <c r="B1202" s="284" t="s">
        <v>116</v>
      </c>
      <c r="C1202" s="284"/>
      <c r="D1202" s="284"/>
      <c r="E1202" s="284"/>
      <c r="F1202" s="284"/>
      <c r="G1202" s="284"/>
      <c r="H1202" s="284"/>
      <c r="I1202" s="284"/>
      <c r="J1202" s="284"/>
      <c r="K1202" s="284"/>
      <c r="L1202" s="73"/>
      <c r="M1202" s="57"/>
      <c r="N1202" s="100"/>
      <c r="O1202" s="101" t="s">
        <v>73</v>
      </c>
      <c r="P1202" s="101"/>
      <c r="Q1202" s="101"/>
      <c r="R1202" s="101">
        <v>0</v>
      </c>
      <c r="S1202" s="105"/>
      <c r="T1202" s="101" t="s">
        <v>73</v>
      </c>
      <c r="U1202" s="177"/>
      <c r="V1202" s="103"/>
      <c r="W1202" s="177" t="str">
        <f t="shared" si="218"/>
        <v/>
      </c>
      <c r="X1202" s="103"/>
      <c r="Y1202" s="177" t="str">
        <f t="shared" si="217"/>
        <v/>
      </c>
      <c r="Z1202" s="106"/>
    </row>
    <row r="1203" spans="1:26" s="55" customFormat="1" ht="21" customHeight="1" x14ac:dyDescent="0.25">
      <c r="A1203" s="56"/>
      <c r="B1203" s="284"/>
      <c r="C1203" s="284"/>
      <c r="D1203" s="284"/>
      <c r="E1203" s="284"/>
      <c r="F1203" s="284"/>
      <c r="G1203" s="284"/>
      <c r="H1203" s="284"/>
      <c r="I1203" s="284"/>
      <c r="J1203" s="284"/>
      <c r="K1203" s="284"/>
      <c r="L1203" s="73"/>
      <c r="M1203" s="57"/>
      <c r="N1203" s="100"/>
      <c r="O1203" s="101" t="s">
        <v>74</v>
      </c>
      <c r="P1203" s="101"/>
      <c r="Q1203" s="101"/>
      <c r="R1203" s="101">
        <v>0</v>
      </c>
      <c r="S1203" s="105"/>
      <c r="T1203" s="101" t="s">
        <v>74</v>
      </c>
      <c r="U1203" s="177"/>
      <c r="V1203" s="103"/>
      <c r="W1203" s="177" t="str">
        <f t="shared" si="218"/>
        <v/>
      </c>
      <c r="X1203" s="103"/>
      <c r="Y1203" s="177" t="str">
        <f t="shared" si="217"/>
        <v/>
      </c>
      <c r="Z1203" s="106"/>
    </row>
    <row r="1204" spans="1:26" s="55" customFormat="1" ht="21" customHeight="1" thickBot="1" x14ac:dyDescent="0.3">
      <c r="A1204" s="86"/>
      <c r="B1204" s="87"/>
      <c r="C1204" s="87"/>
      <c r="D1204" s="87"/>
      <c r="E1204" s="87"/>
      <c r="F1204" s="87"/>
      <c r="G1204" s="87"/>
      <c r="H1204" s="87"/>
      <c r="I1204" s="87"/>
      <c r="J1204" s="87"/>
      <c r="K1204" s="87"/>
      <c r="L1204" s="88"/>
      <c r="N1204" s="107"/>
      <c r="O1204" s="108"/>
      <c r="P1204" s="108"/>
      <c r="Q1204" s="108"/>
      <c r="R1204" s="108"/>
      <c r="S1204" s="108"/>
      <c r="T1204" s="108"/>
      <c r="U1204" s="108"/>
      <c r="V1204" s="108"/>
      <c r="W1204" s="108"/>
      <c r="X1204" s="108"/>
      <c r="Y1204" s="108"/>
      <c r="Z1204" s="109"/>
    </row>
    <row r="1205" spans="1:26" ht="21" customHeight="1" x14ac:dyDescent="0.3"/>
    <row r="1206" spans="1:26" ht="21" customHeight="1" thickBot="1" x14ac:dyDescent="0.35"/>
    <row r="1207" spans="1:26" s="55" customFormat="1" ht="21" customHeight="1" x14ac:dyDescent="0.25">
      <c r="A1207" s="297" t="s">
        <v>56</v>
      </c>
      <c r="B1207" s="298"/>
      <c r="C1207" s="298"/>
      <c r="D1207" s="298"/>
      <c r="E1207" s="298"/>
      <c r="F1207" s="298"/>
      <c r="G1207" s="298"/>
      <c r="H1207" s="298"/>
      <c r="I1207" s="298"/>
      <c r="J1207" s="298"/>
      <c r="K1207" s="298"/>
      <c r="L1207" s="299"/>
      <c r="M1207" s="142"/>
      <c r="N1207" s="93"/>
      <c r="O1207" s="285" t="s">
        <v>58</v>
      </c>
      <c r="P1207" s="286"/>
      <c r="Q1207" s="286"/>
      <c r="R1207" s="287"/>
      <c r="S1207" s="94"/>
      <c r="T1207" s="285" t="s">
        <v>59</v>
      </c>
      <c r="U1207" s="286"/>
      <c r="V1207" s="286"/>
      <c r="W1207" s="286"/>
      <c r="X1207" s="286"/>
      <c r="Y1207" s="287"/>
      <c r="Z1207" s="95"/>
    </row>
    <row r="1208" spans="1:26" s="55" customFormat="1" ht="21" customHeight="1" x14ac:dyDescent="0.25">
      <c r="A1208" s="56"/>
      <c r="B1208" s="57"/>
      <c r="C1208" s="288" t="s">
        <v>114</v>
      </c>
      <c r="D1208" s="288"/>
      <c r="E1208" s="288"/>
      <c r="F1208" s="288"/>
      <c r="G1208" s="58" t="str">
        <f>$J$1</f>
        <v>June</v>
      </c>
      <c r="H1208" s="289">
        <f>$K$1</f>
        <v>2019</v>
      </c>
      <c r="I1208" s="289"/>
      <c r="J1208" s="57"/>
      <c r="K1208" s="59"/>
      <c r="L1208" s="60"/>
      <c r="M1208" s="59"/>
      <c r="N1208" s="96"/>
      <c r="O1208" s="97" t="s">
        <v>69</v>
      </c>
      <c r="P1208" s="97" t="s">
        <v>7</v>
      </c>
      <c r="Q1208" s="97" t="s">
        <v>6</v>
      </c>
      <c r="R1208" s="97" t="s">
        <v>70</v>
      </c>
      <c r="S1208" s="98"/>
      <c r="T1208" s="97" t="s">
        <v>69</v>
      </c>
      <c r="U1208" s="97" t="s">
        <v>71</v>
      </c>
      <c r="V1208" s="97" t="s">
        <v>29</v>
      </c>
      <c r="W1208" s="97" t="s">
        <v>28</v>
      </c>
      <c r="X1208" s="97" t="s">
        <v>30</v>
      </c>
      <c r="Y1208" s="97" t="s">
        <v>75</v>
      </c>
      <c r="Z1208" s="99"/>
    </row>
    <row r="1209" spans="1:26" s="55" customFormat="1" ht="21" customHeight="1" x14ac:dyDescent="0.25">
      <c r="A1209" s="56"/>
      <c r="B1209" s="57"/>
      <c r="C1209" s="57"/>
      <c r="D1209" s="62"/>
      <c r="E1209" s="62"/>
      <c r="F1209" s="62"/>
      <c r="G1209" s="62"/>
      <c r="H1209" s="62"/>
      <c r="I1209" s="57"/>
      <c r="J1209" s="63" t="s">
        <v>1</v>
      </c>
      <c r="K1209" s="64">
        <v>24000</v>
      </c>
      <c r="L1209" s="65"/>
      <c r="M1209" s="57"/>
      <c r="N1209" s="100"/>
      <c r="O1209" s="101" t="s">
        <v>61</v>
      </c>
      <c r="P1209" s="101"/>
      <c r="Q1209" s="101"/>
      <c r="R1209" s="101">
        <v>0</v>
      </c>
      <c r="S1209" s="102"/>
      <c r="T1209" s="101" t="s">
        <v>61</v>
      </c>
      <c r="U1209" s="103"/>
      <c r="V1209" s="103"/>
      <c r="W1209" s="103">
        <f>V1209+U1209</f>
        <v>0</v>
      </c>
      <c r="X1209" s="103"/>
      <c r="Y1209" s="103">
        <f>W1209-X1209</f>
        <v>0</v>
      </c>
      <c r="Z1209" s="99"/>
    </row>
    <row r="1210" spans="1:26" s="55" customFormat="1" ht="21" customHeight="1" x14ac:dyDescent="0.25">
      <c r="A1210" s="56"/>
      <c r="B1210" s="57" t="s">
        <v>0</v>
      </c>
      <c r="C1210" s="112" t="s">
        <v>173</v>
      </c>
      <c r="D1210" s="57"/>
      <c r="E1210" s="57"/>
      <c r="F1210" s="57"/>
      <c r="G1210" s="57"/>
      <c r="H1210" s="68"/>
      <c r="I1210" s="62"/>
      <c r="J1210" s="57"/>
      <c r="K1210" s="57"/>
      <c r="L1210" s="69"/>
      <c r="M1210" s="142"/>
      <c r="N1210" s="104"/>
      <c r="O1210" s="101" t="s">
        <v>87</v>
      </c>
      <c r="P1210" s="101">
        <v>8</v>
      </c>
      <c r="Q1210" s="101"/>
      <c r="R1210" s="101">
        <v>0</v>
      </c>
      <c r="S1210" s="105"/>
      <c r="T1210" s="101" t="s">
        <v>87</v>
      </c>
      <c r="U1210" s="177">
        <f>Y1209</f>
        <v>0</v>
      </c>
      <c r="V1210" s="103"/>
      <c r="W1210" s="177">
        <f>IF(U1210="","",U1210+V1210)</f>
        <v>0</v>
      </c>
      <c r="X1210" s="103"/>
      <c r="Y1210" s="177">
        <f>IF(W1210="","",W1210-X1210)</f>
        <v>0</v>
      </c>
      <c r="Z1210" s="106"/>
    </row>
    <row r="1211" spans="1:26" s="55" customFormat="1" ht="21" customHeight="1" x14ac:dyDescent="0.25">
      <c r="A1211" s="56"/>
      <c r="B1211" s="71" t="s">
        <v>57</v>
      </c>
      <c r="C1211" s="112"/>
      <c r="D1211" s="57"/>
      <c r="E1211" s="57"/>
      <c r="F1211" s="290" t="s">
        <v>59</v>
      </c>
      <c r="G1211" s="290"/>
      <c r="H1211" s="57"/>
      <c r="I1211" s="290" t="s">
        <v>60</v>
      </c>
      <c r="J1211" s="290"/>
      <c r="K1211" s="290"/>
      <c r="L1211" s="73"/>
      <c r="M1211" s="57"/>
      <c r="N1211" s="100"/>
      <c r="O1211" s="101" t="s">
        <v>62</v>
      </c>
      <c r="P1211" s="101">
        <v>31</v>
      </c>
      <c r="Q1211" s="101">
        <v>0</v>
      </c>
      <c r="R1211" s="101">
        <v>0</v>
      </c>
      <c r="S1211" s="105"/>
      <c r="T1211" s="101" t="s">
        <v>62</v>
      </c>
      <c r="U1211" s="177">
        <f>IF($J$1="April",Y1210,Y1210)</f>
        <v>0</v>
      </c>
      <c r="V1211" s="103">
        <f>1000+1000+2000+2000</f>
        <v>6000</v>
      </c>
      <c r="W1211" s="177">
        <f t="shared" ref="W1211:W1220" si="219">IF(U1211="","",U1211+V1211)</f>
        <v>6000</v>
      </c>
      <c r="X1211" s="103">
        <v>6000</v>
      </c>
      <c r="Y1211" s="177">
        <f t="shared" ref="Y1211:Y1220" si="220">IF(W1211="","",W1211-X1211)</f>
        <v>0</v>
      </c>
      <c r="Z1211" s="106"/>
    </row>
    <row r="1212" spans="1:26" s="55" customFormat="1" ht="21" customHeight="1" x14ac:dyDescent="0.25">
      <c r="A1212" s="56"/>
      <c r="B1212" s="57"/>
      <c r="C1212" s="57"/>
      <c r="D1212" s="57"/>
      <c r="E1212" s="57"/>
      <c r="F1212" s="57"/>
      <c r="G1212" s="57"/>
      <c r="H1212" s="74"/>
      <c r="L1212" s="61"/>
      <c r="M1212" s="57"/>
      <c r="N1212" s="100"/>
      <c r="O1212" s="101" t="s">
        <v>63</v>
      </c>
      <c r="P1212" s="101">
        <v>29</v>
      </c>
      <c r="Q1212" s="101">
        <v>1</v>
      </c>
      <c r="R1212" s="101">
        <v>0</v>
      </c>
      <c r="S1212" s="105"/>
      <c r="T1212" s="101" t="s">
        <v>63</v>
      </c>
      <c r="U1212" s="177">
        <f>IF($J$1="April",Y1211,Y1211)</f>
        <v>0</v>
      </c>
      <c r="V1212" s="103">
        <f>1000+3000+2000</f>
        <v>6000</v>
      </c>
      <c r="W1212" s="177">
        <f t="shared" si="219"/>
        <v>6000</v>
      </c>
      <c r="X1212" s="103">
        <v>6000</v>
      </c>
      <c r="Y1212" s="177">
        <f t="shared" si="220"/>
        <v>0</v>
      </c>
      <c r="Z1212" s="106"/>
    </row>
    <row r="1213" spans="1:26" s="55" customFormat="1" ht="21" customHeight="1" x14ac:dyDescent="0.25">
      <c r="A1213" s="56"/>
      <c r="B1213" s="291" t="s">
        <v>58</v>
      </c>
      <c r="C1213" s="292"/>
      <c r="D1213" s="57"/>
      <c r="E1213" s="57"/>
      <c r="F1213" s="75" t="s">
        <v>80</v>
      </c>
      <c r="G1213" s="70">
        <f>IF($J$1="January",U1209,IF($J$1="February",U1210,IF($J$1="March",U1211,IF($J$1="April",U1212,IF($J$1="May",U1213,IF($J$1="June",U1214,IF($J$1="July",U1215,IF($J$1="August",U1216,IF($J$1="August",U1216,IF($J$1="September",U1217,IF($J$1="October",U1218,IF($J$1="November",U1219,IF($J$1="December",U1220)))))))))))))</f>
        <v>0</v>
      </c>
      <c r="H1213" s="74"/>
      <c r="I1213" s="76">
        <v>3</v>
      </c>
      <c r="J1213" s="77" t="s">
        <v>77</v>
      </c>
      <c r="K1213" s="78">
        <f>K1209/$K$2*I1213</f>
        <v>2400</v>
      </c>
      <c r="L1213" s="79"/>
      <c r="M1213" s="57"/>
      <c r="N1213" s="100"/>
      <c r="O1213" s="101" t="s">
        <v>64</v>
      </c>
      <c r="P1213" s="101">
        <v>30</v>
      </c>
      <c r="Q1213" s="101">
        <v>1</v>
      </c>
      <c r="R1213" s="101">
        <v>0</v>
      </c>
      <c r="S1213" s="105"/>
      <c r="T1213" s="101" t="s">
        <v>64</v>
      </c>
      <c r="U1213" s="177">
        <f>IF($J$1="May",Y1212,Y1212)</f>
        <v>0</v>
      </c>
      <c r="V1213" s="103">
        <f>5000+2000</f>
        <v>7000</v>
      </c>
      <c r="W1213" s="177">
        <f t="shared" si="219"/>
        <v>7000</v>
      </c>
      <c r="X1213" s="103">
        <v>7000</v>
      </c>
      <c r="Y1213" s="177">
        <f t="shared" si="220"/>
        <v>0</v>
      </c>
      <c r="Z1213" s="106"/>
    </row>
    <row r="1214" spans="1:26" s="55" customFormat="1" ht="21" customHeight="1" x14ac:dyDescent="0.25">
      <c r="A1214" s="56"/>
      <c r="B1214" s="66"/>
      <c r="C1214" s="66"/>
      <c r="D1214" s="57"/>
      <c r="E1214" s="57"/>
      <c r="F1214" s="75" t="s">
        <v>29</v>
      </c>
      <c r="G1214" s="70">
        <f>IF($J$1="January",V1209,IF($J$1="February",V1210,IF($J$1="March",V1211,IF($J$1="April",V1212,IF($J$1="May",V1213,IF($J$1="June",V1214,IF($J$1="July",V1215,IF($J$1="August",V1216,IF($J$1="August",V1216,IF($J$1="September",V1217,IF($J$1="October",V1218,IF($J$1="November",V1219,IF($J$1="December",V1220)))))))))))))</f>
        <v>0</v>
      </c>
      <c r="H1214" s="74"/>
      <c r="I1214" s="120"/>
      <c r="J1214" s="77" t="s">
        <v>78</v>
      </c>
      <c r="K1214" s="80">
        <f>K1209/$K$2/8*I1214</f>
        <v>0</v>
      </c>
      <c r="L1214" s="81"/>
      <c r="M1214" s="57"/>
      <c r="N1214" s="100"/>
      <c r="O1214" s="101" t="s">
        <v>65</v>
      </c>
      <c r="P1214" s="101"/>
      <c r="Q1214" s="101"/>
      <c r="R1214" s="101" t="str">
        <f t="shared" ref="R1214:R1220" si="221">IF(Q1214="","",R1213-Q1214)</f>
        <v/>
      </c>
      <c r="S1214" s="105"/>
      <c r="T1214" s="101" t="s">
        <v>65</v>
      </c>
      <c r="U1214" s="177">
        <f>IF($J$1="May",Y1213,Y1213)</f>
        <v>0</v>
      </c>
      <c r="V1214" s="103"/>
      <c r="W1214" s="177">
        <f t="shared" si="219"/>
        <v>0</v>
      </c>
      <c r="X1214" s="103"/>
      <c r="Y1214" s="177">
        <f t="shared" si="220"/>
        <v>0</v>
      </c>
      <c r="Z1214" s="106"/>
    </row>
    <row r="1215" spans="1:26" s="55" customFormat="1" ht="21" customHeight="1" x14ac:dyDescent="0.25">
      <c r="A1215" s="56"/>
      <c r="B1215" s="75" t="s">
        <v>7</v>
      </c>
      <c r="C1215" s="66">
        <f>IF($J$1="January",P1209,IF($J$1="February",P1210,IF($J$1="March",P1211,IF($J$1="April",P1212,IF($J$1="May",P1213,IF($J$1="June",P1214,IF($J$1="July",P1215,IF($J$1="August",P1216,IF($J$1="August",P1216,IF($J$1="September",P1217,IF($J$1="October",P1218,IF($J$1="November",P1219,IF($J$1="December",P1220)))))))))))))</f>
        <v>0</v>
      </c>
      <c r="D1215" s="57"/>
      <c r="E1215" s="57"/>
      <c r="F1215" s="75" t="s">
        <v>81</v>
      </c>
      <c r="G1215" s="70">
        <f>IF($J$1="January",W1209,IF($J$1="February",W1210,IF($J$1="March",W1211,IF($J$1="April",W1212,IF($J$1="May",W1213,IF($J$1="June",W1214,IF($J$1="July",W1215,IF($J$1="August",W1216,IF($J$1="August",W1216,IF($J$1="September",W1217,IF($J$1="October",W1218,IF($J$1="November",W1219,IF($J$1="December",W1220)))))))))))))</f>
        <v>0</v>
      </c>
      <c r="H1215" s="74"/>
      <c r="I1215" s="293" t="s">
        <v>85</v>
      </c>
      <c r="J1215" s="294"/>
      <c r="K1215" s="80">
        <f>K1213+K1214</f>
        <v>2400</v>
      </c>
      <c r="L1215" s="81"/>
      <c r="M1215" s="57"/>
      <c r="N1215" s="100"/>
      <c r="O1215" s="101" t="s">
        <v>66</v>
      </c>
      <c r="P1215" s="101"/>
      <c r="Q1215" s="101"/>
      <c r="R1215" s="101"/>
      <c r="S1215" s="105"/>
      <c r="T1215" s="101" t="s">
        <v>66</v>
      </c>
      <c r="U1215" s="177">
        <f>IF($J$1="May",Y1214,Y1214)</f>
        <v>0</v>
      </c>
      <c r="V1215" s="103"/>
      <c r="W1215" s="177">
        <f t="shared" si="219"/>
        <v>0</v>
      </c>
      <c r="X1215" s="103"/>
      <c r="Y1215" s="177">
        <f t="shared" si="220"/>
        <v>0</v>
      </c>
      <c r="Z1215" s="106"/>
    </row>
    <row r="1216" spans="1:26" s="55" customFormat="1" ht="21" customHeight="1" x14ac:dyDescent="0.25">
      <c r="A1216" s="56"/>
      <c r="B1216" s="75" t="s">
        <v>6</v>
      </c>
      <c r="C1216" s="66">
        <f>IF($J$1="January",Q1209,IF($J$1="February",Q1210,IF($J$1="March",Q1211,IF($J$1="April",Q1212,IF($J$1="May",Q1213,IF($J$1="June",Q1214,IF($J$1="July",Q1215,IF($J$1="August",Q1216,IF($J$1="August",Q1216,IF($J$1="September",Q1217,IF($J$1="October",Q1218,IF($J$1="November",Q1219,IF($J$1="December",Q1220)))))))))))))</f>
        <v>0</v>
      </c>
      <c r="D1216" s="57"/>
      <c r="E1216" s="57"/>
      <c r="F1216" s="75" t="s">
        <v>30</v>
      </c>
      <c r="G1216" s="70">
        <f>IF($J$1="January",X1209,IF($J$1="February",X1210,IF($J$1="March",X1211,IF($J$1="April",X1212,IF($J$1="May",X1213,IF($J$1="June",X1214,IF($J$1="July",X1215,IF($J$1="August",X1216,IF($J$1="August",X1216,IF($J$1="September",X1217,IF($J$1="October",X1218,IF($J$1="November",X1219,IF($J$1="December",X1220)))))))))))))</f>
        <v>0</v>
      </c>
      <c r="H1216" s="74"/>
      <c r="I1216" s="293" t="s">
        <v>86</v>
      </c>
      <c r="J1216" s="294"/>
      <c r="K1216" s="70">
        <f>G1216</f>
        <v>0</v>
      </c>
      <c r="L1216" s="82"/>
      <c r="M1216" s="57"/>
      <c r="N1216" s="100"/>
      <c r="O1216" s="101" t="s">
        <v>67</v>
      </c>
      <c r="P1216" s="101"/>
      <c r="Q1216" s="101"/>
      <c r="R1216" s="101">
        <v>0</v>
      </c>
      <c r="S1216" s="105"/>
      <c r="T1216" s="101" t="s">
        <v>67</v>
      </c>
      <c r="U1216" s="177">
        <f>IF($J$1="May",Y1215,Y1215)</f>
        <v>0</v>
      </c>
      <c r="V1216" s="103"/>
      <c r="W1216" s="177">
        <f t="shared" si="219"/>
        <v>0</v>
      </c>
      <c r="X1216" s="103"/>
      <c r="Y1216" s="177">
        <f t="shared" si="220"/>
        <v>0</v>
      </c>
      <c r="Z1216" s="106"/>
    </row>
    <row r="1217" spans="1:26" s="55" customFormat="1" ht="21" customHeight="1" x14ac:dyDescent="0.25">
      <c r="A1217" s="56"/>
      <c r="B1217" s="83" t="s">
        <v>84</v>
      </c>
      <c r="C1217" s="66" t="str">
        <f>IF($J$1="January",R1209,IF($J$1="February",R1210,IF($J$1="March",R1211,IF($J$1="April",R1212,IF($J$1="May",R1213,IF($J$1="June",R1214,IF($J$1="July",R1215,IF($J$1="August",R1216,IF($J$1="August",R1216,IF($J$1="September",R1217,IF($J$1="October",R1218,IF($J$1="November",R1219,IF($J$1="December",R1220)))))))))))))</f>
        <v/>
      </c>
      <c r="D1217" s="57"/>
      <c r="E1217" s="57"/>
      <c r="F1217" s="75" t="s">
        <v>83</v>
      </c>
      <c r="G1217" s="70">
        <f>IF($J$1="January",Y1209,IF($J$1="February",Y1210,IF($J$1="March",Y1211,IF($J$1="April",Y1212,IF($J$1="May",Y1213,IF($J$1="June",Y1214,IF($J$1="July",Y1215,IF($J$1="August",Y1216,IF($J$1="August",Y1216,IF($J$1="September",Y1217,IF($J$1="October",Y1218,IF($J$1="November",Y1219,IF($J$1="December",Y1220)))))))))))))</f>
        <v>0</v>
      </c>
      <c r="H1217" s="57"/>
      <c r="I1217" s="295" t="s">
        <v>79</v>
      </c>
      <c r="J1217" s="296"/>
      <c r="K1217" s="84">
        <f>K1215-K1216</f>
        <v>2400</v>
      </c>
      <c r="L1217" s="85"/>
      <c r="M1217" s="57"/>
      <c r="N1217" s="100"/>
      <c r="O1217" s="101" t="s">
        <v>72</v>
      </c>
      <c r="P1217" s="101"/>
      <c r="Q1217" s="101"/>
      <c r="R1217" s="101" t="str">
        <f t="shared" si="221"/>
        <v/>
      </c>
      <c r="S1217" s="105"/>
      <c r="T1217" s="101" t="s">
        <v>72</v>
      </c>
      <c r="U1217" s="177">
        <f>IF($J$1="May",Y1216,Y1216)</f>
        <v>0</v>
      </c>
      <c r="V1217" s="103"/>
      <c r="W1217" s="177">
        <f t="shared" si="219"/>
        <v>0</v>
      </c>
      <c r="X1217" s="103"/>
      <c r="Y1217" s="177">
        <f t="shared" si="220"/>
        <v>0</v>
      </c>
      <c r="Z1217" s="106"/>
    </row>
    <row r="1218" spans="1:26" s="55" customFormat="1" ht="21" customHeight="1" x14ac:dyDescent="0.25">
      <c r="A1218" s="56"/>
      <c r="B1218" s="57"/>
      <c r="C1218" s="57"/>
      <c r="D1218" s="57"/>
      <c r="E1218" s="57"/>
      <c r="F1218" s="57"/>
      <c r="G1218" s="57"/>
      <c r="H1218" s="57"/>
      <c r="I1218" s="57"/>
      <c r="J1218" s="57"/>
      <c r="K1218" s="57"/>
      <c r="L1218" s="73"/>
      <c r="M1218" s="57"/>
      <c r="N1218" s="100"/>
      <c r="O1218" s="101" t="s">
        <v>68</v>
      </c>
      <c r="P1218" s="101"/>
      <c r="Q1218" s="101"/>
      <c r="R1218" s="101">
        <v>0</v>
      </c>
      <c r="S1218" s="105"/>
      <c r="T1218" s="101" t="s">
        <v>68</v>
      </c>
      <c r="U1218" s="177">
        <f t="shared" ref="U1218:U1219" si="222">Y1217</f>
        <v>0</v>
      </c>
      <c r="V1218" s="103"/>
      <c r="W1218" s="177">
        <f t="shared" si="219"/>
        <v>0</v>
      </c>
      <c r="X1218" s="103"/>
      <c r="Y1218" s="177">
        <f t="shared" si="220"/>
        <v>0</v>
      </c>
      <c r="Z1218" s="106"/>
    </row>
    <row r="1219" spans="1:26" s="55" customFormat="1" ht="21" customHeight="1" x14ac:dyDescent="0.25">
      <c r="A1219" s="56"/>
      <c r="B1219" s="284" t="s">
        <v>116</v>
      </c>
      <c r="C1219" s="284"/>
      <c r="D1219" s="284"/>
      <c r="E1219" s="284"/>
      <c r="F1219" s="284"/>
      <c r="G1219" s="284"/>
      <c r="H1219" s="284"/>
      <c r="I1219" s="284"/>
      <c r="J1219" s="284"/>
      <c r="K1219" s="284"/>
      <c r="L1219" s="73"/>
      <c r="M1219" s="57"/>
      <c r="N1219" s="100"/>
      <c r="O1219" s="101" t="s">
        <v>73</v>
      </c>
      <c r="P1219" s="101"/>
      <c r="Q1219" s="101"/>
      <c r="R1219" s="101" t="str">
        <f t="shared" si="221"/>
        <v/>
      </c>
      <c r="S1219" s="105"/>
      <c r="T1219" s="101" t="s">
        <v>73</v>
      </c>
      <c r="U1219" s="177">
        <f t="shared" si="222"/>
        <v>0</v>
      </c>
      <c r="V1219" s="103"/>
      <c r="W1219" s="177">
        <f t="shared" si="219"/>
        <v>0</v>
      </c>
      <c r="X1219" s="103"/>
      <c r="Y1219" s="177">
        <f t="shared" si="220"/>
        <v>0</v>
      </c>
      <c r="Z1219" s="106"/>
    </row>
    <row r="1220" spans="1:26" s="55" customFormat="1" ht="21" customHeight="1" x14ac:dyDescent="0.25">
      <c r="A1220" s="56"/>
      <c r="B1220" s="284"/>
      <c r="C1220" s="284"/>
      <c r="D1220" s="284"/>
      <c r="E1220" s="284"/>
      <c r="F1220" s="284"/>
      <c r="G1220" s="284"/>
      <c r="H1220" s="284"/>
      <c r="I1220" s="284"/>
      <c r="J1220" s="284"/>
      <c r="K1220" s="284"/>
      <c r="L1220" s="73"/>
      <c r="M1220" s="57"/>
      <c r="N1220" s="100"/>
      <c r="O1220" s="101" t="s">
        <v>74</v>
      </c>
      <c r="P1220" s="101"/>
      <c r="Q1220" s="101"/>
      <c r="R1220" s="101" t="str">
        <f t="shared" si="221"/>
        <v/>
      </c>
      <c r="S1220" s="105"/>
      <c r="T1220" s="101" t="s">
        <v>74</v>
      </c>
      <c r="U1220" s="177" t="str">
        <f>IF($J$1="Dec",Y1219,"")</f>
        <v/>
      </c>
      <c r="V1220" s="103"/>
      <c r="W1220" s="177" t="str">
        <f t="shared" si="219"/>
        <v/>
      </c>
      <c r="X1220" s="103"/>
      <c r="Y1220" s="177" t="str">
        <f t="shared" si="220"/>
        <v/>
      </c>
      <c r="Z1220" s="106"/>
    </row>
    <row r="1221" spans="1:26" s="55" customFormat="1" ht="21" customHeight="1" thickBot="1" x14ac:dyDescent="0.3">
      <c r="A1221" s="86"/>
      <c r="B1221" s="87"/>
      <c r="C1221" s="87"/>
      <c r="D1221" s="87"/>
      <c r="E1221" s="87"/>
      <c r="F1221" s="87"/>
      <c r="G1221" s="87"/>
      <c r="H1221" s="87"/>
      <c r="I1221" s="87"/>
      <c r="J1221" s="87"/>
      <c r="K1221" s="87"/>
      <c r="L1221" s="88"/>
      <c r="N1221" s="107"/>
      <c r="O1221" s="108"/>
      <c r="P1221" s="108"/>
      <c r="Q1221" s="108"/>
      <c r="R1221" s="108"/>
      <c r="S1221" s="108"/>
      <c r="T1221" s="108"/>
      <c r="U1221" s="108"/>
      <c r="V1221" s="108"/>
      <c r="W1221" s="108"/>
      <c r="X1221" s="108"/>
      <c r="Y1221" s="108"/>
      <c r="Z1221" s="109"/>
    </row>
    <row r="1222" spans="1:26" ht="21" customHeight="1" thickBot="1" x14ac:dyDescent="0.35"/>
    <row r="1223" spans="1:26" s="55" customFormat="1" ht="21" customHeight="1" x14ac:dyDescent="0.25">
      <c r="A1223" s="297" t="s">
        <v>56</v>
      </c>
      <c r="B1223" s="298"/>
      <c r="C1223" s="298"/>
      <c r="D1223" s="298"/>
      <c r="E1223" s="298"/>
      <c r="F1223" s="298"/>
      <c r="G1223" s="298"/>
      <c r="H1223" s="298"/>
      <c r="I1223" s="298"/>
      <c r="J1223" s="298"/>
      <c r="K1223" s="298"/>
      <c r="L1223" s="299"/>
      <c r="M1223" s="142"/>
      <c r="N1223" s="93"/>
      <c r="O1223" s="285" t="s">
        <v>58</v>
      </c>
      <c r="P1223" s="286"/>
      <c r="Q1223" s="286"/>
      <c r="R1223" s="287"/>
      <c r="S1223" s="94"/>
      <c r="T1223" s="285" t="s">
        <v>59</v>
      </c>
      <c r="U1223" s="286"/>
      <c r="V1223" s="286"/>
      <c r="W1223" s="286"/>
      <c r="X1223" s="286"/>
      <c r="Y1223" s="287"/>
      <c r="Z1223" s="95"/>
    </row>
    <row r="1224" spans="1:26" s="55" customFormat="1" ht="21" customHeight="1" x14ac:dyDescent="0.25">
      <c r="A1224" s="56"/>
      <c r="B1224" s="57"/>
      <c r="C1224" s="288" t="s">
        <v>114</v>
      </c>
      <c r="D1224" s="288"/>
      <c r="E1224" s="288"/>
      <c r="F1224" s="288"/>
      <c r="G1224" s="58" t="str">
        <f>$J$1</f>
        <v>June</v>
      </c>
      <c r="H1224" s="289">
        <f>$K$1</f>
        <v>2019</v>
      </c>
      <c r="I1224" s="289"/>
      <c r="J1224" s="57"/>
      <c r="K1224" s="59"/>
      <c r="L1224" s="60"/>
      <c r="M1224" s="59"/>
      <c r="N1224" s="96"/>
      <c r="O1224" s="97" t="s">
        <v>69</v>
      </c>
      <c r="P1224" s="97" t="s">
        <v>7</v>
      </c>
      <c r="Q1224" s="97" t="s">
        <v>6</v>
      </c>
      <c r="R1224" s="97" t="s">
        <v>70</v>
      </c>
      <c r="S1224" s="98"/>
      <c r="T1224" s="97" t="s">
        <v>69</v>
      </c>
      <c r="U1224" s="97" t="s">
        <v>71</v>
      </c>
      <c r="V1224" s="97" t="s">
        <v>29</v>
      </c>
      <c r="W1224" s="97" t="s">
        <v>28</v>
      </c>
      <c r="X1224" s="97" t="s">
        <v>30</v>
      </c>
      <c r="Y1224" s="97" t="s">
        <v>75</v>
      </c>
      <c r="Z1224" s="99"/>
    </row>
    <row r="1225" spans="1:26" s="55" customFormat="1" ht="21" customHeight="1" x14ac:dyDescent="0.25">
      <c r="A1225" s="56"/>
      <c r="B1225" s="57"/>
      <c r="C1225" s="57"/>
      <c r="D1225" s="62"/>
      <c r="E1225" s="62"/>
      <c r="F1225" s="62"/>
      <c r="G1225" s="62"/>
      <c r="H1225" s="62"/>
      <c r="I1225" s="57"/>
      <c r="J1225" s="63" t="s">
        <v>1</v>
      </c>
      <c r="K1225" s="64">
        <v>16000</v>
      </c>
      <c r="L1225" s="65"/>
      <c r="M1225" s="57"/>
      <c r="N1225" s="100"/>
      <c r="O1225" s="101" t="s">
        <v>61</v>
      </c>
      <c r="P1225" s="101">
        <v>28</v>
      </c>
      <c r="Q1225" s="101">
        <v>3</v>
      </c>
      <c r="R1225" s="101">
        <v>0</v>
      </c>
      <c r="S1225" s="102"/>
      <c r="T1225" s="101" t="s">
        <v>61</v>
      </c>
      <c r="U1225" s="103"/>
      <c r="V1225" s="103"/>
      <c r="W1225" s="103">
        <f>V1225+U1225</f>
        <v>0</v>
      </c>
      <c r="X1225" s="103"/>
      <c r="Y1225" s="103">
        <f>W1225-X1225</f>
        <v>0</v>
      </c>
      <c r="Z1225" s="99"/>
    </row>
    <row r="1226" spans="1:26" s="55" customFormat="1" ht="21" customHeight="1" x14ac:dyDescent="0.25">
      <c r="A1226" s="56"/>
      <c r="B1226" s="57" t="s">
        <v>0</v>
      </c>
      <c r="C1226" s="112" t="s">
        <v>170</v>
      </c>
      <c r="D1226" s="57"/>
      <c r="E1226" s="57"/>
      <c r="F1226" s="57"/>
      <c r="G1226" s="57"/>
      <c r="H1226" s="68"/>
      <c r="I1226" s="62"/>
      <c r="J1226" s="57"/>
      <c r="K1226" s="57"/>
      <c r="L1226" s="69"/>
      <c r="M1226" s="142"/>
      <c r="N1226" s="104"/>
      <c r="O1226" s="101" t="s">
        <v>87</v>
      </c>
      <c r="P1226" s="101">
        <v>24</v>
      </c>
      <c r="Q1226" s="101">
        <v>4</v>
      </c>
      <c r="R1226" s="101">
        <v>0</v>
      </c>
      <c r="S1226" s="105"/>
      <c r="T1226" s="101" t="s">
        <v>87</v>
      </c>
      <c r="U1226" s="177">
        <f>Y1225</f>
        <v>0</v>
      </c>
      <c r="V1226" s="103"/>
      <c r="W1226" s="177">
        <f>IF(U1226="","",U1226+V1226)</f>
        <v>0</v>
      </c>
      <c r="X1226" s="103"/>
      <c r="Y1226" s="177">
        <f>IF(W1226="","",W1226-X1226)</f>
        <v>0</v>
      </c>
      <c r="Z1226" s="106"/>
    </row>
    <row r="1227" spans="1:26" s="55" customFormat="1" ht="21" customHeight="1" x14ac:dyDescent="0.25">
      <c r="A1227" s="56"/>
      <c r="B1227" s="71" t="s">
        <v>57</v>
      </c>
      <c r="C1227" s="112"/>
      <c r="D1227" s="57"/>
      <c r="E1227" s="57"/>
      <c r="F1227" s="290" t="s">
        <v>59</v>
      </c>
      <c r="G1227" s="290"/>
      <c r="H1227" s="57"/>
      <c r="I1227" s="290" t="s">
        <v>60</v>
      </c>
      <c r="J1227" s="290"/>
      <c r="K1227" s="290"/>
      <c r="L1227" s="73"/>
      <c r="M1227" s="57"/>
      <c r="N1227" s="100"/>
      <c r="O1227" s="101" t="s">
        <v>62</v>
      </c>
      <c r="P1227" s="101">
        <v>21</v>
      </c>
      <c r="Q1227" s="101">
        <v>10</v>
      </c>
      <c r="R1227" s="101">
        <v>0</v>
      </c>
      <c r="S1227" s="105"/>
      <c r="T1227" s="101" t="s">
        <v>62</v>
      </c>
      <c r="U1227" s="177">
        <f>IF($J$1="April",Y1226,Y1226)</f>
        <v>0</v>
      </c>
      <c r="V1227" s="103"/>
      <c r="W1227" s="177">
        <f t="shared" ref="W1227:W1236" si="223">IF(U1227="","",U1227+V1227)</f>
        <v>0</v>
      </c>
      <c r="X1227" s="103"/>
      <c r="Y1227" s="177">
        <f t="shared" ref="Y1227:Y1236" si="224">IF(W1227="","",W1227-X1227)</f>
        <v>0</v>
      </c>
      <c r="Z1227" s="106"/>
    </row>
    <row r="1228" spans="1:26" s="55" customFormat="1" ht="21" customHeight="1" x14ac:dyDescent="0.25">
      <c r="A1228" s="56"/>
      <c r="B1228" s="57"/>
      <c r="C1228" s="57"/>
      <c r="D1228" s="57"/>
      <c r="E1228" s="57"/>
      <c r="F1228" s="57"/>
      <c r="G1228" s="57"/>
      <c r="H1228" s="74"/>
      <c r="L1228" s="61"/>
      <c r="M1228" s="57"/>
      <c r="N1228" s="100"/>
      <c r="O1228" s="101" t="s">
        <v>63</v>
      </c>
      <c r="P1228" s="101">
        <v>26</v>
      </c>
      <c r="Q1228" s="101">
        <v>4</v>
      </c>
      <c r="R1228" s="101">
        <v>0</v>
      </c>
      <c r="S1228" s="105"/>
      <c r="T1228" s="101" t="s">
        <v>63</v>
      </c>
      <c r="U1228" s="177">
        <f>IF($J$1="April",Y1227,Y1227)</f>
        <v>0</v>
      </c>
      <c r="V1228" s="103">
        <v>10000</v>
      </c>
      <c r="W1228" s="177">
        <f t="shared" si="223"/>
        <v>10000</v>
      </c>
      <c r="X1228" s="103">
        <v>2000</v>
      </c>
      <c r="Y1228" s="177">
        <f t="shared" si="224"/>
        <v>8000</v>
      </c>
      <c r="Z1228" s="106"/>
    </row>
    <row r="1229" spans="1:26" s="55" customFormat="1" ht="21" customHeight="1" x14ac:dyDescent="0.25">
      <c r="A1229" s="56"/>
      <c r="B1229" s="291" t="s">
        <v>58</v>
      </c>
      <c r="C1229" s="292"/>
      <c r="D1229" s="57"/>
      <c r="E1229" s="57"/>
      <c r="F1229" s="75" t="s">
        <v>80</v>
      </c>
      <c r="G1229" s="70">
        <f>IF($J$1="January",U1225,IF($J$1="February",U1226,IF($J$1="March",U1227,IF($J$1="April",U1228,IF($J$1="May",U1229,IF($J$1="June",U1230,IF($J$1="July",U1231,IF($J$1="August",U1232,IF($J$1="August",U1232,IF($J$1="September",U1233,IF($J$1="October",U1234,IF($J$1="November",U1235,IF($J$1="December",U1236)))))))))))))</f>
        <v>8000</v>
      </c>
      <c r="H1229" s="74"/>
      <c r="I1229" s="76">
        <f>IF(C1233&gt;0,$K$2,C1231)</f>
        <v>29</v>
      </c>
      <c r="J1229" s="77" t="s">
        <v>77</v>
      </c>
      <c r="K1229" s="78">
        <f>K1225/$K$2*I1229</f>
        <v>15466.666666666668</v>
      </c>
      <c r="L1229" s="79"/>
      <c r="M1229" s="57"/>
      <c r="N1229" s="100"/>
      <c r="O1229" s="101" t="s">
        <v>64</v>
      </c>
      <c r="P1229" s="101">
        <v>28</v>
      </c>
      <c r="Q1229" s="101">
        <v>3</v>
      </c>
      <c r="R1229" s="101">
        <v>0</v>
      </c>
      <c r="S1229" s="105"/>
      <c r="T1229" s="101" t="s">
        <v>64</v>
      </c>
      <c r="U1229" s="177">
        <f>IF($J$1="April",Y1228,Y1228)</f>
        <v>8000</v>
      </c>
      <c r="V1229" s="103"/>
      <c r="W1229" s="177">
        <f t="shared" si="223"/>
        <v>8000</v>
      </c>
      <c r="X1229" s="103"/>
      <c r="Y1229" s="177">
        <f t="shared" si="224"/>
        <v>8000</v>
      </c>
      <c r="Z1229" s="106"/>
    </row>
    <row r="1230" spans="1:26" s="55" customFormat="1" ht="21" customHeight="1" x14ac:dyDescent="0.25">
      <c r="A1230" s="56"/>
      <c r="B1230" s="66"/>
      <c r="C1230" s="66"/>
      <c r="D1230" s="57"/>
      <c r="E1230" s="57"/>
      <c r="F1230" s="75" t="s">
        <v>29</v>
      </c>
      <c r="G1230" s="70">
        <f>IF($J$1="January",V1225,IF($J$1="February",V1226,IF($J$1="March",V1227,IF($J$1="April",V1228,IF($J$1="May",V1229,IF($J$1="June",V1230,IF($J$1="July",V1231,IF($J$1="August",V1232,IF($J$1="August",V1232,IF($J$1="September",V1233,IF($J$1="October",V1234,IF($J$1="November",V1235,IF($J$1="December",V1236)))))))))))))</f>
        <v>0</v>
      </c>
      <c r="H1230" s="74"/>
      <c r="I1230" s="120"/>
      <c r="J1230" s="77" t="s">
        <v>78</v>
      </c>
      <c r="K1230" s="80">
        <f>K1225/$K$2/8*I1230</f>
        <v>0</v>
      </c>
      <c r="L1230" s="81"/>
      <c r="M1230" s="57"/>
      <c r="N1230" s="100"/>
      <c r="O1230" s="101" t="s">
        <v>65</v>
      </c>
      <c r="P1230" s="101">
        <v>29</v>
      </c>
      <c r="Q1230" s="101">
        <v>1</v>
      </c>
      <c r="R1230" s="101">
        <f t="shared" ref="R1230:R1236" si="225">IF(Q1230="","",R1229-Q1230)</f>
        <v>-1</v>
      </c>
      <c r="S1230" s="105"/>
      <c r="T1230" s="101" t="s">
        <v>65</v>
      </c>
      <c r="U1230" s="177">
        <f>IF($J$1="April",Y1229,Y1229)</f>
        <v>8000</v>
      </c>
      <c r="V1230" s="103"/>
      <c r="W1230" s="177">
        <f t="shared" si="223"/>
        <v>8000</v>
      </c>
      <c r="X1230" s="103">
        <v>2000</v>
      </c>
      <c r="Y1230" s="177">
        <f t="shared" si="224"/>
        <v>6000</v>
      </c>
      <c r="Z1230" s="106"/>
    </row>
    <row r="1231" spans="1:26" s="55" customFormat="1" ht="21" customHeight="1" x14ac:dyDescent="0.25">
      <c r="A1231" s="56"/>
      <c r="B1231" s="75" t="s">
        <v>7</v>
      </c>
      <c r="C1231" s="66">
        <f>IF($J$1="January",P1225,IF($J$1="February",P1226,IF($J$1="March",P1227,IF($J$1="April",P1228,IF($J$1="May",P1229,IF($J$1="June",P1230,IF($J$1="July",P1231,IF($J$1="August",P1232,IF($J$1="August",P1232,IF($J$1="September",P1233,IF($J$1="October",P1234,IF($J$1="November",P1235,IF($J$1="December",P1236)))))))))))))</f>
        <v>29</v>
      </c>
      <c r="D1231" s="57"/>
      <c r="E1231" s="57"/>
      <c r="F1231" s="75" t="s">
        <v>81</v>
      </c>
      <c r="G1231" s="70">
        <f>IF($J$1="January",W1225,IF($J$1="February",W1226,IF($J$1="March",W1227,IF($J$1="April",W1228,IF($J$1="May",W1229,IF($J$1="June",W1230,IF($J$1="July",W1231,IF($J$1="August",W1232,IF($J$1="August",W1232,IF($J$1="September",W1233,IF($J$1="October",W1234,IF($J$1="November",W1235,IF($J$1="December",W1236)))))))))))))</f>
        <v>8000</v>
      </c>
      <c r="H1231" s="74"/>
      <c r="I1231" s="293" t="s">
        <v>85</v>
      </c>
      <c r="J1231" s="294"/>
      <c r="K1231" s="80">
        <f>K1229+K1230</f>
        <v>15466.666666666668</v>
      </c>
      <c r="L1231" s="81"/>
      <c r="M1231" s="57"/>
      <c r="N1231" s="100"/>
      <c r="O1231" s="101" t="s">
        <v>66</v>
      </c>
      <c r="P1231" s="101"/>
      <c r="Q1231" s="101"/>
      <c r="R1231" s="101">
        <v>0</v>
      </c>
      <c r="S1231" s="105"/>
      <c r="T1231" s="101" t="s">
        <v>66</v>
      </c>
      <c r="U1231" s="177"/>
      <c r="V1231" s="103"/>
      <c r="W1231" s="177" t="str">
        <f t="shared" si="223"/>
        <v/>
      </c>
      <c r="X1231" s="103"/>
      <c r="Y1231" s="177" t="str">
        <f t="shared" si="224"/>
        <v/>
      </c>
      <c r="Z1231" s="106"/>
    </row>
    <row r="1232" spans="1:26" s="55" customFormat="1" ht="21" customHeight="1" x14ac:dyDescent="0.25">
      <c r="A1232" s="56"/>
      <c r="B1232" s="75" t="s">
        <v>6</v>
      </c>
      <c r="C1232" s="66">
        <f>IF($J$1="January",Q1225,IF($J$1="February",Q1226,IF($J$1="March",Q1227,IF($J$1="April",Q1228,IF($J$1="May",Q1229,IF($J$1="June",Q1230,IF($J$1="July",Q1231,IF($J$1="August",Q1232,IF($J$1="August",Q1232,IF($J$1="September",Q1233,IF($J$1="October",Q1234,IF($J$1="November",Q1235,IF($J$1="December",Q1236)))))))))))))</f>
        <v>1</v>
      </c>
      <c r="D1232" s="57"/>
      <c r="E1232" s="57"/>
      <c r="F1232" s="75" t="s">
        <v>30</v>
      </c>
      <c r="G1232" s="70">
        <f>IF($J$1="January",X1225,IF($J$1="February",X1226,IF($J$1="March",X1227,IF($J$1="April",X1228,IF($J$1="May",X1229,IF($J$1="June",X1230,IF($J$1="July",X1231,IF($J$1="August",X1232,IF($J$1="August",X1232,IF($J$1="September",X1233,IF($J$1="October",X1234,IF($J$1="November",X1235,IF($J$1="December",X1236)))))))))))))</f>
        <v>2000</v>
      </c>
      <c r="H1232" s="74"/>
      <c r="I1232" s="293" t="s">
        <v>86</v>
      </c>
      <c r="J1232" s="294"/>
      <c r="K1232" s="70">
        <f>G1232</f>
        <v>2000</v>
      </c>
      <c r="L1232" s="82"/>
      <c r="M1232" s="57"/>
      <c r="N1232" s="100"/>
      <c r="O1232" s="101" t="s">
        <v>67</v>
      </c>
      <c r="P1232" s="101"/>
      <c r="Q1232" s="101"/>
      <c r="R1232" s="101">
        <v>0</v>
      </c>
      <c r="S1232" s="105"/>
      <c r="T1232" s="101" t="s">
        <v>67</v>
      </c>
      <c r="U1232" s="177"/>
      <c r="V1232" s="103"/>
      <c r="W1232" s="177" t="str">
        <f t="shared" si="223"/>
        <v/>
      </c>
      <c r="X1232" s="103"/>
      <c r="Y1232" s="177" t="str">
        <f t="shared" si="224"/>
        <v/>
      </c>
      <c r="Z1232" s="106"/>
    </row>
    <row r="1233" spans="1:26" s="55" customFormat="1" ht="21" customHeight="1" x14ac:dyDescent="0.25">
      <c r="A1233" s="56"/>
      <c r="B1233" s="83" t="s">
        <v>84</v>
      </c>
      <c r="C1233" s="66">
        <f>IF($J$1="January",R1225,IF($J$1="February",R1226,IF($J$1="March",R1227,IF($J$1="April",R1228,IF($J$1="May",R1229,IF($J$1="June",R1230,IF($J$1="July",R1231,IF($J$1="August",R1232,IF($J$1="August",R1232,IF($J$1="September",R1233,IF($J$1="October",R1234,IF($J$1="November",R1235,IF($J$1="December",R1236)))))))))))))</f>
        <v>-1</v>
      </c>
      <c r="D1233" s="57"/>
      <c r="E1233" s="57"/>
      <c r="F1233" s="75" t="s">
        <v>83</v>
      </c>
      <c r="G1233" s="70">
        <f>IF($J$1="January",Y1225,IF($J$1="February",Y1226,IF($J$1="March",Y1227,IF($J$1="April",Y1228,IF($J$1="May",Y1229,IF($J$1="June",Y1230,IF($J$1="July",Y1231,IF($J$1="August",Y1232,IF($J$1="August",Y1232,IF($J$1="September",Y1233,IF($J$1="October",Y1234,IF($J$1="November",Y1235,IF($J$1="December",Y1236)))))))))))))</f>
        <v>6000</v>
      </c>
      <c r="H1233" s="57"/>
      <c r="I1233" s="295" t="s">
        <v>79</v>
      </c>
      <c r="J1233" s="296"/>
      <c r="K1233" s="84">
        <f>K1231-K1232</f>
        <v>13466.666666666668</v>
      </c>
      <c r="L1233" s="85"/>
      <c r="M1233" s="57"/>
      <c r="N1233" s="100"/>
      <c r="O1233" s="101" t="s">
        <v>72</v>
      </c>
      <c r="P1233" s="101"/>
      <c r="Q1233" s="101"/>
      <c r="R1233" s="101">
        <v>0</v>
      </c>
      <c r="S1233" s="105"/>
      <c r="T1233" s="101" t="s">
        <v>72</v>
      </c>
      <c r="U1233" s="177"/>
      <c r="V1233" s="103"/>
      <c r="W1233" s="177" t="str">
        <f t="shared" si="223"/>
        <v/>
      </c>
      <c r="X1233" s="103"/>
      <c r="Y1233" s="177" t="str">
        <f t="shared" si="224"/>
        <v/>
      </c>
      <c r="Z1233" s="106"/>
    </row>
    <row r="1234" spans="1:26" s="55" customFormat="1" ht="21" customHeight="1" x14ac:dyDescent="0.25">
      <c r="A1234" s="56"/>
      <c r="B1234" s="57"/>
      <c r="C1234" s="57"/>
      <c r="D1234" s="57"/>
      <c r="E1234" s="57"/>
      <c r="F1234" s="57"/>
      <c r="G1234" s="57"/>
      <c r="H1234" s="57"/>
      <c r="I1234" s="57"/>
      <c r="J1234" s="57"/>
      <c r="K1234" s="57"/>
      <c r="L1234" s="73"/>
      <c r="M1234" s="57"/>
      <c r="N1234" s="100"/>
      <c r="O1234" s="101" t="s">
        <v>68</v>
      </c>
      <c r="P1234" s="101"/>
      <c r="Q1234" s="101"/>
      <c r="R1234" s="101">
        <v>0</v>
      </c>
      <c r="S1234" s="105"/>
      <c r="T1234" s="101" t="s">
        <v>68</v>
      </c>
      <c r="U1234" s="177"/>
      <c r="V1234" s="103"/>
      <c r="W1234" s="177" t="str">
        <f t="shared" si="223"/>
        <v/>
      </c>
      <c r="X1234" s="103"/>
      <c r="Y1234" s="177" t="str">
        <f t="shared" si="224"/>
        <v/>
      </c>
      <c r="Z1234" s="106"/>
    </row>
    <row r="1235" spans="1:26" s="55" customFormat="1" ht="21" customHeight="1" x14ac:dyDescent="0.25">
      <c r="A1235" s="56"/>
      <c r="B1235" s="284" t="s">
        <v>116</v>
      </c>
      <c r="C1235" s="284"/>
      <c r="D1235" s="284"/>
      <c r="E1235" s="284"/>
      <c r="F1235" s="284"/>
      <c r="G1235" s="284"/>
      <c r="H1235" s="284"/>
      <c r="I1235" s="284"/>
      <c r="J1235" s="284"/>
      <c r="K1235" s="284"/>
      <c r="L1235" s="73"/>
      <c r="M1235" s="57"/>
      <c r="N1235" s="100"/>
      <c r="O1235" s="101" t="s">
        <v>73</v>
      </c>
      <c r="P1235" s="101"/>
      <c r="Q1235" s="101"/>
      <c r="R1235" s="101">
        <v>0</v>
      </c>
      <c r="S1235" s="105"/>
      <c r="T1235" s="101" t="s">
        <v>73</v>
      </c>
      <c r="U1235" s="177"/>
      <c r="V1235" s="103"/>
      <c r="W1235" s="177">
        <f>V1235+U1235</f>
        <v>0</v>
      </c>
      <c r="X1235" s="103"/>
      <c r="Y1235" s="177">
        <f t="shared" si="224"/>
        <v>0</v>
      </c>
      <c r="Z1235" s="106"/>
    </row>
    <row r="1236" spans="1:26" s="55" customFormat="1" ht="21" customHeight="1" x14ac:dyDescent="0.25">
      <c r="A1236" s="56"/>
      <c r="B1236" s="284"/>
      <c r="C1236" s="284"/>
      <c r="D1236" s="284"/>
      <c r="E1236" s="284"/>
      <c r="F1236" s="284"/>
      <c r="G1236" s="284"/>
      <c r="H1236" s="284"/>
      <c r="I1236" s="284"/>
      <c r="J1236" s="284"/>
      <c r="K1236" s="284"/>
      <c r="L1236" s="73"/>
      <c r="M1236" s="57"/>
      <c r="N1236" s="100"/>
      <c r="O1236" s="101" t="s">
        <v>74</v>
      </c>
      <c r="P1236" s="101"/>
      <c r="Q1236" s="101"/>
      <c r="R1236" s="101" t="str">
        <f t="shared" si="225"/>
        <v/>
      </c>
      <c r="S1236" s="105"/>
      <c r="T1236" s="101" t="s">
        <v>74</v>
      </c>
      <c r="U1236" s="177">
        <f t="shared" ref="U1236" si="226">Y1235</f>
        <v>0</v>
      </c>
      <c r="V1236" s="103"/>
      <c r="W1236" s="177">
        <f t="shared" si="223"/>
        <v>0</v>
      </c>
      <c r="X1236" s="103"/>
      <c r="Y1236" s="177">
        <f t="shared" si="224"/>
        <v>0</v>
      </c>
      <c r="Z1236" s="106"/>
    </row>
    <row r="1237" spans="1:26" s="55" customFormat="1" ht="21" customHeight="1" thickBot="1" x14ac:dyDescent="0.3">
      <c r="A1237" s="86"/>
      <c r="B1237" s="87"/>
      <c r="C1237" s="87"/>
      <c r="D1237" s="87"/>
      <c r="E1237" s="87"/>
      <c r="F1237" s="87"/>
      <c r="G1237" s="87"/>
      <c r="H1237" s="87"/>
      <c r="I1237" s="87"/>
      <c r="J1237" s="87"/>
      <c r="K1237" s="87"/>
      <c r="L1237" s="88"/>
      <c r="N1237" s="107"/>
      <c r="O1237" s="108"/>
      <c r="P1237" s="108"/>
      <c r="Q1237" s="108"/>
      <c r="R1237" s="108"/>
      <c r="S1237" s="108"/>
      <c r="T1237" s="108"/>
      <c r="U1237" s="108"/>
      <c r="V1237" s="108"/>
      <c r="W1237" s="108"/>
      <c r="X1237" s="108"/>
      <c r="Y1237" s="108"/>
      <c r="Z1237" s="109"/>
    </row>
    <row r="1238" spans="1:26" ht="21" customHeight="1" thickBot="1" x14ac:dyDescent="0.35"/>
    <row r="1239" spans="1:26" s="55" customFormat="1" ht="21" customHeight="1" x14ac:dyDescent="0.25">
      <c r="A1239" s="297" t="s">
        <v>56</v>
      </c>
      <c r="B1239" s="298"/>
      <c r="C1239" s="298"/>
      <c r="D1239" s="298"/>
      <c r="E1239" s="298"/>
      <c r="F1239" s="298"/>
      <c r="G1239" s="298"/>
      <c r="H1239" s="298"/>
      <c r="I1239" s="298"/>
      <c r="J1239" s="298"/>
      <c r="K1239" s="298"/>
      <c r="L1239" s="299"/>
      <c r="M1239" s="146"/>
      <c r="N1239" s="93"/>
      <c r="O1239" s="285" t="s">
        <v>58</v>
      </c>
      <c r="P1239" s="286"/>
      <c r="Q1239" s="286"/>
      <c r="R1239" s="287"/>
      <c r="S1239" s="94"/>
      <c r="T1239" s="285" t="s">
        <v>59</v>
      </c>
      <c r="U1239" s="286"/>
      <c r="V1239" s="286"/>
      <c r="W1239" s="286"/>
      <c r="X1239" s="286"/>
      <c r="Y1239" s="287"/>
      <c r="Z1239" s="95"/>
    </row>
    <row r="1240" spans="1:26" s="55" customFormat="1" ht="21" customHeight="1" x14ac:dyDescent="0.25">
      <c r="A1240" s="56"/>
      <c r="B1240" s="57"/>
      <c r="C1240" s="288" t="s">
        <v>114</v>
      </c>
      <c r="D1240" s="288"/>
      <c r="E1240" s="288"/>
      <c r="F1240" s="288"/>
      <c r="G1240" s="58" t="str">
        <f>$J$1</f>
        <v>June</v>
      </c>
      <c r="H1240" s="289">
        <f>$K$1</f>
        <v>2019</v>
      </c>
      <c r="I1240" s="289"/>
      <c r="J1240" s="57"/>
      <c r="K1240" s="59"/>
      <c r="L1240" s="60"/>
      <c r="M1240" s="59"/>
      <c r="N1240" s="96"/>
      <c r="O1240" s="97" t="s">
        <v>69</v>
      </c>
      <c r="P1240" s="97" t="s">
        <v>7</v>
      </c>
      <c r="Q1240" s="97" t="s">
        <v>6</v>
      </c>
      <c r="R1240" s="97" t="s">
        <v>70</v>
      </c>
      <c r="S1240" s="98"/>
      <c r="T1240" s="97" t="s">
        <v>69</v>
      </c>
      <c r="U1240" s="97" t="s">
        <v>71</v>
      </c>
      <c r="V1240" s="97" t="s">
        <v>29</v>
      </c>
      <c r="W1240" s="97" t="s">
        <v>28</v>
      </c>
      <c r="X1240" s="97" t="s">
        <v>30</v>
      </c>
      <c r="Y1240" s="97" t="s">
        <v>75</v>
      </c>
      <c r="Z1240" s="99"/>
    </row>
    <row r="1241" spans="1:26" s="55" customFormat="1" ht="21" customHeight="1" x14ac:dyDescent="0.25">
      <c r="A1241" s="56"/>
      <c r="B1241" s="57"/>
      <c r="C1241" s="57"/>
      <c r="D1241" s="62"/>
      <c r="E1241" s="62"/>
      <c r="F1241" s="62"/>
      <c r="G1241" s="62"/>
      <c r="H1241" s="62"/>
      <c r="I1241" s="57"/>
      <c r="J1241" s="63" t="s">
        <v>1</v>
      </c>
      <c r="K1241" s="64">
        <f>17000+2000</f>
        <v>19000</v>
      </c>
      <c r="L1241" s="65"/>
      <c r="M1241" s="57"/>
      <c r="N1241" s="100"/>
      <c r="O1241" s="101" t="s">
        <v>61</v>
      </c>
      <c r="P1241" s="101">
        <v>30</v>
      </c>
      <c r="Q1241" s="101">
        <v>1</v>
      </c>
      <c r="R1241" s="101">
        <f>15-Q1241</f>
        <v>14</v>
      </c>
      <c r="S1241" s="102"/>
      <c r="T1241" s="101" t="s">
        <v>61</v>
      </c>
      <c r="U1241" s="103">
        <v>8000</v>
      </c>
      <c r="V1241" s="103">
        <v>2500</v>
      </c>
      <c r="W1241" s="103">
        <f>V1241+U1241</f>
        <v>10500</v>
      </c>
      <c r="X1241" s="103">
        <v>5000</v>
      </c>
      <c r="Y1241" s="103">
        <f>W1241-X1241</f>
        <v>5500</v>
      </c>
      <c r="Z1241" s="99"/>
    </row>
    <row r="1242" spans="1:26" s="55" customFormat="1" ht="21" customHeight="1" x14ac:dyDescent="0.25">
      <c r="A1242" s="56"/>
      <c r="B1242" s="57" t="s">
        <v>0</v>
      </c>
      <c r="C1242" s="112" t="s">
        <v>134</v>
      </c>
      <c r="D1242" s="57"/>
      <c r="E1242" s="57"/>
      <c r="F1242" s="57"/>
      <c r="G1242" s="57"/>
      <c r="H1242" s="68"/>
      <c r="I1242" s="62"/>
      <c r="J1242" s="57"/>
      <c r="K1242" s="57"/>
      <c r="L1242" s="69"/>
      <c r="M1242" s="146"/>
      <c r="N1242" s="104"/>
      <c r="O1242" s="101" t="s">
        <v>87</v>
      </c>
      <c r="P1242" s="101">
        <v>28</v>
      </c>
      <c r="Q1242" s="101">
        <v>0</v>
      </c>
      <c r="R1242" s="101">
        <f>IF(Q1242="","",R1241-Q1242)</f>
        <v>14</v>
      </c>
      <c r="S1242" s="105"/>
      <c r="T1242" s="101" t="s">
        <v>87</v>
      </c>
      <c r="U1242" s="177">
        <f>Y1241</f>
        <v>5500</v>
      </c>
      <c r="V1242" s="103"/>
      <c r="W1242" s="177">
        <f>IF(U1242="","",U1242+V1242)</f>
        <v>5500</v>
      </c>
      <c r="X1242" s="103">
        <v>5500</v>
      </c>
      <c r="Y1242" s="177">
        <f>IF(W1242="","",W1242-X1242)</f>
        <v>0</v>
      </c>
      <c r="Z1242" s="106"/>
    </row>
    <row r="1243" spans="1:26" s="55" customFormat="1" ht="21" customHeight="1" x14ac:dyDescent="0.25">
      <c r="A1243" s="56"/>
      <c r="B1243" s="71" t="s">
        <v>57</v>
      </c>
      <c r="C1243" s="112"/>
      <c r="D1243" s="57"/>
      <c r="E1243" s="57"/>
      <c r="F1243" s="290" t="s">
        <v>59</v>
      </c>
      <c r="G1243" s="290"/>
      <c r="H1243" s="57"/>
      <c r="I1243" s="290" t="s">
        <v>60</v>
      </c>
      <c r="J1243" s="290"/>
      <c r="K1243" s="290"/>
      <c r="L1243" s="73"/>
      <c r="M1243" s="57"/>
      <c r="N1243" s="100"/>
      <c r="O1243" s="101" t="s">
        <v>62</v>
      </c>
      <c r="P1243" s="101">
        <v>29</v>
      </c>
      <c r="Q1243" s="101">
        <v>2</v>
      </c>
      <c r="R1243" s="101">
        <f t="shared" ref="R1243:R1252" si="227">IF(Q1243="","",R1242-Q1243)</f>
        <v>12</v>
      </c>
      <c r="S1243" s="105"/>
      <c r="T1243" s="101" t="s">
        <v>62</v>
      </c>
      <c r="U1243" s="177">
        <f>Y1242</f>
        <v>0</v>
      </c>
      <c r="V1243" s="103">
        <v>2800</v>
      </c>
      <c r="W1243" s="177">
        <f>V1243+U1243</f>
        <v>2800</v>
      </c>
      <c r="X1243" s="103">
        <v>2800</v>
      </c>
      <c r="Y1243" s="177">
        <f t="shared" ref="Y1243:Y1252" si="228">IF(W1243="","",W1243-X1243)</f>
        <v>0</v>
      </c>
      <c r="Z1243" s="106"/>
    </row>
    <row r="1244" spans="1:26" s="55" customFormat="1" ht="21" customHeight="1" x14ac:dyDescent="0.25">
      <c r="A1244" s="56"/>
      <c r="B1244" s="57"/>
      <c r="C1244" s="57"/>
      <c r="D1244" s="57"/>
      <c r="E1244" s="57"/>
      <c r="F1244" s="57"/>
      <c r="G1244" s="57"/>
      <c r="H1244" s="74"/>
      <c r="L1244" s="61"/>
      <c r="M1244" s="57"/>
      <c r="N1244" s="100"/>
      <c r="O1244" s="101" t="s">
        <v>63</v>
      </c>
      <c r="P1244" s="101">
        <v>29</v>
      </c>
      <c r="Q1244" s="101">
        <v>1</v>
      </c>
      <c r="R1244" s="101">
        <f t="shared" si="227"/>
        <v>11</v>
      </c>
      <c r="S1244" s="105"/>
      <c r="T1244" s="101" t="s">
        <v>63</v>
      </c>
      <c r="U1244" s="177">
        <f>Y1243</f>
        <v>0</v>
      </c>
      <c r="V1244" s="103">
        <v>2000</v>
      </c>
      <c r="W1244" s="177">
        <f t="shared" ref="W1244:W1252" si="229">IF(U1244="","",U1244+V1244)</f>
        <v>2000</v>
      </c>
      <c r="X1244" s="103">
        <v>2000</v>
      </c>
      <c r="Y1244" s="177">
        <f t="shared" si="228"/>
        <v>0</v>
      </c>
      <c r="Z1244" s="106"/>
    </row>
    <row r="1245" spans="1:26" s="55" customFormat="1" ht="21" customHeight="1" x14ac:dyDescent="0.25">
      <c r="A1245" s="56"/>
      <c r="B1245" s="291" t="s">
        <v>58</v>
      </c>
      <c r="C1245" s="292"/>
      <c r="D1245" s="57"/>
      <c r="E1245" s="57"/>
      <c r="F1245" s="75" t="s">
        <v>80</v>
      </c>
      <c r="G1245" s="70">
        <f>IF($J$1="January",U1241,IF($J$1="February",U1242,IF($J$1="March",U1243,IF($J$1="April",U1244,IF($J$1="May",U1245,IF($J$1="June",U1246,IF($J$1="July",U1247,IF($J$1="August",U1248,IF($J$1="August",U1248,IF($J$1="September",U1249,IF($J$1="October",U1250,IF($J$1="November",U1251,IF($J$1="December",U1252)))))))))))))</f>
        <v>8000</v>
      </c>
      <c r="H1245" s="74"/>
      <c r="I1245" s="76">
        <f>IF(C1249&gt;0,$K$2,C1247)</f>
        <v>30</v>
      </c>
      <c r="J1245" s="77" t="s">
        <v>77</v>
      </c>
      <c r="K1245" s="78">
        <f>K1241/$K$2*I1245</f>
        <v>19000</v>
      </c>
      <c r="L1245" s="79"/>
      <c r="M1245" s="57"/>
      <c r="N1245" s="100"/>
      <c r="O1245" s="101" t="s">
        <v>64</v>
      </c>
      <c r="P1245" s="101">
        <v>31</v>
      </c>
      <c r="Q1245" s="101">
        <v>0</v>
      </c>
      <c r="R1245" s="101">
        <f t="shared" si="227"/>
        <v>11</v>
      </c>
      <c r="S1245" s="105"/>
      <c r="T1245" s="101" t="s">
        <v>64</v>
      </c>
      <c r="U1245" s="177"/>
      <c r="V1245" s="103">
        <v>10000</v>
      </c>
      <c r="W1245" s="177">
        <f>V1245+U1245</f>
        <v>10000</v>
      </c>
      <c r="X1245" s="103">
        <v>2000</v>
      </c>
      <c r="Y1245" s="177">
        <f t="shared" si="228"/>
        <v>8000</v>
      </c>
      <c r="Z1245" s="106"/>
    </row>
    <row r="1246" spans="1:26" s="55" customFormat="1" ht="21" customHeight="1" x14ac:dyDescent="0.25">
      <c r="A1246" s="56"/>
      <c r="B1246" s="66"/>
      <c r="C1246" s="66"/>
      <c r="D1246" s="57"/>
      <c r="E1246" s="57"/>
      <c r="F1246" s="75" t="s">
        <v>29</v>
      </c>
      <c r="G1246" s="70">
        <f>IF($J$1="January",V1241,IF($J$1="February",V1242,IF($J$1="March",V1243,IF($J$1="April",V1244,IF($J$1="May",V1245,IF($J$1="June",V1246,IF($J$1="July",V1247,IF($J$1="August",V1248,IF($J$1="August",V1248,IF($J$1="September",V1249,IF($J$1="October",V1250,IF($J$1="November",V1251,IF($J$1="December",V1252)))))))))))))</f>
        <v>0</v>
      </c>
      <c r="H1246" s="74"/>
      <c r="I1246" s="120">
        <v>58.098999999999997</v>
      </c>
      <c r="J1246" s="77" t="s">
        <v>78</v>
      </c>
      <c r="K1246" s="80">
        <f>K1241/$K$2/8*I1246</f>
        <v>4599.5041666666666</v>
      </c>
      <c r="L1246" s="81"/>
      <c r="M1246" s="57"/>
      <c r="N1246" s="100"/>
      <c r="O1246" s="101" t="s">
        <v>65</v>
      </c>
      <c r="P1246" s="101">
        <v>29</v>
      </c>
      <c r="Q1246" s="101">
        <v>1</v>
      </c>
      <c r="R1246" s="101">
        <f t="shared" si="227"/>
        <v>10</v>
      </c>
      <c r="S1246" s="105"/>
      <c r="T1246" s="101" t="s">
        <v>65</v>
      </c>
      <c r="U1246" s="177">
        <f>IF($J$1="April",Y1245,Y1245)</f>
        <v>8000</v>
      </c>
      <c r="V1246" s="103"/>
      <c r="W1246" s="177">
        <f t="shared" si="229"/>
        <v>8000</v>
      </c>
      <c r="X1246" s="103">
        <v>2000</v>
      </c>
      <c r="Y1246" s="177">
        <f t="shared" si="228"/>
        <v>6000</v>
      </c>
      <c r="Z1246" s="106"/>
    </row>
    <row r="1247" spans="1:26" s="55" customFormat="1" ht="21" customHeight="1" x14ac:dyDescent="0.25">
      <c r="A1247" s="56"/>
      <c r="B1247" s="75" t="s">
        <v>7</v>
      </c>
      <c r="C1247" s="66">
        <f>IF($J$1="January",P1241,IF($J$1="February",P1242,IF($J$1="March",P1243,IF($J$1="April",P1244,IF($J$1="May",P1245,IF($J$1="June",P1246,IF($J$1="July",P1247,IF($J$1="August",P1248,IF($J$1="August",P1248,IF($J$1="September",P1249,IF($J$1="October",P1250,IF($J$1="November",P1251,IF($J$1="December",P1252)))))))))))))</f>
        <v>29</v>
      </c>
      <c r="D1247" s="57"/>
      <c r="E1247" s="57"/>
      <c r="F1247" s="75" t="s">
        <v>81</v>
      </c>
      <c r="G1247" s="70">
        <f>IF($J$1="January",W1241,IF($J$1="February",W1242,IF($J$1="March",W1243,IF($J$1="April",W1244,IF($J$1="May",W1245,IF($J$1="June",W1246,IF($J$1="July",W1247,IF($J$1="August",W1248,IF($J$1="August",W1248,IF($J$1="September",W1249,IF($J$1="October",W1250,IF($J$1="November",W1251,IF($J$1="December",W1252)))))))))))))</f>
        <v>8000</v>
      </c>
      <c r="H1247" s="74"/>
      <c r="I1247" s="293" t="s">
        <v>85</v>
      </c>
      <c r="J1247" s="294"/>
      <c r="K1247" s="80">
        <f>K1245+K1246</f>
        <v>23599.504166666666</v>
      </c>
      <c r="L1247" s="81"/>
      <c r="M1247" s="57"/>
      <c r="N1247" s="100"/>
      <c r="O1247" s="101" t="s">
        <v>66</v>
      </c>
      <c r="P1247" s="101"/>
      <c r="Q1247" s="101"/>
      <c r="R1247" s="101" t="str">
        <f t="shared" si="227"/>
        <v/>
      </c>
      <c r="S1247" s="105"/>
      <c r="T1247" s="101" t="s">
        <v>66</v>
      </c>
      <c r="U1247" s="177"/>
      <c r="V1247" s="103"/>
      <c r="W1247" s="177" t="str">
        <f t="shared" si="229"/>
        <v/>
      </c>
      <c r="X1247" s="103"/>
      <c r="Y1247" s="177" t="str">
        <f t="shared" si="228"/>
        <v/>
      </c>
      <c r="Z1247" s="106"/>
    </row>
    <row r="1248" spans="1:26" s="55" customFormat="1" ht="21" customHeight="1" x14ac:dyDescent="0.25">
      <c r="A1248" s="56"/>
      <c r="B1248" s="75" t="s">
        <v>6</v>
      </c>
      <c r="C1248" s="66">
        <f>IF($J$1="January",Q1241,IF($J$1="February",Q1242,IF($J$1="March",Q1243,IF($J$1="April",Q1244,IF($J$1="May",Q1245,IF($J$1="June",Q1246,IF($J$1="July",Q1247,IF($J$1="August",Q1248,IF($J$1="August",Q1248,IF($J$1="September",Q1249,IF($J$1="October",Q1250,IF($J$1="November",Q1251,IF($J$1="December",Q1252)))))))))))))</f>
        <v>1</v>
      </c>
      <c r="D1248" s="57"/>
      <c r="E1248" s="57"/>
      <c r="F1248" s="75" t="s">
        <v>30</v>
      </c>
      <c r="G1248" s="70">
        <f>IF($J$1="January",X1241,IF($J$1="February",X1242,IF($J$1="March",X1243,IF($J$1="April",X1244,IF($J$1="May",X1245,IF($J$1="June",X1246,IF($J$1="July",X1247,IF($J$1="August",X1248,IF($J$1="August",X1248,IF($J$1="September",X1249,IF($J$1="October",X1250,IF($J$1="November",X1251,IF($J$1="December",X1252)))))))))))))</f>
        <v>2000</v>
      </c>
      <c r="H1248" s="74"/>
      <c r="I1248" s="293" t="s">
        <v>86</v>
      </c>
      <c r="J1248" s="294"/>
      <c r="K1248" s="70">
        <f>G1248</f>
        <v>2000</v>
      </c>
      <c r="L1248" s="82"/>
      <c r="M1248" s="57"/>
      <c r="N1248" s="100"/>
      <c r="O1248" s="101" t="s">
        <v>67</v>
      </c>
      <c r="P1248" s="101"/>
      <c r="Q1248" s="101"/>
      <c r="R1248" s="101" t="str">
        <f t="shared" si="227"/>
        <v/>
      </c>
      <c r="S1248" s="105"/>
      <c r="T1248" s="101" t="s">
        <v>67</v>
      </c>
      <c r="U1248" s="177"/>
      <c r="V1248" s="103"/>
      <c r="W1248" s="177" t="str">
        <f t="shared" si="229"/>
        <v/>
      </c>
      <c r="X1248" s="103"/>
      <c r="Y1248" s="177" t="str">
        <f t="shared" si="228"/>
        <v/>
      </c>
      <c r="Z1248" s="106"/>
    </row>
    <row r="1249" spans="1:26" s="55" customFormat="1" ht="21" customHeight="1" x14ac:dyDescent="0.25">
      <c r="A1249" s="56"/>
      <c r="B1249" s="83" t="s">
        <v>84</v>
      </c>
      <c r="C1249" s="66">
        <f>IF($J$1="January",R1241,IF($J$1="February",R1242,IF($J$1="March",R1243,IF($J$1="April",R1244,IF($J$1="May",R1245,IF($J$1="June",R1246,IF($J$1="July",R1247,IF($J$1="August",R1248,IF($J$1="August",R1248,IF($J$1="September",R1249,IF($J$1="October",R1250,IF($J$1="November",R1251,IF($J$1="December",R1252)))))))))))))</f>
        <v>10</v>
      </c>
      <c r="D1249" s="57"/>
      <c r="E1249" s="57"/>
      <c r="F1249" s="75" t="s">
        <v>83</v>
      </c>
      <c r="G1249" s="70">
        <f>IF($J$1="January",Y1241,IF($J$1="February",Y1242,IF($J$1="March",Y1243,IF($J$1="April",Y1244,IF($J$1="May",Y1245,IF($J$1="June",Y1246,IF($J$1="July",Y1247,IF($J$1="August",Y1248,IF($J$1="August",Y1248,IF($J$1="September",Y1249,IF($J$1="October",Y1250,IF($J$1="November",Y1251,IF($J$1="December",Y1252)))))))))))))</f>
        <v>6000</v>
      </c>
      <c r="H1249" s="57"/>
      <c r="I1249" s="295" t="s">
        <v>79</v>
      </c>
      <c r="J1249" s="296"/>
      <c r="K1249" s="84">
        <f>K1247-K1248</f>
        <v>21599.504166666666</v>
      </c>
      <c r="L1249" s="85"/>
      <c r="M1249" s="57"/>
      <c r="N1249" s="100"/>
      <c r="O1249" s="101" t="s">
        <v>72</v>
      </c>
      <c r="P1249" s="101"/>
      <c r="Q1249" s="101"/>
      <c r="R1249" s="101" t="str">
        <f t="shared" si="227"/>
        <v/>
      </c>
      <c r="S1249" s="105"/>
      <c r="T1249" s="101" t="s">
        <v>72</v>
      </c>
      <c r="U1249" s="177"/>
      <c r="V1249" s="103"/>
      <c r="W1249" s="177" t="str">
        <f t="shared" si="229"/>
        <v/>
      </c>
      <c r="X1249" s="103"/>
      <c r="Y1249" s="177" t="str">
        <f t="shared" si="228"/>
        <v/>
      </c>
      <c r="Z1249" s="106"/>
    </row>
    <row r="1250" spans="1:26" s="55" customFormat="1" ht="21" customHeight="1" x14ac:dyDescent="0.25">
      <c r="A1250" s="56"/>
      <c r="B1250" s="57"/>
      <c r="C1250" s="57"/>
      <c r="D1250" s="57"/>
      <c r="E1250" s="57"/>
      <c r="F1250" s="57"/>
      <c r="G1250" s="57"/>
      <c r="H1250" s="57"/>
      <c r="I1250" s="57"/>
      <c r="J1250" s="194"/>
      <c r="K1250" s="57"/>
      <c r="L1250" s="73"/>
      <c r="M1250" s="57"/>
      <c r="N1250" s="100"/>
      <c r="O1250" s="101" t="s">
        <v>68</v>
      </c>
      <c r="P1250" s="101"/>
      <c r="Q1250" s="101"/>
      <c r="R1250" s="101" t="str">
        <f t="shared" si="227"/>
        <v/>
      </c>
      <c r="S1250" s="105"/>
      <c r="T1250" s="101" t="s">
        <v>68</v>
      </c>
      <c r="U1250" s="177"/>
      <c r="V1250" s="103"/>
      <c r="W1250" s="177" t="str">
        <f t="shared" si="229"/>
        <v/>
      </c>
      <c r="X1250" s="103"/>
      <c r="Y1250" s="177" t="str">
        <f t="shared" si="228"/>
        <v/>
      </c>
      <c r="Z1250" s="106"/>
    </row>
    <row r="1251" spans="1:26" s="55" customFormat="1" ht="21" customHeight="1" x14ac:dyDescent="0.25">
      <c r="A1251" s="56"/>
      <c r="B1251" s="303"/>
      <c r="C1251" s="303"/>
      <c r="D1251" s="303"/>
      <c r="E1251" s="303"/>
      <c r="F1251" s="303"/>
      <c r="G1251" s="303"/>
      <c r="H1251" s="303"/>
      <c r="I1251" s="303"/>
      <c r="J1251" s="303"/>
      <c r="K1251" s="303"/>
      <c r="L1251" s="73"/>
      <c r="M1251" s="57"/>
      <c r="N1251" s="100"/>
      <c r="O1251" s="101" t="s">
        <v>73</v>
      </c>
      <c r="P1251" s="101"/>
      <c r="Q1251" s="101"/>
      <c r="R1251" s="101" t="str">
        <f t="shared" si="227"/>
        <v/>
      </c>
      <c r="S1251" s="105"/>
      <c r="T1251" s="101" t="s">
        <v>73</v>
      </c>
      <c r="U1251" s="177"/>
      <c r="V1251" s="103"/>
      <c r="W1251" s="177" t="str">
        <f t="shared" si="229"/>
        <v/>
      </c>
      <c r="X1251" s="103"/>
      <c r="Y1251" s="177" t="str">
        <f t="shared" si="228"/>
        <v/>
      </c>
      <c r="Z1251" s="106"/>
    </row>
    <row r="1252" spans="1:26" s="55" customFormat="1" ht="21" customHeight="1" x14ac:dyDescent="0.25">
      <c r="A1252" s="56"/>
      <c r="B1252" s="303"/>
      <c r="C1252" s="303"/>
      <c r="D1252" s="303"/>
      <c r="E1252" s="303"/>
      <c r="F1252" s="303"/>
      <c r="G1252" s="303"/>
      <c r="H1252" s="303"/>
      <c r="I1252" s="303"/>
      <c r="J1252" s="303"/>
      <c r="K1252" s="303"/>
      <c r="L1252" s="73"/>
      <c r="M1252" s="57"/>
      <c r="N1252" s="100"/>
      <c r="O1252" s="101" t="s">
        <v>74</v>
      </c>
      <c r="P1252" s="101"/>
      <c r="Q1252" s="101"/>
      <c r="R1252" s="101" t="str">
        <f t="shared" si="227"/>
        <v/>
      </c>
      <c r="S1252" s="105"/>
      <c r="T1252" s="101" t="s">
        <v>74</v>
      </c>
      <c r="U1252" s="177"/>
      <c r="V1252" s="103"/>
      <c r="W1252" s="177" t="str">
        <f t="shared" si="229"/>
        <v/>
      </c>
      <c r="X1252" s="103"/>
      <c r="Y1252" s="177" t="str">
        <f t="shared" si="228"/>
        <v/>
      </c>
      <c r="Z1252" s="106"/>
    </row>
    <row r="1253" spans="1:26" s="55" customFormat="1" ht="21" customHeight="1" thickBot="1" x14ac:dyDescent="0.3">
      <c r="A1253" s="86"/>
      <c r="B1253" s="87"/>
      <c r="C1253" s="87"/>
      <c r="D1253" s="87"/>
      <c r="E1253" s="87"/>
      <c r="F1253" s="87"/>
      <c r="G1253" s="87"/>
      <c r="H1253" s="87"/>
      <c r="I1253" s="87"/>
      <c r="J1253" s="87"/>
      <c r="K1253" s="87"/>
      <c r="L1253" s="88"/>
      <c r="N1253" s="107"/>
      <c r="O1253" s="108"/>
      <c r="P1253" s="108"/>
      <c r="Q1253" s="108"/>
      <c r="R1253" s="108"/>
      <c r="S1253" s="108"/>
      <c r="T1253" s="108"/>
      <c r="U1253" s="108"/>
      <c r="V1253" s="108"/>
      <c r="W1253" s="108"/>
      <c r="X1253" s="108"/>
      <c r="Y1253" s="108"/>
      <c r="Z1253" s="109"/>
    </row>
    <row r="1254" spans="1:26" ht="15" thickBot="1" x14ac:dyDescent="0.35"/>
    <row r="1255" spans="1:26" s="55" customFormat="1" ht="21" customHeight="1" x14ac:dyDescent="0.25">
      <c r="A1255" s="297" t="s">
        <v>56</v>
      </c>
      <c r="B1255" s="298"/>
      <c r="C1255" s="298"/>
      <c r="D1255" s="298"/>
      <c r="E1255" s="298"/>
      <c r="F1255" s="298"/>
      <c r="G1255" s="298"/>
      <c r="H1255" s="298"/>
      <c r="I1255" s="298"/>
      <c r="J1255" s="298"/>
      <c r="K1255" s="298"/>
      <c r="L1255" s="299"/>
      <c r="M1255" s="184"/>
      <c r="N1255" s="93"/>
      <c r="O1255" s="285" t="s">
        <v>58</v>
      </c>
      <c r="P1255" s="286"/>
      <c r="Q1255" s="286"/>
      <c r="R1255" s="287"/>
      <c r="S1255" s="94"/>
      <c r="T1255" s="285" t="s">
        <v>59</v>
      </c>
      <c r="U1255" s="286"/>
      <c r="V1255" s="286"/>
      <c r="W1255" s="286"/>
      <c r="X1255" s="286"/>
      <c r="Y1255" s="287"/>
      <c r="Z1255" s="95"/>
    </row>
    <row r="1256" spans="1:26" s="55" customFormat="1" ht="21" customHeight="1" x14ac:dyDescent="0.25">
      <c r="A1256" s="56"/>
      <c r="B1256" s="57"/>
      <c r="C1256" s="288" t="s">
        <v>114</v>
      </c>
      <c r="D1256" s="288"/>
      <c r="E1256" s="288"/>
      <c r="F1256" s="288"/>
      <c r="G1256" s="58" t="str">
        <f>$J$1</f>
        <v>June</v>
      </c>
      <c r="H1256" s="289">
        <f>$K$1</f>
        <v>2019</v>
      </c>
      <c r="I1256" s="289"/>
      <c r="J1256" s="57"/>
      <c r="K1256" s="59"/>
      <c r="L1256" s="60"/>
      <c r="M1256" s="59"/>
      <c r="N1256" s="96"/>
      <c r="O1256" s="97" t="s">
        <v>69</v>
      </c>
      <c r="P1256" s="97" t="s">
        <v>7</v>
      </c>
      <c r="Q1256" s="97" t="s">
        <v>6</v>
      </c>
      <c r="R1256" s="97" t="s">
        <v>70</v>
      </c>
      <c r="S1256" s="98"/>
      <c r="T1256" s="97" t="s">
        <v>69</v>
      </c>
      <c r="U1256" s="97" t="s">
        <v>71</v>
      </c>
      <c r="V1256" s="97" t="s">
        <v>29</v>
      </c>
      <c r="W1256" s="97" t="s">
        <v>28</v>
      </c>
      <c r="X1256" s="97" t="s">
        <v>30</v>
      </c>
      <c r="Y1256" s="97" t="s">
        <v>75</v>
      </c>
      <c r="Z1256" s="99"/>
    </row>
    <row r="1257" spans="1:26" s="55" customFormat="1" ht="21" customHeight="1" x14ac:dyDescent="0.25">
      <c r="A1257" s="56"/>
      <c r="B1257" s="57"/>
      <c r="C1257" s="57"/>
      <c r="D1257" s="62"/>
      <c r="E1257" s="62"/>
      <c r="F1257" s="62"/>
      <c r="G1257" s="62"/>
      <c r="H1257" s="62"/>
      <c r="I1257" s="57"/>
      <c r="J1257" s="63" t="s">
        <v>1</v>
      </c>
      <c r="K1257" s="64">
        <v>30000</v>
      </c>
      <c r="L1257" s="65"/>
      <c r="M1257" s="57"/>
      <c r="N1257" s="100"/>
      <c r="O1257" s="101" t="s">
        <v>61</v>
      </c>
      <c r="P1257" s="101">
        <v>30</v>
      </c>
      <c r="Q1257" s="101">
        <v>1</v>
      </c>
      <c r="R1257" s="101">
        <f>15-Q1257</f>
        <v>14</v>
      </c>
      <c r="S1257" s="102"/>
      <c r="T1257" s="101" t="s">
        <v>61</v>
      </c>
      <c r="U1257" s="103"/>
      <c r="V1257" s="103"/>
      <c r="W1257" s="103">
        <f>V1257+U1257</f>
        <v>0</v>
      </c>
      <c r="X1257" s="103"/>
      <c r="Y1257" s="103">
        <f>W1257-X1257</f>
        <v>0</v>
      </c>
      <c r="Z1257" s="99"/>
    </row>
    <row r="1258" spans="1:26" s="55" customFormat="1" ht="21" customHeight="1" x14ac:dyDescent="0.25">
      <c r="A1258" s="56"/>
      <c r="B1258" s="57" t="s">
        <v>0</v>
      </c>
      <c r="C1258" s="112" t="s">
        <v>135</v>
      </c>
      <c r="D1258" s="57"/>
      <c r="E1258" s="57"/>
      <c r="F1258" s="57"/>
      <c r="G1258" s="57"/>
      <c r="H1258" s="68"/>
      <c r="I1258" s="62"/>
      <c r="J1258" s="57"/>
      <c r="K1258" s="57"/>
      <c r="L1258" s="69"/>
      <c r="M1258" s="184"/>
      <c r="N1258" s="104"/>
      <c r="O1258" s="101" t="s">
        <v>87</v>
      </c>
      <c r="P1258" s="101">
        <v>28</v>
      </c>
      <c r="Q1258" s="101">
        <v>0</v>
      </c>
      <c r="R1258" s="101">
        <f>R1257-Q1258</f>
        <v>14</v>
      </c>
      <c r="S1258" s="105"/>
      <c r="T1258" s="101" t="s">
        <v>87</v>
      </c>
      <c r="U1258" s="177">
        <f>Y1257</f>
        <v>0</v>
      </c>
      <c r="V1258" s="103"/>
      <c r="W1258" s="177">
        <f>IF(U1258="","",U1258+V1258)</f>
        <v>0</v>
      </c>
      <c r="X1258" s="103"/>
      <c r="Y1258" s="177">
        <f>IF(W1258="","",W1258-X1258)</f>
        <v>0</v>
      </c>
      <c r="Z1258" s="106"/>
    </row>
    <row r="1259" spans="1:26" s="55" customFormat="1" ht="21" customHeight="1" x14ac:dyDescent="0.25">
      <c r="A1259" s="56"/>
      <c r="B1259" s="71" t="s">
        <v>57</v>
      </c>
      <c r="C1259" s="112"/>
      <c r="D1259" s="57"/>
      <c r="E1259" s="57"/>
      <c r="F1259" s="290" t="s">
        <v>59</v>
      </c>
      <c r="G1259" s="290"/>
      <c r="H1259" s="57"/>
      <c r="I1259" s="290" t="s">
        <v>60</v>
      </c>
      <c r="J1259" s="290"/>
      <c r="K1259" s="290"/>
      <c r="L1259" s="73"/>
      <c r="M1259" s="57"/>
      <c r="N1259" s="100"/>
      <c r="O1259" s="101" t="s">
        <v>62</v>
      </c>
      <c r="P1259" s="101">
        <v>29</v>
      </c>
      <c r="Q1259" s="101">
        <v>2</v>
      </c>
      <c r="R1259" s="101">
        <f>R1258-Q1259</f>
        <v>12</v>
      </c>
      <c r="S1259" s="105"/>
      <c r="T1259" s="101" t="s">
        <v>62</v>
      </c>
      <c r="U1259" s="177">
        <f>IF($J$1="April",Y1258,Y1258)</f>
        <v>0</v>
      </c>
      <c r="V1259" s="103"/>
      <c r="W1259" s="177">
        <f t="shared" ref="W1259:W1268" si="230">IF(U1259="","",U1259+V1259)</f>
        <v>0</v>
      </c>
      <c r="X1259" s="103"/>
      <c r="Y1259" s="177">
        <f t="shared" ref="Y1259:Y1268" si="231">IF(W1259="","",W1259-X1259)</f>
        <v>0</v>
      </c>
      <c r="Z1259" s="106"/>
    </row>
    <row r="1260" spans="1:26" s="55" customFormat="1" ht="21" customHeight="1" x14ac:dyDescent="0.25">
      <c r="A1260" s="56"/>
      <c r="B1260" s="57"/>
      <c r="C1260" s="57"/>
      <c r="D1260" s="57"/>
      <c r="E1260" s="57"/>
      <c r="F1260" s="57"/>
      <c r="G1260" s="57"/>
      <c r="H1260" s="74"/>
      <c r="L1260" s="61"/>
      <c r="M1260" s="57"/>
      <c r="N1260" s="100"/>
      <c r="O1260" s="101" t="s">
        <v>63</v>
      </c>
      <c r="P1260" s="101">
        <v>30</v>
      </c>
      <c r="Q1260" s="101">
        <v>0</v>
      </c>
      <c r="R1260" s="101">
        <f>R1259-Q1260</f>
        <v>12</v>
      </c>
      <c r="S1260" s="105"/>
      <c r="T1260" s="101" t="s">
        <v>63</v>
      </c>
      <c r="U1260" s="177">
        <f>IF($J$1="April",Y1259,Y1259)</f>
        <v>0</v>
      </c>
      <c r="V1260" s="103"/>
      <c r="W1260" s="177">
        <f t="shared" si="230"/>
        <v>0</v>
      </c>
      <c r="X1260" s="103"/>
      <c r="Y1260" s="177">
        <f t="shared" si="231"/>
        <v>0</v>
      </c>
      <c r="Z1260" s="106"/>
    </row>
    <row r="1261" spans="1:26" s="55" customFormat="1" ht="21" customHeight="1" x14ac:dyDescent="0.25">
      <c r="A1261" s="56"/>
      <c r="B1261" s="291" t="s">
        <v>58</v>
      </c>
      <c r="C1261" s="292"/>
      <c r="D1261" s="57"/>
      <c r="E1261" s="57"/>
      <c r="F1261" s="75" t="s">
        <v>80</v>
      </c>
      <c r="G1261" s="70">
        <f>IF($J$1="January",U1257,IF($J$1="February",U1258,IF($J$1="March",U1259,IF($J$1="April",U1260,IF($J$1="May",U1261,IF($J$1="June",U1262,IF($J$1="July",U1263,IF($J$1="August",U1264,IF($J$1="August",U1264,IF($J$1="September",U1265,IF($J$1="October",U1266,IF($J$1="November",U1267,IF($J$1="December",U1268)))))))))))))</f>
        <v>0</v>
      </c>
      <c r="H1261" s="74"/>
      <c r="I1261" s="76">
        <f>IF(C1265&gt;0,$K$2,C1263)</f>
        <v>30</v>
      </c>
      <c r="J1261" s="77" t="s">
        <v>77</v>
      </c>
      <c r="K1261" s="78">
        <f>K1257/$K$2*I1261</f>
        <v>30000</v>
      </c>
      <c r="L1261" s="79"/>
      <c r="M1261" s="57"/>
      <c r="N1261" s="100"/>
      <c r="O1261" s="101" t="s">
        <v>64</v>
      </c>
      <c r="P1261" s="101">
        <v>30</v>
      </c>
      <c r="Q1261" s="101">
        <v>1</v>
      </c>
      <c r="R1261" s="101">
        <f>R1260-Q1261</f>
        <v>11</v>
      </c>
      <c r="S1261" s="105"/>
      <c r="T1261" s="101" t="s">
        <v>64</v>
      </c>
      <c r="U1261" s="177">
        <f>IF($J$1="May",Y1260,Y1260)</f>
        <v>0</v>
      </c>
      <c r="V1261" s="103"/>
      <c r="W1261" s="177">
        <f t="shared" si="230"/>
        <v>0</v>
      </c>
      <c r="X1261" s="103"/>
      <c r="Y1261" s="177">
        <f t="shared" si="231"/>
        <v>0</v>
      </c>
      <c r="Z1261" s="106"/>
    </row>
    <row r="1262" spans="1:26" s="55" customFormat="1" ht="21" customHeight="1" x14ac:dyDescent="0.25">
      <c r="A1262" s="56"/>
      <c r="B1262" s="66"/>
      <c r="C1262" s="66"/>
      <c r="D1262" s="57"/>
      <c r="E1262" s="57"/>
      <c r="F1262" s="75" t="s">
        <v>29</v>
      </c>
      <c r="G1262" s="70">
        <f>IF($J$1="January",V1257,IF($J$1="February",V1258,IF($J$1="March",V1259,IF($J$1="April",V1260,IF($J$1="May",V1261,IF($J$1="June",V1262,IF($J$1="July",V1263,IF($J$1="August",V1264,IF($J$1="August",V1264,IF($J$1="September",V1265,IF($J$1="October",V1266,IF($J$1="November",V1267,IF($J$1="December",V1268)))))))))))))</f>
        <v>0</v>
      </c>
      <c r="H1262" s="74"/>
      <c r="I1262" s="120">
        <v>8</v>
      </c>
      <c r="J1262" s="77" t="s">
        <v>78</v>
      </c>
      <c r="K1262" s="80">
        <f>K1257/$K$2/8*I1262</f>
        <v>1000</v>
      </c>
      <c r="L1262" s="81"/>
      <c r="M1262" s="57"/>
      <c r="N1262" s="100"/>
      <c r="O1262" s="101" t="s">
        <v>65</v>
      </c>
      <c r="P1262" s="101">
        <v>29</v>
      </c>
      <c r="Q1262" s="101">
        <v>1</v>
      </c>
      <c r="R1262" s="101">
        <f>R1261-Q1262</f>
        <v>10</v>
      </c>
      <c r="S1262" s="105"/>
      <c r="T1262" s="101" t="s">
        <v>65</v>
      </c>
      <c r="U1262" s="177">
        <f>IF($J$1="May",Y1261,Y1261)</f>
        <v>0</v>
      </c>
      <c r="V1262" s="103"/>
      <c r="W1262" s="177">
        <f t="shared" si="230"/>
        <v>0</v>
      </c>
      <c r="X1262" s="103"/>
      <c r="Y1262" s="177">
        <f t="shared" si="231"/>
        <v>0</v>
      </c>
      <c r="Z1262" s="106"/>
    </row>
    <row r="1263" spans="1:26" s="55" customFormat="1" ht="21" customHeight="1" x14ac:dyDescent="0.25">
      <c r="A1263" s="56"/>
      <c r="B1263" s="75" t="s">
        <v>7</v>
      </c>
      <c r="C1263" s="66">
        <f>IF($J$1="January",P1257,IF($J$1="February",P1258,IF($J$1="March",P1259,IF($J$1="April",P1260,IF($J$1="May",P1261,IF($J$1="June",P1262,IF($J$1="July",P1263,IF($J$1="August",P1264,IF($J$1="August",P1264,IF($J$1="September",P1265,IF($J$1="October",P1266,IF($J$1="November",P1267,IF($J$1="December",P1268)))))))))))))</f>
        <v>29</v>
      </c>
      <c r="D1263" s="57"/>
      <c r="E1263" s="57"/>
      <c r="F1263" s="75" t="s">
        <v>81</v>
      </c>
      <c r="G1263" s="70">
        <f>IF($J$1="January",W1257,IF($J$1="February",W1258,IF($J$1="March",W1259,IF($J$1="April",W1260,IF($J$1="May",W1261,IF($J$1="June",W1262,IF($J$1="July",W1263,IF($J$1="August",W1264,IF($J$1="August",W1264,IF($J$1="September",W1265,IF($J$1="October",W1266,IF($J$1="November",W1267,IF($J$1="December",W1268)))))))))))))</f>
        <v>0</v>
      </c>
      <c r="H1263" s="74"/>
      <c r="I1263" s="293" t="s">
        <v>85</v>
      </c>
      <c r="J1263" s="294"/>
      <c r="K1263" s="80">
        <f>K1261+K1262</f>
        <v>31000</v>
      </c>
      <c r="L1263" s="81"/>
      <c r="M1263" s="57"/>
      <c r="N1263" s="100"/>
      <c r="O1263" s="101" t="s">
        <v>66</v>
      </c>
      <c r="P1263" s="101"/>
      <c r="Q1263" s="101"/>
      <c r="R1263" s="101">
        <v>0</v>
      </c>
      <c r="S1263" s="105"/>
      <c r="T1263" s="101" t="s">
        <v>66</v>
      </c>
      <c r="U1263" s="177" t="str">
        <f>IF($J$1="July",Y1262,"")</f>
        <v/>
      </c>
      <c r="V1263" s="103"/>
      <c r="W1263" s="177" t="str">
        <f t="shared" si="230"/>
        <v/>
      </c>
      <c r="X1263" s="103"/>
      <c r="Y1263" s="177" t="str">
        <f t="shared" si="231"/>
        <v/>
      </c>
      <c r="Z1263" s="106"/>
    </row>
    <row r="1264" spans="1:26" s="55" customFormat="1" ht="21" customHeight="1" x14ac:dyDescent="0.25">
      <c r="A1264" s="56"/>
      <c r="B1264" s="75" t="s">
        <v>6</v>
      </c>
      <c r="C1264" s="66">
        <f>IF($J$1="January",Q1257,IF($J$1="February",Q1258,IF($J$1="March",Q1259,IF($J$1="April",Q1260,IF($J$1="May",Q1261,IF($J$1="June",Q1262,IF($J$1="July",Q1263,IF($J$1="August",Q1264,IF($J$1="August",Q1264,IF($J$1="September",Q1265,IF($J$1="October",Q1266,IF($J$1="November",Q1267,IF($J$1="December",Q1268)))))))))))))</f>
        <v>1</v>
      </c>
      <c r="D1264" s="57"/>
      <c r="E1264" s="57"/>
      <c r="F1264" s="75" t="s">
        <v>30</v>
      </c>
      <c r="G1264" s="70">
        <f>IF($J$1="January",X1257,IF($J$1="February",X1258,IF($J$1="March",X1259,IF($J$1="April",X1260,IF($J$1="May",X1261,IF($J$1="June",X1262,IF($J$1="July",X1263,IF($J$1="August",X1264,IF($J$1="August",X1264,IF($J$1="September",X1265,IF($J$1="October",X1266,IF($J$1="November",X1267,IF($J$1="December",X1268)))))))))))))</f>
        <v>0</v>
      </c>
      <c r="H1264" s="74"/>
      <c r="I1264" s="293" t="s">
        <v>86</v>
      </c>
      <c r="J1264" s="294"/>
      <c r="K1264" s="70">
        <f>G1264</f>
        <v>0</v>
      </c>
      <c r="L1264" s="82"/>
      <c r="M1264" s="57"/>
      <c r="N1264" s="100"/>
      <c r="O1264" s="101" t="s">
        <v>67</v>
      </c>
      <c r="P1264" s="101"/>
      <c r="Q1264" s="101"/>
      <c r="R1264" s="101">
        <v>0</v>
      </c>
      <c r="S1264" s="105"/>
      <c r="T1264" s="101" t="s">
        <v>67</v>
      </c>
      <c r="U1264" s="177" t="str">
        <f>IF($J$1="September",Y1263,"")</f>
        <v/>
      </c>
      <c r="V1264" s="103"/>
      <c r="W1264" s="177" t="str">
        <f t="shared" si="230"/>
        <v/>
      </c>
      <c r="X1264" s="103"/>
      <c r="Y1264" s="177" t="str">
        <f t="shared" si="231"/>
        <v/>
      </c>
      <c r="Z1264" s="106"/>
    </row>
    <row r="1265" spans="1:28" s="55" customFormat="1" ht="21" customHeight="1" x14ac:dyDescent="0.25">
      <c r="A1265" s="56"/>
      <c r="B1265" s="83" t="s">
        <v>84</v>
      </c>
      <c r="C1265" s="66">
        <f>IF($J$1="January",R1257,IF($J$1="February",R1258,IF($J$1="March",R1259,IF($J$1="April",R1260,IF($J$1="May",R1261,IF($J$1="June",R1262,IF($J$1="July",R1263,IF($J$1="August",R1264,IF($J$1="August",R1264,IF($J$1="September",R1265,IF($J$1="October",R1266,IF($J$1="November",R1267,IF($J$1="December",R1268)))))))))))))</f>
        <v>10</v>
      </c>
      <c r="D1265" s="57"/>
      <c r="E1265" s="57"/>
      <c r="F1265" s="75" t="s">
        <v>83</v>
      </c>
      <c r="G1265" s="70">
        <f>IF($J$1="January",Y1257,IF($J$1="February",Y1258,IF($J$1="March",Y1259,IF($J$1="April",Y1260,IF($J$1="May",Y1261,IF($J$1="June",Y1262,IF($J$1="July",Y1263,IF($J$1="August",Y1264,IF($J$1="August",Y1264,IF($J$1="September",Y1265,IF($J$1="October",Y1266,IF($J$1="November",Y1267,IF($J$1="December",Y1268)))))))))))))</f>
        <v>0</v>
      </c>
      <c r="H1265" s="57"/>
      <c r="I1265" s="295" t="s">
        <v>79</v>
      </c>
      <c r="J1265" s="296"/>
      <c r="K1265" s="84">
        <f>K1263-K1264</f>
        <v>31000</v>
      </c>
      <c r="L1265" s="85"/>
      <c r="M1265" s="57"/>
      <c r="N1265" s="100"/>
      <c r="O1265" s="101" t="s">
        <v>72</v>
      </c>
      <c r="P1265" s="101"/>
      <c r="Q1265" s="101"/>
      <c r="R1265" s="101" t="str">
        <f t="shared" ref="R1265:R1267" si="232">IF(Q1265="","",R1264-Q1265)</f>
        <v/>
      </c>
      <c r="S1265" s="105"/>
      <c r="T1265" s="101" t="s">
        <v>72</v>
      </c>
      <c r="U1265" s="177" t="str">
        <f>IF($J$1="September",Y1264,"")</f>
        <v/>
      </c>
      <c r="V1265" s="103"/>
      <c r="W1265" s="177" t="str">
        <f t="shared" si="230"/>
        <v/>
      </c>
      <c r="X1265" s="103"/>
      <c r="Y1265" s="177" t="str">
        <f t="shared" si="231"/>
        <v/>
      </c>
      <c r="Z1265" s="106"/>
    </row>
    <row r="1266" spans="1:28" s="55" customFormat="1" ht="21" customHeight="1" x14ac:dyDescent="0.25">
      <c r="A1266" s="56"/>
      <c r="B1266" s="57"/>
      <c r="C1266" s="57"/>
      <c r="D1266" s="57"/>
      <c r="E1266" s="57"/>
      <c r="F1266" s="57"/>
      <c r="G1266" s="57"/>
      <c r="H1266" s="57"/>
      <c r="I1266" s="57"/>
      <c r="J1266" s="57"/>
      <c r="K1266" s="57"/>
      <c r="L1266" s="73"/>
      <c r="M1266" s="57"/>
      <c r="N1266" s="100"/>
      <c r="O1266" s="101" t="s">
        <v>68</v>
      </c>
      <c r="P1266" s="101"/>
      <c r="Q1266" s="101"/>
      <c r="R1266" s="101">
        <v>0</v>
      </c>
      <c r="S1266" s="105"/>
      <c r="T1266" s="101" t="s">
        <v>68</v>
      </c>
      <c r="U1266" s="177" t="str">
        <f>IF($J$1="October",Y1265,"")</f>
        <v/>
      </c>
      <c r="V1266" s="103"/>
      <c r="W1266" s="177" t="str">
        <f t="shared" si="230"/>
        <v/>
      </c>
      <c r="X1266" s="103"/>
      <c r="Y1266" s="177" t="str">
        <f t="shared" si="231"/>
        <v/>
      </c>
      <c r="Z1266" s="106"/>
    </row>
    <row r="1267" spans="1:28" s="55" customFormat="1" ht="21" customHeight="1" x14ac:dyDescent="0.25">
      <c r="A1267" s="56"/>
      <c r="B1267" s="284" t="s">
        <v>116</v>
      </c>
      <c r="C1267" s="284"/>
      <c r="D1267" s="284"/>
      <c r="E1267" s="284"/>
      <c r="F1267" s="284"/>
      <c r="G1267" s="284"/>
      <c r="H1267" s="284"/>
      <c r="I1267" s="284"/>
      <c r="J1267" s="284"/>
      <c r="K1267" s="284"/>
      <c r="L1267" s="73"/>
      <c r="M1267" s="57"/>
      <c r="N1267" s="100"/>
      <c r="O1267" s="101" t="s">
        <v>73</v>
      </c>
      <c r="P1267" s="101"/>
      <c r="Q1267" s="101"/>
      <c r="R1267" s="101" t="str">
        <f t="shared" si="232"/>
        <v/>
      </c>
      <c r="S1267" s="105"/>
      <c r="T1267" s="101" t="s">
        <v>73</v>
      </c>
      <c r="U1267" s="177" t="str">
        <f>IF($J$1="November",Y1266,"")</f>
        <v/>
      </c>
      <c r="V1267" s="103"/>
      <c r="W1267" s="177" t="str">
        <f t="shared" si="230"/>
        <v/>
      </c>
      <c r="X1267" s="103"/>
      <c r="Y1267" s="177" t="str">
        <f t="shared" si="231"/>
        <v/>
      </c>
      <c r="Z1267" s="106"/>
    </row>
    <row r="1268" spans="1:28" s="55" customFormat="1" ht="21" customHeight="1" x14ac:dyDescent="0.25">
      <c r="A1268" s="56"/>
      <c r="B1268" s="284"/>
      <c r="C1268" s="284"/>
      <c r="D1268" s="284"/>
      <c r="E1268" s="284"/>
      <c r="F1268" s="284"/>
      <c r="G1268" s="284"/>
      <c r="H1268" s="284"/>
      <c r="I1268" s="284"/>
      <c r="J1268" s="284"/>
      <c r="K1268" s="284"/>
      <c r="L1268" s="73"/>
      <c r="M1268" s="57"/>
      <c r="N1268" s="100"/>
      <c r="O1268" s="101" t="s">
        <v>74</v>
      </c>
      <c r="P1268" s="101"/>
      <c r="Q1268" s="101"/>
      <c r="R1268" s="101">
        <v>0</v>
      </c>
      <c r="S1268" s="105"/>
      <c r="T1268" s="101" t="s">
        <v>74</v>
      </c>
      <c r="U1268" s="177" t="str">
        <f>IF($J$1="Dec",Y1267,"")</f>
        <v/>
      </c>
      <c r="V1268" s="103"/>
      <c r="W1268" s="177" t="str">
        <f t="shared" si="230"/>
        <v/>
      </c>
      <c r="X1268" s="103"/>
      <c r="Y1268" s="177" t="str">
        <f t="shared" si="231"/>
        <v/>
      </c>
      <c r="Z1268" s="106"/>
    </row>
    <row r="1269" spans="1:28" s="55" customFormat="1" ht="21" customHeight="1" thickBot="1" x14ac:dyDescent="0.3">
      <c r="A1269" s="86"/>
      <c r="B1269" s="87"/>
      <c r="C1269" s="87"/>
      <c r="D1269" s="87"/>
      <c r="E1269" s="87"/>
      <c r="F1269" s="87"/>
      <c r="G1269" s="87"/>
      <c r="H1269" s="87"/>
      <c r="I1269" s="87"/>
      <c r="J1269" s="87"/>
      <c r="K1269" s="87"/>
      <c r="L1269" s="88"/>
      <c r="N1269" s="107"/>
      <c r="O1269" s="108"/>
      <c r="P1269" s="108"/>
      <c r="Q1269" s="108"/>
      <c r="R1269" s="108"/>
      <c r="S1269" s="108"/>
      <c r="T1269" s="108"/>
      <c r="U1269" s="108"/>
      <c r="V1269" s="108"/>
      <c r="W1269" s="108"/>
      <c r="X1269" s="108"/>
      <c r="Y1269" s="108"/>
      <c r="Z1269" s="109"/>
    </row>
    <row r="1270" spans="1:28" ht="15" thickBot="1" x14ac:dyDescent="0.35">
      <c r="AB1270" s="185"/>
    </row>
    <row r="1271" spans="1:28" s="55" customFormat="1" ht="21" customHeight="1" x14ac:dyDescent="0.25">
      <c r="A1271" s="297" t="s">
        <v>56</v>
      </c>
      <c r="B1271" s="298"/>
      <c r="C1271" s="298"/>
      <c r="D1271" s="298"/>
      <c r="E1271" s="298"/>
      <c r="F1271" s="298"/>
      <c r="G1271" s="298"/>
      <c r="H1271" s="298"/>
      <c r="I1271" s="298"/>
      <c r="J1271" s="298"/>
      <c r="K1271" s="298"/>
      <c r="L1271" s="299"/>
      <c r="M1271" s="199"/>
      <c r="N1271" s="93"/>
      <c r="O1271" s="285" t="s">
        <v>58</v>
      </c>
      <c r="P1271" s="286"/>
      <c r="Q1271" s="286"/>
      <c r="R1271" s="287"/>
      <c r="S1271" s="94"/>
      <c r="T1271" s="285" t="s">
        <v>59</v>
      </c>
      <c r="U1271" s="286"/>
      <c r="V1271" s="286"/>
      <c r="W1271" s="286"/>
      <c r="X1271" s="286"/>
      <c r="Y1271" s="287"/>
      <c r="Z1271" s="95"/>
    </row>
    <row r="1272" spans="1:28" s="55" customFormat="1" ht="21" customHeight="1" x14ac:dyDescent="0.25">
      <c r="A1272" s="56"/>
      <c r="B1272" s="57"/>
      <c r="C1272" s="288" t="s">
        <v>114</v>
      </c>
      <c r="D1272" s="288"/>
      <c r="E1272" s="288"/>
      <c r="F1272" s="288"/>
      <c r="G1272" s="58" t="str">
        <f>$J$1</f>
        <v>June</v>
      </c>
      <c r="H1272" s="289">
        <f>$K$1</f>
        <v>2019</v>
      </c>
      <c r="I1272" s="289"/>
      <c r="J1272" s="57"/>
      <c r="K1272" s="59"/>
      <c r="L1272" s="60"/>
      <c r="M1272" s="59"/>
      <c r="N1272" s="96"/>
      <c r="O1272" s="97" t="s">
        <v>69</v>
      </c>
      <c r="P1272" s="97" t="s">
        <v>7</v>
      </c>
      <c r="Q1272" s="97" t="s">
        <v>6</v>
      </c>
      <c r="R1272" s="97" t="s">
        <v>70</v>
      </c>
      <c r="S1272" s="98"/>
      <c r="T1272" s="97" t="s">
        <v>69</v>
      </c>
      <c r="U1272" s="97" t="s">
        <v>71</v>
      </c>
      <c r="V1272" s="97" t="s">
        <v>29</v>
      </c>
      <c r="W1272" s="97" t="s">
        <v>28</v>
      </c>
      <c r="X1272" s="97" t="s">
        <v>30</v>
      </c>
      <c r="Y1272" s="97" t="s">
        <v>75</v>
      </c>
      <c r="Z1272" s="99"/>
    </row>
    <row r="1273" spans="1:28" s="55" customFormat="1" ht="21" customHeight="1" x14ac:dyDescent="0.25">
      <c r="A1273" s="56"/>
      <c r="B1273" s="57"/>
      <c r="C1273" s="57"/>
      <c r="D1273" s="62"/>
      <c r="E1273" s="62"/>
      <c r="F1273" s="62"/>
      <c r="G1273" s="62"/>
      <c r="H1273" s="62"/>
      <c r="I1273" s="57"/>
      <c r="J1273" s="63" t="s">
        <v>1</v>
      </c>
      <c r="K1273" s="64">
        <v>14000</v>
      </c>
      <c r="L1273" s="65"/>
      <c r="M1273" s="57"/>
      <c r="N1273" s="100"/>
      <c r="O1273" s="101" t="s">
        <v>61</v>
      </c>
      <c r="P1273" s="101">
        <v>25</v>
      </c>
      <c r="Q1273" s="101">
        <v>6</v>
      </c>
      <c r="R1273" s="101">
        <v>0</v>
      </c>
      <c r="S1273" s="102"/>
      <c r="T1273" s="101" t="s">
        <v>61</v>
      </c>
      <c r="U1273" s="103">
        <v>8000</v>
      </c>
      <c r="V1273" s="103"/>
      <c r="W1273" s="103">
        <f>V1273+U1273</f>
        <v>8000</v>
      </c>
      <c r="X1273" s="103">
        <v>4000</v>
      </c>
      <c r="Y1273" s="103">
        <f>W1273-X1273</f>
        <v>4000</v>
      </c>
      <c r="Z1273" s="99"/>
    </row>
    <row r="1274" spans="1:28" s="55" customFormat="1" ht="21" customHeight="1" x14ac:dyDescent="0.25">
      <c r="A1274" s="56"/>
      <c r="B1274" s="57" t="s">
        <v>0</v>
      </c>
      <c r="C1274" s="112" t="s">
        <v>144</v>
      </c>
      <c r="D1274" s="57"/>
      <c r="E1274" s="57"/>
      <c r="F1274" s="57"/>
      <c r="G1274" s="57"/>
      <c r="H1274" s="68"/>
      <c r="I1274" s="62"/>
      <c r="J1274" s="57"/>
      <c r="K1274" s="57"/>
      <c r="L1274" s="69"/>
      <c r="M1274" s="199"/>
      <c r="N1274" s="104"/>
      <c r="O1274" s="101" t="s">
        <v>87</v>
      </c>
      <c r="P1274" s="101">
        <v>25</v>
      </c>
      <c r="Q1274" s="101">
        <v>3</v>
      </c>
      <c r="R1274" s="101">
        <v>0</v>
      </c>
      <c r="S1274" s="105"/>
      <c r="T1274" s="101" t="s">
        <v>87</v>
      </c>
      <c r="U1274" s="177">
        <f>Y1273</f>
        <v>4000</v>
      </c>
      <c r="V1274" s="103">
        <v>5000</v>
      </c>
      <c r="W1274" s="177">
        <f>IF(U1274="","",U1274+V1274)</f>
        <v>9000</v>
      </c>
      <c r="X1274" s="103">
        <v>2000</v>
      </c>
      <c r="Y1274" s="177">
        <f>IF(W1274="","",W1274-X1274)</f>
        <v>7000</v>
      </c>
      <c r="Z1274" s="106"/>
    </row>
    <row r="1275" spans="1:28" s="55" customFormat="1" ht="21" customHeight="1" x14ac:dyDescent="0.25">
      <c r="A1275" s="56"/>
      <c r="B1275" s="71" t="s">
        <v>57</v>
      </c>
      <c r="C1275" s="112"/>
      <c r="D1275" s="57"/>
      <c r="E1275" s="57"/>
      <c r="F1275" s="290" t="s">
        <v>59</v>
      </c>
      <c r="G1275" s="290"/>
      <c r="H1275" s="57"/>
      <c r="I1275" s="290" t="s">
        <v>60</v>
      </c>
      <c r="J1275" s="290"/>
      <c r="K1275" s="290"/>
      <c r="L1275" s="73"/>
      <c r="M1275" s="57"/>
      <c r="N1275" s="100"/>
      <c r="O1275" s="101" t="s">
        <v>62</v>
      </c>
      <c r="P1275" s="101">
        <v>27</v>
      </c>
      <c r="Q1275" s="101">
        <v>4</v>
      </c>
      <c r="R1275" s="101">
        <v>0</v>
      </c>
      <c r="S1275" s="105"/>
      <c r="T1275" s="101" t="s">
        <v>62</v>
      </c>
      <c r="U1275" s="177">
        <f>Y1274</f>
        <v>7000</v>
      </c>
      <c r="V1275" s="103">
        <f>1500+500+500</f>
        <v>2500</v>
      </c>
      <c r="W1275" s="177">
        <f t="shared" ref="W1275:W1284" si="233">IF(U1275="","",U1275+V1275)</f>
        <v>9500</v>
      </c>
      <c r="X1275" s="103">
        <v>2000</v>
      </c>
      <c r="Y1275" s="177">
        <f t="shared" ref="Y1275:Y1284" si="234">IF(W1275="","",W1275-X1275)</f>
        <v>7500</v>
      </c>
      <c r="Z1275" s="106"/>
    </row>
    <row r="1276" spans="1:28" s="55" customFormat="1" ht="21" customHeight="1" x14ac:dyDescent="0.25">
      <c r="A1276" s="56"/>
      <c r="B1276" s="57"/>
      <c r="C1276" s="57"/>
      <c r="D1276" s="57"/>
      <c r="E1276" s="57"/>
      <c r="F1276" s="57"/>
      <c r="G1276" s="57"/>
      <c r="H1276" s="74"/>
      <c r="L1276" s="61"/>
      <c r="M1276" s="57"/>
      <c r="N1276" s="100"/>
      <c r="O1276" s="101" t="s">
        <v>63</v>
      </c>
      <c r="P1276" s="101">
        <v>23</v>
      </c>
      <c r="Q1276" s="101">
        <v>7</v>
      </c>
      <c r="R1276" s="101">
        <f>IF(Q1276="","",R1275-Q1276)</f>
        <v>-7</v>
      </c>
      <c r="S1276" s="105"/>
      <c r="T1276" s="101" t="s">
        <v>63</v>
      </c>
      <c r="U1276" s="177">
        <f>Y1275</f>
        <v>7500</v>
      </c>
      <c r="V1276" s="103">
        <v>10000</v>
      </c>
      <c r="W1276" s="177">
        <f t="shared" si="233"/>
        <v>17500</v>
      </c>
      <c r="X1276" s="103">
        <v>5000</v>
      </c>
      <c r="Y1276" s="177">
        <f t="shared" si="234"/>
        <v>12500</v>
      </c>
      <c r="Z1276" s="106"/>
    </row>
    <row r="1277" spans="1:28" s="55" customFormat="1" ht="21" customHeight="1" x14ac:dyDescent="0.25">
      <c r="A1277" s="56"/>
      <c r="B1277" s="291" t="s">
        <v>58</v>
      </c>
      <c r="C1277" s="292"/>
      <c r="D1277" s="57"/>
      <c r="E1277" s="57"/>
      <c r="F1277" s="75" t="s">
        <v>80</v>
      </c>
      <c r="G1277" s="70">
        <f>IF($J$1="January",U1273,IF($J$1="February",U1274,IF($J$1="March",U1275,IF($J$1="April",U1276,IF($J$1="May",U1277,IF($J$1="June",U1278,IF($J$1="July",U1279,IF($J$1="August",U1280,IF($J$1="August",U1280,IF($J$1="September",U1281,IF($J$1="October",U1282,IF($J$1="November",U1283,IF($J$1="December",U1284)))))))))))))</f>
        <v>0</v>
      </c>
      <c r="H1277" s="74"/>
      <c r="I1277" s="76">
        <f>IF(C1281&gt;0,$K$2,C1279)</f>
        <v>11</v>
      </c>
      <c r="J1277" s="77" t="s">
        <v>77</v>
      </c>
      <c r="K1277" s="78">
        <f>K1273/$K$2*I1277</f>
        <v>5133.3333333333339</v>
      </c>
      <c r="L1277" s="79"/>
      <c r="M1277" s="57"/>
      <c r="N1277" s="100"/>
      <c r="O1277" s="101" t="s">
        <v>64</v>
      </c>
      <c r="P1277" s="101">
        <v>29</v>
      </c>
      <c r="Q1277" s="101">
        <v>2</v>
      </c>
      <c r="R1277" s="101">
        <v>0</v>
      </c>
      <c r="S1277" s="105"/>
      <c r="T1277" s="101" t="s">
        <v>64</v>
      </c>
      <c r="U1277" s="177">
        <f>IF($J$1="May",Y1276,0)</f>
        <v>0</v>
      </c>
      <c r="V1277" s="103"/>
      <c r="W1277" s="177">
        <f t="shared" si="233"/>
        <v>0</v>
      </c>
      <c r="X1277" s="103"/>
      <c r="Y1277" s="177">
        <f t="shared" si="234"/>
        <v>0</v>
      </c>
      <c r="Z1277" s="106"/>
    </row>
    <row r="1278" spans="1:28" s="55" customFormat="1" ht="21" customHeight="1" x14ac:dyDescent="0.25">
      <c r="A1278" s="56"/>
      <c r="B1278" s="66"/>
      <c r="C1278" s="66"/>
      <c r="D1278" s="57"/>
      <c r="E1278" s="57"/>
      <c r="F1278" s="75" t="s">
        <v>29</v>
      </c>
      <c r="G1278" s="70">
        <f>IF($J$1="January",V1273,IF($J$1="February",V1274,IF($J$1="March",V1275,IF($J$1="April",V1276,IF($J$1="May",V1277,IF($J$1="June",V1278,IF($J$1="July",V1279,IF($J$1="August",V1280,IF($J$1="August",V1280,IF($J$1="September",V1281,IF($J$1="October",V1282,IF($J$1="November",V1283,IF($J$1="December",V1284)))))))))))))</f>
        <v>0</v>
      </c>
      <c r="H1278" s="74"/>
      <c r="I1278" s="120"/>
      <c r="J1278" s="77" t="s">
        <v>78</v>
      </c>
      <c r="K1278" s="80">
        <f>K1273/$K$2/8*I1278</f>
        <v>0</v>
      </c>
      <c r="L1278" s="81"/>
      <c r="M1278" s="57"/>
      <c r="N1278" s="100"/>
      <c r="O1278" s="101" t="s">
        <v>65</v>
      </c>
      <c r="P1278" s="101">
        <v>11</v>
      </c>
      <c r="Q1278" s="101">
        <v>19</v>
      </c>
      <c r="R1278" s="101">
        <v>0</v>
      </c>
      <c r="S1278" s="105"/>
      <c r="T1278" s="101" t="s">
        <v>65</v>
      </c>
      <c r="U1278" s="177">
        <f>IF($J$1="April",Y1277,Y1277)</f>
        <v>0</v>
      </c>
      <c r="V1278" s="103"/>
      <c r="W1278" s="177">
        <f t="shared" si="233"/>
        <v>0</v>
      </c>
      <c r="X1278" s="103"/>
      <c r="Y1278" s="177">
        <f t="shared" si="234"/>
        <v>0</v>
      </c>
      <c r="Z1278" s="106"/>
    </row>
    <row r="1279" spans="1:28" s="55" customFormat="1" ht="21" customHeight="1" x14ac:dyDescent="0.25">
      <c r="A1279" s="56"/>
      <c r="B1279" s="75" t="s">
        <v>7</v>
      </c>
      <c r="C1279" s="66">
        <f>IF($J$1="January",P1273,IF($J$1="February",P1274,IF($J$1="March",P1275,IF($J$1="April",P1276,IF($J$1="May",P1277,IF($J$1="June",P1278,IF($J$1="July",P1279,IF($J$1="August",P1280,IF($J$1="August",P1280,IF($J$1="September",P1281,IF($J$1="October",P1282,IF($J$1="November",P1283,IF($J$1="December",P1284)))))))))))))</f>
        <v>11</v>
      </c>
      <c r="D1279" s="57"/>
      <c r="E1279" s="57"/>
      <c r="F1279" s="75" t="s">
        <v>81</v>
      </c>
      <c r="G1279" s="70">
        <f>IF($J$1="January",W1273,IF($J$1="February",W1274,IF($J$1="March",W1275,IF($J$1="April",W1276,IF($J$1="May",W1277,IF($J$1="June",W1278,IF($J$1="July",W1279,IF($J$1="August",W1280,IF($J$1="August",W1280,IF($J$1="September",W1281,IF($J$1="October",W1282,IF($J$1="November",W1283,IF($J$1="December",W1284)))))))))))))</f>
        <v>0</v>
      </c>
      <c r="H1279" s="74"/>
      <c r="I1279" s="293" t="s">
        <v>85</v>
      </c>
      <c r="J1279" s="294"/>
      <c r="K1279" s="80">
        <f>K1277+K1278</f>
        <v>5133.3333333333339</v>
      </c>
      <c r="L1279" s="81"/>
      <c r="M1279" s="57"/>
      <c r="N1279" s="100"/>
      <c r="O1279" s="101" t="s">
        <v>66</v>
      </c>
      <c r="P1279" s="101"/>
      <c r="Q1279" s="101"/>
      <c r="R1279" s="101">
        <v>0</v>
      </c>
      <c r="S1279" s="105"/>
      <c r="T1279" s="101" t="s">
        <v>66</v>
      </c>
      <c r="U1279" s="177"/>
      <c r="V1279" s="103"/>
      <c r="W1279" s="177" t="str">
        <f t="shared" si="233"/>
        <v/>
      </c>
      <c r="X1279" s="103"/>
      <c r="Y1279" s="177" t="str">
        <f t="shared" si="234"/>
        <v/>
      </c>
      <c r="Z1279" s="106"/>
    </row>
    <row r="1280" spans="1:28" s="55" customFormat="1" ht="21" customHeight="1" x14ac:dyDescent="0.25">
      <c r="A1280" s="56"/>
      <c r="B1280" s="75" t="s">
        <v>6</v>
      </c>
      <c r="C1280" s="66">
        <f>IF($J$1="January",Q1273,IF($J$1="February",Q1274,IF($J$1="March",Q1275,IF($J$1="April",Q1276,IF($J$1="May",Q1277,IF($J$1="June",Q1278,IF($J$1="July",Q1279,IF($J$1="August",Q1280,IF($J$1="August",Q1280,IF($J$1="September",Q1281,IF($J$1="October",Q1282,IF($J$1="November",Q1283,IF($J$1="December",Q1284)))))))))))))</f>
        <v>19</v>
      </c>
      <c r="D1280" s="57"/>
      <c r="E1280" s="57"/>
      <c r="F1280" s="75" t="s">
        <v>30</v>
      </c>
      <c r="G1280" s="70">
        <f>IF($J$1="January",X1273,IF($J$1="February",X1274,IF($J$1="March",X1275,IF($J$1="April",X1276,IF($J$1="May",X1277,IF($J$1="June",X1278,IF($J$1="July",X1279,IF($J$1="August",X1280,IF($J$1="August",X1280,IF($J$1="September",X1281,IF($J$1="October",X1282,IF($J$1="November",X1283,IF($J$1="December",X1284)))))))))))))</f>
        <v>0</v>
      </c>
      <c r="H1280" s="74"/>
      <c r="I1280" s="293" t="s">
        <v>86</v>
      </c>
      <c r="J1280" s="294"/>
      <c r="K1280" s="70">
        <f>G1280</f>
        <v>0</v>
      </c>
      <c r="L1280" s="82"/>
      <c r="M1280" s="57"/>
      <c r="N1280" s="100"/>
      <c r="O1280" s="101" t="s">
        <v>67</v>
      </c>
      <c r="P1280" s="101"/>
      <c r="Q1280" s="101"/>
      <c r="R1280" s="101">
        <v>0</v>
      </c>
      <c r="S1280" s="105"/>
      <c r="T1280" s="101" t="s">
        <v>67</v>
      </c>
      <c r="U1280" s="177"/>
      <c r="V1280" s="103"/>
      <c r="W1280" s="177" t="str">
        <f t="shared" si="233"/>
        <v/>
      </c>
      <c r="X1280" s="103"/>
      <c r="Y1280" s="177" t="str">
        <f t="shared" si="234"/>
        <v/>
      </c>
      <c r="Z1280" s="106"/>
    </row>
    <row r="1281" spans="1:26" s="55" customFormat="1" ht="21" customHeight="1" x14ac:dyDescent="0.25">
      <c r="A1281" s="56"/>
      <c r="B1281" s="83" t="s">
        <v>84</v>
      </c>
      <c r="C1281" s="66">
        <f>IF($J$1="January",R1273,IF($J$1="February",R1274,IF($J$1="March",R1275,IF($J$1="April",R1276,IF($J$1="May",R1277,IF($J$1="June",R1278,IF($J$1="July",R1279,IF($J$1="August",R1280,IF($J$1="August",R1280,IF($J$1="September",R1281,IF($J$1="October",R1282,IF($J$1="November",R1283,IF($J$1="December",R1284)))))))))))))</f>
        <v>0</v>
      </c>
      <c r="D1281" s="57"/>
      <c r="E1281" s="57"/>
      <c r="F1281" s="75" t="s">
        <v>83</v>
      </c>
      <c r="G1281" s="70">
        <f>IF($J$1="January",Y1273,IF($J$1="February",Y1274,IF($J$1="March",Y1275,IF($J$1="April",Y1276,IF($J$1="May",Y1277,IF($J$1="June",Y1278,IF($J$1="July",Y1279,IF($J$1="August",Y1280,IF($J$1="August",Y1280,IF($J$1="September",Y1281,IF($J$1="October",Y1282,IF($J$1="November",Y1283,IF($J$1="December",Y1284)))))))))))))</f>
        <v>0</v>
      </c>
      <c r="H1281" s="57"/>
      <c r="I1281" s="295" t="s">
        <v>79</v>
      </c>
      <c r="J1281" s="296"/>
      <c r="K1281" s="84">
        <f>K1279-K1280</f>
        <v>5133.3333333333339</v>
      </c>
      <c r="L1281" s="85"/>
      <c r="M1281" s="57"/>
      <c r="N1281" s="100"/>
      <c r="O1281" s="101" t="s">
        <v>72</v>
      </c>
      <c r="P1281" s="101"/>
      <c r="Q1281" s="101"/>
      <c r="R1281" s="101">
        <v>0</v>
      </c>
      <c r="S1281" s="105"/>
      <c r="T1281" s="101" t="s">
        <v>72</v>
      </c>
      <c r="U1281" s="177"/>
      <c r="V1281" s="103"/>
      <c r="W1281" s="177" t="str">
        <f t="shared" si="233"/>
        <v/>
      </c>
      <c r="X1281" s="103"/>
      <c r="Y1281" s="177" t="str">
        <f t="shared" si="234"/>
        <v/>
      </c>
      <c r="Z1281" s="106"/>
    </row>
    <row r="1282" spans="1:26" s="55" customFormat="1" ht="21" customHeight="1" x14ac:dyDescent="0.25">
      <c r="A1282" s="56"/>
      <c r="B1282" s="57"/>
      <c r="C1282" s="57"/>
      <c r="D1282" s="57"/>
      <c r="E1282" s="57"/>
      <c r="F1282" s="57"/>
      <c r="G1282" s="57"/>
      <c r="H1282" s="57"/>
      <c r="I1282" s="57"/>
      <c r="J1282" s="57"/>
      <c r="K1282" s="194"/>
      <c r="L1282" s="73"/>
      <c r="M1282" s="57"/>
      <c r="N1282" s="100"/>
      <c r="O1282" s="101" t="s">
        <v>68</v>
      </c>
      <c r="P1282" s="101"/>
      <c r="Q1282" s="101"/>
      <c r="R1282" s="101">
        <v>0</v>
      </c>
      <c r="S1282" s="105"/>
      <c r="T1282" s="101" t="s">
        <v>68</v>
      </c>
      <c r="U1282" s="177"/>
      <c r="V1282" s="103"/>
      <c r="W1282" s="177" t="str">
        <f t="shared" si="233"/>
        <v/>
      </c>
      <c r="X1282" s="103"/>
      <c r="Y1282" s="177" t="str">
        <f t="shared" si="234"/>
        <v/>
      </c>
      <c r="Z1282" s="106"/>
    </row>
    <row r="1283" spans="1:26" s="55" customFormat="1" ht="21" customHeight="1" x14ac:dyDescent="0.25">
      <c r="A1283" s="56"/>
      <c r="B1283" s="284" t="s">
        <v>116</v>
      </c>
      <c r="C1283" s="284"/>
      <c r="D1283" s="284"/>
      <c r="E1283" s="284"/>
      <c r="F1283" s="284"/>
      <c r="G1283" s="284"/>
      <c r="H1283" s="284"/>
      <c r="I1283" s="284"/>
      <c r="J1283" s="284"/>
      <c r="K1283" s="284"/>
      <c r="L1283" s="73"/>
      <c r="M1283" s="57"/>
      <c r="N1283" s="100"/>
      <c r="O1283" s="101" t="s">
        <v>73</v>
      </c>
      <c r="P1283" s="101"/>
      <c r="Q1283" s="101"/>
      <c r="R1283" s="101">
        <v>0</v>
      </c>
      <c r="S1283" s="105"/>
      <c r="T1283" s="101" t="s">
        <v>73</v>
      </c>
      <c r="U1283" s="177"/>
      <c r="V1283" s="103"/>
      <c r="W1283" s="177" t="str">
        <f t="shared" si="233"/>
        <v/>
      </c>
      <c r="X1283" s="103"/>
      <c r="Y1283" s="177" t="str">
        <f t="shared" si="234"/>
        <v/>
      </c>
      <c r="Z1283" s="106"/>
    </row>
    <row r="1284" spans="1:26" s="55" customFormat="1" ht="21" customHeight="1" x14ac:dyDescent="0.25">
      <c r="A1284" s="56"/>
      <c r="B1284" s="284"/>
      <c r="C1284" s="284"/>
      <c r="D1284" s="284"/>
      <c r="E1284" s="284"/>
      <c r="F1284" s="284"/>
      <c r="G1284" s="284"/>
      <c r="H1284" s="284"/>
      <c r="I1284" s="284"/>
      <c r="J1284" s="284"/>
      <c r="K1284" s="284"/>
      <c r="L1284" s="73"/>
      <c r="M1284" s="57"/>
      <c r="N1284" s="100"/>
      <c r="O1284" s="101" t="s">
        <v>74</v>
      </c>
      <c r="P1284" s="101"/>
      <c r="Q1284" s="101"/>
      <c r="R1284" s="101">
        <v>0</v>
      </c>
      <c r="S1284" s="105"/>
      <c r="T1284" s="101" t="s">
        <v>74</v>
      </c>
      <c r="U1284" s="177"/>
      <c r="V1284" s="103"/>
      <c r="W1284" s="177" t="str">
        <f t="shared" si="233"/>
        <v/>
      </c>
      <c r="X1284" s="103"/>
      <c r="Y1284" s="177" t="str">
        <f t="shared" si="234"/>
        <v/>
      </c>
      <c r="Z1284" s="106"/>
    </row>
    <row r="1285" spans="1:26" s="55" customFormat="1" ht="21" customHeight="1" thickBot="1" x14ac:dyDescent="0.3">
      <c r="A1285" s="86"/>
      <c r="B1285" s="87"/>
      <c r="C1285" s="87"/>
      <c r="D1285" s="87"/>
      <c r="E1285" s="87"/>
      <c r="F1285" s="87"/>
      <c r="G1285" s="87"/>
      <c r="H1285" s="87"/>
      <c r="I1285" s="87"/>
      <c r="J1285" s="87"/>
      <c r="K1285" s="87"/>
      <c r="L1285" s="88"/>
      <c r="N1285" s="107"/>
      <c r="O1285" s="108"/>
      <c r="P1285" s="108"/>
      <c r="Q1285" s="108"/>
      <c r="R1285" s="108"/>
      <c r="S1285" s="108"/>
      <c r="T1285" s="108"/>
      <c r="U1285" s="108"/>
      <c r="V1285" s="108"/>
      <c r="W1285" s="108"/>
      <c r="X1285" s="108"/>
      <c r="Y1285" s="108"/>
      <c r="Z1285" s="109"/>
    </row>
    <row r="1286" spans="1:26" ht="15" thickBot="1" x14ac:dyDescent="0.35"/>
    <row r="1287" spans="1:26" s="55" customFormat="1" ht="21" customHeight="1" x14ac:dyDescent="0.25">
      <c r="A1287" s="297" t="s">
        <v>56</v>
      </c>
      <c r="B1287" s="298"/>
      <c r="C1287" s="298"/>
      <c r="D1287" s="298"/>
      <c r="E1287" s="298"/>
      <c r="F1287" s="298"/>
      <c r="G1287" s="298"/>
      <c r="H1287" s="298"/>
      <c r="I1287" s="298"/>
      <c r="J1287" s="298"/>
      <c r="K1287" s="298"/>
      <c r="L1287" s="299"/>
      <c r="M1287" s="199"/>
      <c r="N1287" s="93"/>
      <c r="O1287" s="285" t="s">
        <v>58</v>
      </c>
      <c r="P1287" s="286"/>
      <c r="Q1287" s="286"/>
      <c r="R1287" s="287"/>
      <c r="S1287" s="94"/>
      <c r="T1287" s="285" t="s">
        <v>59</v>
      </c>
      <c r="U1287" s="286"/>
      <c r="V1287" s="286"/>
      <c r="W1287" s="286"/>
      <c r="X1287" s="286"/>
      <c r="Y1287" s="287"/>
      <c r="Z1287" s="95"/>
    </row>
    <row r="1288" spans="1:26" s="55" customFormat="1" ht="21" customHeight="1" x14ac:dyDescent="0.25">
      <c r="A1288" s="56"/>
      <c r="B1288" s="57"/>
      <c r="C1288" s="288" t="s">
        <v>114</v>
      </c>
      <c r="D1288" s="288"/>
      <c r="E1288" s="288"/>
      <c r="F1288" s="288"/>
      <c r="G1288" s="58" t="str">
        <f>$J$1</f>
        <v>June</v>
      </c>
      <c r="H1288" s="289">
        <f>$K$1</f>
        <v>2019</v>
      </c>
      <c r="I1288" s="289"/>
      <c r="J1288" s="57"/>
      <c r="K1288" s="59"/>
      <c r="L1288" s="60"/>
      <c r="M1288" s="59"/>
      <c r="N1288" s="96"/>
      <c r="O1288" s="97" t="s">
        <v>69</v>
      </c>
      <c r="P1288" s="97" t="s">
        <v>7</v>
      </c>
      <c r="Q1288" s="97" t="s">
        <v>6</v>
      </c>
      <c r="R1288" s="97" t="s">
        <v>70</v>
      </c>
      <c r="S1288" s="98"/>
      <c r="T1288" s="97" t="s">
        <v>69</v>
      </c>
      <c r="U1288" s="97" t="s">
        <v>71</v>
      </c>
      <c r="V1288" s="97" t="s">
        <v>29</v>
      </c>
      <c r="W1288" s="97" t="s">
        <v>28</v>
      </c>
      <c r="X1288" s="97" t="s">
        <v>30</v>
      </c>
      <c r="Y1288" s="97" t="s">
        <v>75</v>
      </c>
      <c r="Z1288" s="99"/>
    </row>
    <row r="1289" spans="1:26" s="55" customFormat="1" ht="21" customHeight="1" x14ac:dyDescent="0.25">
      <c r="A1289" s="56"/>
      <c r="B1289" s="57"/>
      <c r="C1289" s="57"/>
      <c r="D1289" s="62"/>
      <c r="E1289" s="62"/>
      <c r="F1289" s="62"/>
      <c r="G1289" s="62"/>
      <c r="H1289" s="62"/>
      <c r="I1289" s="57"/>
      <c r="J1289" s="63" t="s">
        <v>1</v>
      </c>
      <c r="K1289" s="64">
        <v>23000</v>
      </c>
      <c r="L1289" s="65"/>
      <c r="M1289" s="57"/>
      <c r="N1289" s="100"/>
      <c r="O1289" s="101" t="s">
        <v>61</v>
      </c>
      <c r="P1289" s="101">
        <v>28</v>
      </c>
      <c r="Q1289" s="101">
        <v>3</v>
      </c>
      <c r="R1289" s="101">
        <v>0</v>
      </c>
      <c r="S1289" s="102"/>
      <c r="T1289" s="101" t="s">
        <v>61</v>
      </c>
      <c r="U1289" s="103"/>
      <c r="V1289" s="103">
        <v>2000</v>
      </c>
      <c r="W1289" s="103">
        <f>V1289+U1289</f>
        <v>2000</v>
      </c>
      <c r="X1289" s="103">
        <v>2000</v>
      </c>
      <c r="Y1289" s="103">
        <f>W1289-X1289</f>
        <v>0</v>
      </c>
      <c r="Z1289" s="99"/>
    </row>
    <row r="1290" spans="1:26" s="55" customFormat="1" ht="21" customHeight="1" x14ac:dyDescent="0.25">
      <c r="A1290" s="56"/>
      <c r="B1290" s="57" t="s">
        <v>0</v>
      </c>
      <c r="C1290" s="112" t="s">
        <v>145</v>
      </c>
      <c r="D1290" s="57"/>
      <c r="E1290" s="57"/>
      <c r="F1290" s="57"/>
      <c r="G1290" s="57"/>
      <c r="H1290" s="68"/>
      <c r="I1290" s="62"/>
      <c r="J1290" s="57"/>
      <c r="K1290" s="57"/>
      <c r="L1290" s="69"/>
      <c r="M1290" s="199"/>
      <c r="N1290" s="104"/>
      <c r="O1290" s="101" t="s">
        <v>87</v>
      </c>
      <c r="P1290" s="101">
        <v>27</v>
      </c>
      <c r="Q1290" s="101">
        <v>1</v>
      </c>
      <c r="R1290" s="101">
        <v>0</v>
      </c>
      <c r="S1290" s="105"/>
      <c r="T1290" s="101" t="s">
        <v>87</v>
      </c>
      <c r="U1290" s="177"/>
      <c r="V1290" s="103">
        <v>2000</v>
      </c>
      <c r="W1290" s="103">
        <f>V1290+U1290</f>
        <v>2000</v>
      </c>
      <c r="X1290" s="103">
        <v>2000</v>
      </c>
      <c r="Y1290" s="177">
        <f>IF(W1290="","",W1290-X1290)</f>
        <v>0</v>
      </c>
      <c r="Z1290" s="106"/>
    </row>
    <row r="1291" spans="1:26" s="55" customFormat="1" ht="21" customHeight="1" x14ac:dyDescent="0.25">
      <c r="A1291" s="56"/>
      <c r="B1291" s="71" t="s">
        <v>57</v>
      </c>
      <c r="C1291" s="112"/>
      <c r="D1291" s="57"/>
      <c r="E1291" s="57"/>
      <c r="F1291" s="290" t="s">
        <v>59</v>
      </c>
      <c r="G1291" s="290"/>
      <c r="H1291" s="57"/>
      <c r="I1291" s="290" t="s">
        <v>60</v>
      </c>
      <c r="J1291" s="290"/>
      <c r="K1291" s="290"/>
      <c r="L1291" s="73"/>
      <c r="M1291" s="57"/>
      <c r="N1291" s="100"/>
      <c r="O1291" s="101" t="s">
        <v>62</v>
      </c>
      <c r="P1291" s="101">
        <v>30</v>
      </c>
      <c r="Q1291" s="101">
        <v>1</v>
      </c>
      <c r="R1291" s="101">
        <v>0</v>
      </c>
      <c r="S1291" s="105"/>
      <c r="T1291" s="101" t="s">
        <v>62</v>
      </c>
      <c r="U1291" s="177"/>
      <c r="V1291" s="103"/>
      <c r="W1291" s="177" t="str">
        <f t="shared" ref="W1291:W1300" si="235">IF(U1291="","",U1291+V1291)</f>
        <v/>
      </c>
      <c r="X1291" s="103"/>
      <c r="Y1291" s="177" t="str">
        <f t="shared" ref="Y1291:Y1300" si="236">IF(W1291="","",W1291-X1291)</f>
        <v/>
      </c>
      <c r="Z1291" s="106"/>
    </row>
    <row r="1292" spans="1:26" s="55" customFormat="1" ht="21" customHeight="1" x14ac:dyDescent="0.25">
      <c r="A1292" s="56"/>
      <c r="B1292" s="57"/>
      <c r="C1292" s="57"/>
      <c r="D1292" s="57"/>
      <c r="E1292" s="57"/>
      <c r="F1292" s="57"/>
      <c r="G1292" s="57"/>
      <c r="H1292" s="74"/>
      <c r="L1292" s="61"/>
      <c r="M1292" s="57"/>
      <c r="N1292" s="100"/>
      <c r="O1292" s="101" t="s">
        <v>63</v>
      </c>
      <c r="P1292" s="101">
        <v>27</v>
      </c>
      <c r="Q1292" s="101">
        <v>3</v>
      </c>
      <c r="R1292" s="101">
        <v>0</v>
      </c>
      <c r="S1292" s="105"/>
      <c r="T1292" s="101" t="s">
        <v>63</v>
      </c>
      <c r="U1292" s="177"/>
      <c r="V1292" s="103"/>
      <c r="W1292" s="177" t="str">
        <f t="shared" si="235"/>
        <v/>
      </c>
      <c r="X1292" s="103"/>
      <c r="Y1292" s="177" t="str">
        <f t="shared" si="236"/>
        <v/>
      </c>
      <c r="Z1292" s="106"/>
    </row>
    <row r="1293" spans="1:26" s="55" customFormat="1" ht="21" customHeight="1" x14ac:dyDescent="0.25">
      <c r="A1293" s="56"/>
      <c r="B1293" s="291" t="s">
        <v>58</v>
      </c>
      <c r="C1293" s="292"/>
      <c r="D1293" s="57"/>
      <c r="E1293" s="57"/>
      <c r="F1293" s="75" t="s">
        <v>80</v>
      </c>
      <c r="G1293" s="70">
        <f>IF($J$1="January",U1289,IF($J$1="February",U1290,IF($J$1="March",U1291,IF($J$1="April",U1292,IF($J$1="May",U1293,IF($J$1="June",U1294,IF($J$1="July",U1295,IF($J$1="August",U1296,IF($J$1="August",U1296,IF($J$1="September",U1297,IF($J$1="October",U1298,IF($J$1="November",U1299,IF($J$1="December",U1300)))))))))))))</f>
        <v>20000</v>
      </c>
      <c r="H1293" s="74"/>
      <c r="I1293" s="76">
        <f>IF(C1297&gt;0,$K$2,C1295)</f>
        <v>30</v>
      </c>
      <c r="J1293" s="77" t="s">
        <v>77</v>
      </c>
      <c r="K1293" s="78">
        <f>K1289/$K$2*I1293</f>
        <v>23000</v>
      </c>
      <c r="L1293" s="79"/>
      <c r="M1293" s="57"/>
      <c r="N1293" s="100"/>
      <c r="O1293" s="101" t="s">
        <v>64</v>
      </c>
      <c r="P1293" s="101">
        <v>31</v>
      </c>
      <c r="Q1293" s="101">
        <v>0</v>
      </c>
      <c r="R1293" s="101">
        <v>0</v>
      </c>
      <c r="S1293" s="105"/>
      <c r="T1293" s="101" t="s">
        <v>64</v>
      </c>
      <c r="U1293" s="177"/>
      <c r="V1293" s="103">
        <v>20000</v>
      </c>
      <c r="W1293" s="103">
        <f>V1293+U1293</f>
        <v>20000</v>
      </c>
      <c r="X1293" s="103"/>
      <c r="Y1293" s="177">
        <f t="shared" si="236"/>
        <v>20000</v>
      </c>
      <c r="Z1293" s="106"/>
    </row>
    <row r="1294" spans="1:26" s="55" customFormat="1" ht="21" customHeight="1" x14ac:dyDescent="0.25">
      <c r="A1294" s="56"/>
      <c r="B1294" s="66"/>
      <c r="C1294" s="66"/>
      <c r="D1294" s="57"/>
      <c r="E1294" s="57"/>
      <c r="F1294" s="75" t="s">
        <v>29</v>
      </c>
      <c r="G1294" s="70">
        <f>IF($J$1="January",V1289,IF($J$1="February",V1290,IF($J$1="March",V1291,IF($J$1="April",V1292,IF($J$1="May",V1293,IF($J$1="June",V1294,IF($J$1="July",V1295,IF($J$1="August",V1296,IF($J$1="August",V1296,IF($J$1="September",V1297,IF($J$1="October",V1298,IF($J$1="November",V1299,IF($J$1="December",V1300)))))))))))))</f>
        <v>50</v>
      </c>
      <c r="H1294" s="74"/>
      <c r="I1294" s="209">
        <v>-2</v>
      </c>
      <c r="J1294" s="77" t="s">
        <v>78</v>
      </c>
      <c r="K1294" s="80">
        <f>K1289/$K$2/8*I1294</f>
        <v>-191.66666666666666</v>
      </c>
      <c r="L1294" s="81"/>
      <c r="M1294" s="57"/>
      <c r="N1294" s="100"/>
      <c r="O1294" s="101" t="s">
        <v>65</v>
      </c>
      <c r="P1294" s="101">
        <v>27</v>
      </c>
      <c r="Q1294" s="101">
        <v>3</v>
      </c>
      <c r="R1294" s="101">
        <v>4</v>
      </c>
      <c r="S1294" s="105"/>
      <c r="T1294" s="101" t="s">
        <v>65</v>
      </c>
      <c r="U1294" s="177">
        <f>IF($J$1="April",Y1293,Y1293)</f>
        <v>20000</v>
      </c>
      <c r="V1294" s="103">
        <v>50</v>
      </c>
      <c r="W1294" s="177">
        <f t="shared" si="235"/>
        <v>20050</v>
      </c>
      <c r="X1294" s="103">
        <v>5050</v>
      </c>
      <c r="Y1294" s="177">
        <f t="shared" si="236"/>
        <v>15000</v>
      </c>
      <c r="Z1294" s="106"/>
    </row>
    <row r="1295" spans="1:26" s="55" customFormat="1" ht="21" customHeight="1" x14ac:dyDescent="0.25">
      <c r="A1295" s="56"/>
      <c r="B1295" s="75" t="s">
        <v>7</v>
      </c>
      <c r="C1295" s="66">
        <f>IF($J$1="January",P1289,IF($J$1="February",P1290,IF($J$1="March",P1291,IF($J$1="April",P1292,IF($J$1="May",P1293,IF($J$1="June",P1294,IF($J$1="July",P1295,IF($J$1="August",P1296,IF($J$1="August",P1296,IF($J$1="September",P1297,IF($J$1="October",P1298,IF($J$1="November",P1299,IF($J$1="December",P1300)))))))))))))</f>
        <v>27</v>
      </c>
      <c r="D1295" s="57"/>
      <c r="E1295" s="57"/>
      <c r="F1295" s="75" t="s">
        <v>81</v>
      </c>
      <c r="G1295" s="70">
        <f>IF($J$1="January",W1289,IF($J$1="February",W1290,IF($J$1="March",W1291,IF($J$1="April",W1292,IF($J$1="May",W1293,IF($J$1="June",W1294,IF($J$1="July",W1295,IF($J$1="August",W1296,IF($J$1="August",W1296,IF($J$1="September",W1297,IF($J$1="October",W1298,IF($J$1="November",W1299,IF($J$1="December",W1300)))))))))))))</f>
        <v>20050</v>
      </c>
      <c r="H1295" s="74"/>
      <c r="I1295" s="293" t="s">
        <v>85</v>
      </c>
      <c r="J1295" s="294"/>
      <c r="K1295" s="80">
        <f>K1293+K1294</f>
        <v>22808.333333333332</v>
      </c>
      <c r="L1295" s="81"/>
      <c r="M1295" s="57"/>
      <c r="N1295" s="100"/>
      <c r="O1295" s="101" t="s">
        <v>66</v>
      </c>
      <c r="P1295" s="101"/>
      <c r="Q1295" s="101"/>
      <c r="R1295" s="101">
        <f>R1294-Q1295</f>
        <v>4</v>
      </c>
      <c r="S1295" s="105"/>
      <c r="T1295" s="101" t="s">
        <v>66</v>
      </c>
      <c r="U1295" s="177"/>
      <c r="V1295" s="103"/>
      <c r="W1295" s="177" t="str">
        <f t="shared" si="235"/>
        <v/>
      </c>
      <c r="X1295" s="103"/>
      <c r="Y1295" s="177" t="str">
        <f t="shared" si="236"/>
        <v/>
      </c>
      <c r="Z1295" s="106"/>
    </row>
    <row r="1296" spans="1:26" s="55" customFormat="1" ht="21" customHeight="1" x14ac:dyDescent="0.25">
      <c r="A1296" s="56"/>
      <c r="B1296" s="75" t="s">
        <v>6</v>
      </c>
      <c r="C1296" s="66">
        <f>IF($J$1="January",Q1289,IF($J$1="February",Q1290,IF($J$1="March",Q1291,IF($J$1="April",Q1292,IF($J$1="May",Q1293,IF($J$1="June",Q1294,IF($J$1="July",Q1295,IF($J$1="August",Q1296,IF($J$1="August",Q1296,IF($J$1="September",Q1297,IF($J$1="October",Q1298,IF($J$1="November",Q1299,IF($J$1="December",Q1300)))))))))))))</f>
        <v>3</v>
      </c>
      <c r="D1296" s="57"/>
      <c r="E1296" s="57"/>
      <c r="F1296" s="75" t="s">
        <v>30</v>
      </c>
      <c r="G1296" s="70">
        <f>IF($J$1="January",X1289,IF($J$1="February",X1290,IF($J$1="March",X1291,IF($J$1="April",X1292,IF($J$1="May",X1293,IF($J$1="June",X1294,IF($J$1="July",X1295,IF($J$1="August",X1296,IF($J$1="August",X1296,IF($J$1="September",X1297,IF($J$1="October",X1298,IF($J$1="November",X1299,IF($J$1="December",X1300)))))))))))))</f>
        <v>5050</v>
      </c>
      <c r="H1296" s="74"/>
      <c r="I1296" s="293" t="s">
        <v>86</v>
      </c>
      <c r="J1296" s="294"/>
      <c r="K1296" s="70">
        <f>G1296</f>
        <v>5050</v>
      </c>
      <c r="L1296" s="82"/>
      <c r="M1296" s="57"/>
      <c r="N1296" s="100"/>
      <c r="O1296" s="101" t="s">
        <v>67</v>
      </c>
      <c r="P1296" s="101"/>
      <c r="Q1296" s="101"/>
      <c r="R1296" s="101">
        <v>0</v>
      </c>
      <c r="S1296" s="105"/>
      <c r="T1296" s="101" t="s">
        <v>67</v>
      </c>
      <c r="U1296" s="177"/>
      <c r="V1296" s="103"/>
      <c r="W1296" s="177" t="str">
        <f t="shared" si="235"/>
        <v/>
      </c>
      <c r="X1296" s="103"/>
      <c r="Y1296" s="177" t="str">
        <f t="shared" si="236"/>
        <v/>
      </c>
      <c r="Z1296" s="106"/>
    </row>
    <row r="1297" spans="1:26" s="55" customFormat="1" ht="21" customHeight="1" x14ac:dyDescent="0.25">
      <c r="A1297" s="56"/>
      <c r="B1297" s="83" t="s">
        <v>84</v>
      </c>
      <c r="C1297" s="66">
        <f>IF($J$1="January",R1289,IF($J$1="February",R1290,IF($J$1="March",R1291,IF($J$1="April",R1292,IF($J$1="May",R1293,IF($J$1="June",R1294,IF($J$1="July",R1295,IF($J$1="August",R1296,IF($J$1="August",R1296,IF($J$1="September",R1297,IF($J$1="October",R1298,IF($J$1="November",R1299,IF($J$1="December",R1300)))))))))))))</f>
        <v>4</v>
      </c>
      <c r="D1297" s="57"/>
      <c r="E1297" s="57"/>
      <c r="F1297" s="75" t="s">
        <v>83</v>
      </c>
      <c r="G1297" s="70">
        <f>IF($J$1="January",Y1289,IF($J$1="February",Y1290,IF($J$1="March",Y1291,IF($J$1="April",Y1292,IF($J$1="May",Y1293,IF($J$1="June",Y1294,IF($J$1="July",Y1295,IF($J$1="August",Y1296,IF($J$1="August",Y1296,IF($J$1="September",Y1297,IF($J$1="October",Y1298,IF($J$1="November",Y1299,IF($J$1="December",Y1300)))))))))))))</f>
        <v>15000</v>
      </c>
      <c r="H1297" s="57"/>
      <c r="I1297" s="295" t="s">
        <v>79</v>
      </c>
      <c r="J1297" s="296"/>
      <c r="K1297" s="84">
        <f>K1295-K1296</f>
        <v>17758.333333333332</v>
      </c>
      <c r="L1297" s="85"/>
      <c r="M1297" s="57"/>
      <c r="N1297" s="100"/>
      <c r="O1297" s="101" t="s">
        <v>72</v>
      </c>
      <c r="P1297" s="101"/>
      <c r="Q1297" s="101"/>
      <c r="R1297" s="101">
        <v>0</v>
      </c>
      <c r="S1297" s="105"/>
      <c r="T1297" s="101" t="s">
        <v>72</v>
      </c>
      <c r="U1297" s="177"/>
      <c r="V1297" s="103"/>
      <c r="W1297" s="177" t="str">
        <f t="shared" si="235"/>
        <v/>
      </c>
      <c r="X1297" s="103"/>
      <c r="Y1297" s="177" t="str">
        <f t="shared" si="236"/>
        <v/>
      </c>
      <c r="Z1297" s="106"/>
    </row>
    <row r="1298" spans="1:26" s="55" customFormat="1" ht="21" customHeight="1" x14ac:dyDescent="0.25">
      <c r="A1298" s="56"/>
      <c r="B1298" s="57"/>
      <c r="C1298" s="57"/>
      <c r="D1298" s="57"/>
      <c r="E1298" s="57"/>
      <c r="F1298" s="57"/>
      <c r="G1298" s="57"/>
      <c r="H1298" s="57"/>
      <c r="I1298" s="57"/>
      <c r="J1298" s="57"/>
      <c r="K1298" s="57"/>
      <c r="L1298" s="73"/>
      <c r="M1298" s="57"/>
      <c r="N1298" s="100"/>
      <c r="O1298" s="101" t="s">
        <v>68</v>
      </c>
      <c r="P1298" s="101"/>
      <c r="Q1298" s="101"/>
      <c r="R1298" s="101">
        <v>0</v>
      </c>
      <c r="S1298" s="105"/>
      <c r="T1298" s="101" t="s">
        <v>68</v>
      </c>
      <c r="U1298" s="177"/>
      <c r="V1298" s="103"/>
      <c r="W1298" s="177" t="str">
        <f t="shared" si="235"/>
        <v/>
      </c>
      <c r="X1298" s="103"/>
      <c r="Y1298" s="177" t="str">
        <f t="shared" si="236"/>
        <v/>
      </c>
      <c r="Z1298" s="106"/>
    </row>
    <row r="1299" spans="1:26" s="55" customFormat="1" ht="21" customHeight="1" x14ac:dyDescent="0.25">
      <c r="A1299" s="56"/>
      <c r="B1299" s="284" t="s">
        <v>116</v>
      </c>
      <c r="C1299" s="284"/>
      <c r="D1299" s="284"/>
      <c r="E1299" s="284"/>
      <c r="F1299" s="284"/>
      <c r="G1299" s="284"/>
      <c r="H1299" s="284"/>
      <c r="I1299" s="284"/>
      <c r="J1299" s="284"/>
      <c r="K1299" s="284"/>
      <c r="L1299" s="73"/>
      <c r="M1299" s="57"/>
      <c r="N1299" s="100"/>
      <c r="O1299" s="101" t="s">
        <v>73</v>
      </c>
      <c r="P1299" s="101"/>
      <c r="Q1299" s="101"/>
      <c r="R1299" s="101">
        <v>0</v>
      </c>
      <c r="S1299" s="105"/>
      <c r="T1299" s="101" t="s">
        <v>73</v>
      </c>
      <c r="U1299" s="177"/>
      <c r="V1299" s="103"/>
      <c r="W1299" s="177" t="str">
        <f t="shared" si="235"/>
        <v/>
      </c>
      <c r="X1299" s="103"/>
      <c r="Y1299" s="177" t="str">
        <f t="shared" si="236"/>
        <v/>
      </c>
      <c r="Z1299" s="106"/>
    </row>
    <row r="1300" spans="1:26" s="55" customFormat="1" ht="21" customHeight="1" x14ac:dyDescent="0.25">
      <c r="A1300" s="56"/>
      <c r="B1300" s="284"/>
      <c r="C1300" s="284"/>
      <c r="D1300" s="284"/>
      <c r="E1300" s="284"/>
      <c r="F1300" s="284"/>
      <c r="G1300" s="284"/>
      <c r="H1300" s="284"/>
      <c r="I1300" s="284"/>
      <c r="J1300" s="284"/>
      <c r="K1300" s="284"/>
      <c r="L1300" s="73"/>
      <c r="M1300" s="57"/>
      <c r="N1300" s="100"/>
      <c r="O1300" s="101" t="s">
        <v>74</v>
      </c>
      <c r="P1300" s="101"/>
      <c r="Q1300" s="101"/>
      <c r="R1300" s="101">
        <v>0</v>
      </c>
      <c r="S1300" s="105"/>
      <c r="T1300" s="101" t="s">
        <v>74</v>
      </c>
      <c r="U1300" s="177"/>
      <c r="V1300" s="103"/>
      <c r="W1300" s="177" t="str">
        <f t="shared" si="235"/>
        <v/>
      </c>
      <c r="X1300" s="103"/>
      <c r="Y1300" s="177" t="str">
        <f t="shared" si="236"/>
        <v/>
      </c>
      <c r="Z1300" s="106"/>
    </row>
    <row r="1301" spans="1:26" s="55" customFormat="1" ht="21" customHeight="1" thickBot="1" x14ac:dyDescent="0.3">
      <c r="A1301" s="86"/>
      <c r="B1301" s="87"/>
      <c r="C1301" s="87"/>
      <c r="D1301" s="87"/>
      <c r="E1301" s="87"/>
      <c r="F1301" s="87"/>
      <c r="G1301" s="87"/>
      <c r="H1301" s="87"/>
      <c r="I1301" s="87"/>
      <c r="J1301" s="87"/>
      <c r="K1301" s="87"/>
      <c r="L1301" s="88"/>
      <c r="N1301" s="107"/>
      <c r="O1301" s="108"/>
      <c r="P1301" s="108"/>
      <c r="Q1301" s="108"/>
      <c r="R1301" s="108"/>
      <c r="S1301" s="108"/>
      <c r="T1301" s="108"/>
      <c r="U1301" s="108"/>
      <c r="V1301" s="108"/>
      <c r="W1301" s="108"/>
      <c r="X1301" s="108"/>
      <c r="Y1301" s="108"/>
      <c r="Z1301" s="109"/>
    </row>
    <row r="1302" spans="1:26" ht="15" thickBot="1" x14ac:dyDescent="0.35"/>
    <row r="1303" spans="1:26" s="55" customFormat="1" ht="21" customHeight="1" x14ac:dyDescent="0.25">
      <c r="A1303" s="300" t="s">
        <v>56</v>
      </c>
      <c r="B1303" s="301"/>
      <c r="C1303" s="301"/>
      <c r="D1303" s="301"/>
      <c r="E1303" s="301"/>
      <c r="F1303" s="301"/>
      <c r="G1303" s="301"/>
      <c r="H1303" s="301"/>
      <c r="I1303" s="301"/>
      <c r="J1303" s="301"/>
      <c r="K1303" s="301"/>
      <c r="L1303" s="302"/>
      <c r="M1303" s="200"/>
      <c r="N1303" s="93"/>
      <c r="O1303" s="285" t="s">
        <v>58</v>
      </c>
      <c r="P1303" s="286"/>
      <c r="Q1303" s="286"/>
      <c r="R1303" s="287"/>
      <c r="S1303" s="94"/>
      <c r="T1303" s="285" t="s">
        <v>59</v>
      </c>
      <c r="U1303" s="286"/>
      <c r="V1303" s="286"/>
      <c r="W1303" s="286"/>
      <c r="X1303" s="286"/>
      <c r="Y1303" s="287"/>
      <c r="Z1303" s="95"/>
    </row>
    <row r="1304" spans="1:26" s="55" customFormat="1" ht="21" customHeight="1" x14ac:dyDescent="0.25">
      <c r="A1304" s="56"/>
      <c r="B1304" s="57"/>
      <c r="C1304" s="288" t="s">
        <v>114</v>
      </c>
      <c r="D1304" s="288"/>
      <c r="E1304" s="288"/>
      <c r="F1304" s="288"/>
      <c r="G1304" s="58" t="str">
        <f>$J$1</f>
        <v>June</v>
      </c>
      <c r="H1304" s="289">
        <f>$K$1</f>
        <v>2019</v>
      </c>
      <c r="I1304" s="289"/>
      <c r="J1304" s="57"/>
      <c r="K1304" s="59"/>
      <c r="L1304" s="60"/>
      <c r="M1304" s="59"/>
      <c r="N1304" s="96"/>
      <c r="O1304" s="97" t="s">
        <v>69</v>
      </c>
      <c r="P1304" s="97" t="s">
        <v>7</v>
      </c>
      <c r="Q1304" s="97" t="s">
        <v>6</v>
      </c>
      <c r="R1304" s="97" t="s">
        <v>70</v>
      </c>
      <c r="S1304" s="98"/>
      <c r="T1304" s="97" t="s">
        <v>69</v>
      </c>
      <c r="U1304" s="97" t="s">
        <v>71</v>
      </c>
      <c r="V1304" s="97" t="s">
        <v>29</v>
      </c>
      <c r="W1304" s="97" t="s">
        <v>28</v>
      </c>
      <c r="X1304" s="97" t="s">
        <v>30</v>
      </c>
      <c r="Y1304" s="97" t="s">
        <v>75</v>
      </c>
      <c r="Z1304" s="99"/>
    </row>
    <row r="1305" spans="1:26" s="55" customFormat="1" ht="21" customHeight="1" x14ac:dyDescent="0.25">
      <c r="A1305" s="56"/>
      <c r="B1305" s="57"/>
      <c r="C1305" s="57"/>
      <c r="D1305" s="62"/>
      <c r="E1305" s="62"/>
      <c r="F1305" s="62"/>
      <c r="G1305" s="62"/>
      <c r="H1305" s="62"/>
      <c r="I1305" s="57"/>
      <c r="J1305" s="63" t="s">
        <v>1</v>
      </c>
      <c r="K1305" s="64"/>
      <c r="L1305" s="65"/>
      <c r="M1305" s="57"/>
      <c r="N1305" s="100"/>
      <c r="O1305" s="101" t="s">
        <v>61</v>
      </c>
      <c r="P1305" s="101"/>
      <c r="Q1305" s="101"/>
      <c r="R1305" s="101">
        <v>0</v>
      </c>
      <c r="S1305" s="102"/>
      <c r="T1305" s="101" t="s">
        <v>61</v>
      </c>
      <c r="U1305" s="103"/>
      <c r="V1305" s="103"/>
      <c r="W1305" s="103">
        <f>V1305+U1305</f>
        <v>0</v>
      </c>
      <c r="X1305" s="103"/>
      <c r="Y1305" s="103">
        <f>W1305-X1305</f>
        <v>0</v>
      </c>
      <c r="Z1305" s="99"/>
    </row>
    <row r="1306" spans="1:26" s="55" customFormat="1" ht="21" customHeight="1" x14ac:dyDescent="0.25">
      <c r="A1306" s="56"/>
      <c r="B1306" s="57" t="s">
        <v>0</v>
      </c>
      <c r="C1306" s="112"/>
      <c r="D1306" s="57"/>
      <c r="E1306" s="57"/>
      <c r="F1306" s="57"/>
      <c r="G1306" s="57"/>
      <c r="H1306" s="68"/>
      <c r="I1306" s="62"/>
      <c r="J1306" s="57"/>
      <c r="K1306" s="57"/>
      <c r="L1306" s="69"/>
      <c r="M1306" s="200"/>
      <c r="N1306" s="104"/>
      <c r="O1306" s="101" t="s">
        <v>87</v>
      </c>
      <c r="P1306" s="101"/>
      <c r="Q1306" s="101"/>
      <c r="R1306" s="101">
        <v>0</v>
      </c>
      <c r="S1306" s="105"/>
      <c r="T1306" s="101" t="s">
        <v>87</v>
      </c>
      <c r="U1306" s="177">
        <f>Y1305</f>
        <v>0</v>
      </c>
      <c r="V1306" s="103"/>
      <c r="W1306" s="177">
        <f>IF(U1306="","",U1306+V1306)</f>
        <v>0</v>
      </c>
      <c r="X1306" s="103"/>
      <c r="Y1306" s="177">
        <f>IF(W1306="","",W1306-X1306)</f>
        <v>0</v>
      </c>
      <c r="Z1306" s="106"/>
    </row>
    <row r="1307" spans="1:26" s="55" customFormat="1" ht="21" customHeight="1" x14ac:dyDescent="0.25">
      <c r="A1307" s="56"/>
      <c r="B1307" s="71" t="s">
        <v>57</v>
      </c>
      <c r="C1307" s="112"/>
      <c r="D1307" s="57"/>
      <c r="E1307" s="57"/>
      <c r="F1307" s="290" t="s">
        <v>59</v>
      </c>
      <c r="G1307" s="290"/>
      <c r="H1307" s="57"/>
      <c r="I1307" s="290" t="s">
        <v>60</v>
      </c>
      <c r="J1307" s="290"/>
      <c r="K1307" s="290"/>
      <c r="L1307" s="73"/>
      <c r="M1307" s="57"/>
      <c r="N1307" s="100"/>
      <c r="O1307" s="101" t="s">
        <v>62</v>
      </c>
      <c r="P1307" s="101"/>
      <c r="Q1307" s="101"/>
      <c r="R1307" s="101" t="str">
        <f>IF(Q1307="","",R1306-Q1307)</f>
        <v/>
      </c>
      <c r="S1307" s="105"/>
      <c r="T1307" s="101" t="s">
        <v>62</v>
      </c>
      <c r="U1307" s="177">
        <f>IF($J$1="April",Y1306,Y1306)</f>
        <v>0</v>
      </c>
      <c r="V1307" s="103"/>
      <c r="W1307" s="177">
        <f t="shared" ref="W1307:W1316" si="237">IF(U1307="","",U1307+V1307)</f>
        <v>0</v>
      </c>
      <c r="X1307" s="103"/>
      <c r="Y1307" s="177">
        <f t="shared" ref="Y1307:Y1316" si="238">IF(W1307="","",W1307-X1307)</f>
        <v>0</v>
      </c>
      <c r="Z1307" s="106"/>
    </row>
    <row r="1308" spans="1:26" s="55" customFormat="1" ht="21" customHeight="1" x14ac:dyDescent="0.25">
      <c r="A1308" s="56"/>
      <c r="B1308" s="57"/>
      <c r="C1308" s="57"/>
      <c r="D1308" s="57"/>
      <c r="E1308" s="57"/>
      <c r="F1308" s="57"/>
      <c r="G1308" s="57"/>
      <c r="H1308" s="74"/>
      <c r="L1308" s="61"/>
      <c r="M1308" s="57"/>
      <c r="N1308" s="100"/>
      <c r="O1308" s="101" t="s">
        <v>63</v>
      </c>
      <c r="P1308" s="101"/>
      <c r="Q1308" s="101"/>
      <c r="R1308" s="101" t="str">
        <f>IF(Q1308="","",R1307-Q1308)</f>
        <v/>
      </c>
      <c r="S1308" s="105"/>
      <c r="T1308" s="101" t="s">
        <v>63</v>
      </c>
      <c r="U1308" s="177">
        <f>IF($J$1="April",Y1307,Y1307)</f>
        <v>0</v>
      </c>
      <c r="V1308" s="103"/>
      <c r="W1308" s="177">
        <f t="shared" si="237"/>
        <v>0</v>
      </c>
      <c r="X1308" s="103"/>
      <c r="Y1308" s="177">
        <f t="shared" si="238"/>
        <v>0</v>
      </c>
      <c r="Z1308" s="106"/>
    </row>
    <row r="1309" spans="1:26" s="55" customFormat="1" ht="21" customHeight="1" x14ac:dyDescent="0.25">
      <c r="A1309" s="56"/>
      <c r="B1309" s="291" t="s">
        <v>58</v>
      </c>
      <c r="C1309" s="292"/>
      <c r="D1309" s="57"/>
      <c r="E1309" s="57"/>
      <c r="F1309" s="75" t="s">
        <v>80</v>
      </c>
      <c r="G1309" s="70">
        <f>IF($J$1="January",U1305,IF($J$1="February",U1306,IF($J$1="March",U1307,IF($J$1="April",U1308,IF($J$1="May",U1309,IF($J$1="June",U1310,IF($J$1="July",U1311,IF($J$1="August",U1312,IF($J$1="August",U1312,IF($J$1="September",U1313,IF($J$1="October",U1314,IF($J$1="November",U1315,IF($J$1="December",U1316)))))))))))))</f>
        <v>0</v>
      </c>
      <c r="H1309" s="74"/>
      <c r="I1309" s="76">
        <f>IF(C1313&gt;0,$K$2,C1311)</f>
        <v>0</v>
      </c>
      <c r="J1309" s="77" t="s">
        <v>77</v>
      </c>
      <c r="K1309" s="78">
        <f>K1305/$K$2*I1309</f>
        <v>0</v>
      </c>
      <c r="L1309" s="79"/>
      <c r="M1309" s="57"/>
      <c r="N1309" s="100"/>
      <c r="O1309" s="101" t="s">
        <v>64</v>
      </c>
      <c r="P1309" s="101"/>
      <c r="Q1309" s="101"/>
      <c r="R1309" s="101">
        <v>0</v>
      </c>
      <c r="S1309" s="105"/>
      <c r="T1309" s="101" t="s">
        <v>64</v>
      </c>
      <c r="U1309" s="177">
        <f>IF($J$1="May",Y1308,Y1308)</f>
        <v>0</v>
      </c>
      <c r="V1309" s="103"/>
      <c r="W1309" s="177">
        <f t="shared" si="237"/>
        <v>0</v>
      </c>
      <c r="X1309" s="103"/>
      <c r="Y1309" s="177">
        <f t="shared" si="238"/>
        <v>0</v>
      </c>
      <c r="Z1309" s="106"/>
    </row>
    <row r="1310" spans="1:26" s="55" customFormat="1" ht="21" customHeight="1" x14ac:dyDescent="0.25">
      <c r="A1310" s="56"/>
      <c r="B1310" s="66"/>
      <c r="C1310" s="66"/>
      <c r="D1310" s="57"/>
      <c r="E1310" s="57"/>
      <c r="F1310" s="75" t="s">
        <v>29</v>
      </c>
      <c r="G1310" s="70">
        <f>IF($J$1="January",V1305,IF($J$1="February",V1306,IF($J$1="March",V1307,IF($J$1="April",V1308,IF($J$1="May",V1309,IF($J$1="June",V1310,IF($J$1="July",V1311,IF($J$1="August",V1312,IF($J$1="August",V1312,IF($J$1="September",V1313,IF($J$1="October",V1314,IF($J$1="November",V1315,IF($J$1="December",V1316)))))))))))))</f>
        <v>0</v>
      </c>
      <c r="H1310" s="74"/>
      <c r="I1310" s="120"/>
      <c r="J1310" s="77" t="s">
        <v>78</v>
      </c>
      <c r="K1310" s="80">
        <f>K1305/$K$2/8*I1310</f>
        <v>0</v>
      </c>
      <c r="L1310" s="81"/>
      <c r="M1310" s="57"/>
      <c r="N1310" s="100"/>
      <c r="O1310" s="101" t="s">
        <v>65</v>
      </c>
      <c r="P1310" s="101"/>
      <c r="Q1310" s="101"/>
      <c r="R1310" s="101">
        <v>0</v>
      </c>
      <c r="S1310" s="105"/>
      <c r="T1310" s="101" t="s">
        <v>65</v>
      </c>
      <c r="U1310" s="177">
        <f>IF($J$1="April",Y1309,Y1309)</f>
        <v>0</v>
      </c>
      <c r="V1310" s="103"/>
      <c r="W1310" s="177">
        <f t="shared" si="237"/>
        <v>0</v>
      </c>
      <c r="X1310" s="103"/>
      <c r="Y1310" s="177">
        <f t="shared" si="238"/>
        <v>0</v>
      </c>
      <c r="Z1310" s="106"/>
    </row>
    <row r="1311" spans="1:26" s="55" customFormat="1" ht="21" customHeight="1" x14ac:dyDescent="0.25">
      <c r="A1311" s="56"/>
      <c r="B1311" s="75" t="s">
        <v>7</v>
      </c>
      <c r="C1311" s="66">
        <f>IF($J$1="January",P1305,IF($J$1="February",P1306,IF($J$1="March",P1307,IF($J$1="April",P1308,IF($J$1="May",P1309,IF($J$1="June",P1310,IF($J$1="July",P1311,IF($J$1="August",P1312,IF($J$1="August",P1312,IF($J$1="September",P1313,IF($J$1="October",P1314,IF($J$1="November",P1315,IF($J$1="December",P1316)))))))))))))</f>
        <v>0</v>
      </c>
      <c r="D1311" s="57"/>
      <c r="E1311" s="57"/>
      <c r="F1311" s="75" t="s">
        <v>81</v>
      </c>
      <c r="G1311" s="70">
        <f>IF($J$1="January",W1305,IF($J$1="February",W1306,IF($J$1="March",W1307,IF($J$1="April",W1308,IF($J$1="May",W1309,IF($J$1="June",W1310,IF($J$1="July",W1311,IF($J$1="August",W1312,IF($J$1="August",W1312,IF($J$1="September",W1313,IF($J$1="October",W1314,IF($J$1="November",W1315,IF($J$1="December",W1316)))))))))))))</f>
        <v>0</v>
      </c>
      <c r="H1311" s="74"/>
      <c r="I1311" s="293" t="s">
        <v>85</v>
      </c>
      <c r="J1311" s="294"/>
      <c r="K1311" s="80">
        <f>K1309+K1310</f>
        <v>0</v>
      </c>
      <c r="L1311" s="81"/>
      <c r="M1311" s="57"/>
      <c r="N1311" s="100"/>
      <c r="O1311" s="101" t="s">
        <v>66</v>
      </c>
      <c r="P1311" s="101"/>
      <c r="Q1311" s="101"/>
      <c r="R1311" s="101">
        <v>0</v>
      </c>
      <c r="S1311" s="105"/>
      <c r="T1311" s="101" t="s">
        <v>66</v>
      </c>
      <c r="U1311" s="177" t="str">
        <f>IF($J$1="July",Y1310,"")</f>
        <v/>
      </c>
      <c r="V1311" s="103"/>
      <c r="W1311" s="177" t="str">
        <f t="shared" si="237"/>
        <v/>
      </c>
      <c r="X1311" s="103"/>
      <c r="Y1311" s="177" t="str">
        <f t="shared" si="238"/>
        <v/>
      </c>
      <c r="Z1311" s="106"/>
    </row>
    <row r="1312" spans="1:26" s="55" customFormat="1" ht="21" customHeight="1" x14ac:dyDescent="0.25">
      <c r="A1312" s="56"/>
      <c r="B1312" s="75" t="s">
        <v>6</v>
      </c>
      <c r="C1312" s="66">
        <f>IF($J$1="January",Q1305,IF($J$1="February",Q1306,IF($J$1="March",Q1307,IF($J$1="April",Q1308,IF($J$1="May",Q1309,IF($J$1="June",Q1310,IF($J$1="July",Q1311,IF($J$1="August",Q1312,IF($J$1="August",Q1312,IF($J$1="September",Q1313,IF($J$1="October",Q1314,IF($J$1="November",Q1315,IF($J$1="December",Q1316)))))))))))))</f>
        <v>0</v>
      </c>
      <c r="D1312" s="57"/>
      <c r="E1312" s="57"/>
      <c r="F1312" s="75" t="s">
        <v>30</v>
      </c>
      <c r="G1312" s="70">
        <f>IF($J$1="January",X1305,IF($J$1="February",X1306,IF($J$1="March",X1307,IF($J$1="April",X1308,IF($J$1="May",X1309,IF($J$1="June",X1310,IF($J$1="July",X1311,IF($J$1="August",X1312,IF($J$1="August",X1312,IF($J$1="September",X1313,IF($J$1="October",X1314,IF($J$1="November",X1315,IF($J$1="December",X1316)))))))))))))</f>
        <v>0</v>
      </c>
      <c r="H1312" s="74"/>
      <c r="I1312" s="293" t="s">
        <v>86</v>
      </c>
      <c r="J1312" s="294"/>
      <c r="K1312" s="70">
        <f>G1312</f>
        <v>0</v>
      </c>
      <c r="L1312" s="82"/>
      <c r="M1312" s="57"/>
      <c r="N1312" s="100"/>
      <c r="O1312" s="101" t="s">
        <v>67</v>
      </c>
      <c r="P1312" s="101"/>
      <c r="Q1312" s="101"/>
      <c r="R1312" s="101">
        <v>0</v>
      </c>
      <c r="S1312" s="105"/>
      <c r="T1312" s="101" t="s">
        <v>67</v>
      </c>
      <c r="U1312" s="177" t="str">
        <f>IF($J$1="August",Y1311,"")</f>
        <v/>
      </c>
      <c r="V1312" s="103"/>
      <c r="W1312" s="177" t="str">
        <f t="shared" si="237"/>
        <v/>
      </c>
      <c r="X1312" s="103"/>
      <c r="Y1312" s="177" t="str">
        <f t="shared" si="238"/>
        <v/>
      </c>
      <c r="Z1312" s="106"/>
    </row>
    <row r="1313" spans="1:26" s="55" customFormat="1" ht="21" customHeight="1" x14ac:dyDescent="0.25">
      <c r="A1313" s="56"/>
      <c r="B1313" s="83" t="s">
        <v>84</v>
      </c>
      <c r="C1313" s="66">
        <f>IF($J$1="January",R1305,IF($J$1="February",R1306,IF($J$1="March",R1307,IF($J$1="April",R1308,IF($J$1="May",R1309,IF($J$1="June",R1310,IF($J$1="July",R1311,IF($J$1="August",R1312,IF($J$1="August",R1312,IF($J$1="September",R1313,IF($J$1="October",R1314,IF($J$1="November",R1315,IF($J$1="December",R1316)))))))))))))</f>
        <v>0</v>
      </c>
      <c r="D1313" s="57"/>
      <c r="E1313" s="57"/>
      <c r="F1313" s="75" t="s">
        <v>83</v>
      </c>
      <c r="G1313" s="70">
        <f>IF($J$1="January",Y1305,IF($J$1="February",Y1306,IF($J$1="March",Y1307,IF($J$1="April",Y1308,IF($J$1="May",Y1309,IF($J$1="June",Y1310,IF($J$1="July",Y1311,IF($J$1="August",Y1312,IF($J$1="August",Y1312,IF($J$1="September",Y1313,IF($J$1="October",Y1314,IF($J$1="November",Y1315,IF($J$1="December",Y1316)))))))))))))</f>
        <v>0</v>
      </c>
      <c r="H1313" s="57"/>
      <c r="I1313" s="295" t="s">
        <v>79</v>
      </c>
      <c r="J1313" s="296"/>
      <c r="K1313" s="84">
        <f>K1311-K1312</f>
        <v>0</v>
      </c>
      <c r="L1313" s="85"/>
      <c r="M1313" s="57"/>
      <c r="N1313" s="100"/>
      <c r="O1313" s="101" t="s">
        <v>72</v>
      </c>
      <c r="P1313" s="101"/>
      <c r="Q1313" s="101"/>
      <c r="R1313" s="101" t="str">
        <f>IF(Q1313="","",R1312-Q1313)</f>
        <v/>
      </c>
      <c r="S1313" s="105"/>
      <c r="T1313" s="101" t="s">
        <v>72</v>
      </c>
      <c r="U1313" s="177" t="str">
        <f>IF($J$1="Sept",Y1312,"")</f>
        <v/>
      </c>
      <c r="V1313" s="103"/>
      <c r="W1313" s="177" t="str">
        <f t="shared" si="237"/>
        <v/>
      </c>
      <c r="X1313" s="103"/>
      <c r="Y1313" s="177" t="str">
        <f t="shared" si="238"/>
        <v/>
      </c>
      <c r="Z1313" s="106"/>
    </row>
    <row r="1314" spans="1:26" s="55" customFormat="1" ht="21" customHeight="1" x14ac:dyDescent="0.25">
      <c r="A1314" s="56"/>
      <c r="B1314" s="57"/>
      <c r="C1314" s="57"/>
      <c r="D1314" s="57"/>
      <c r="E1314" s="57"/>
      <c r="F1314" s="57"/>
      <c r="G1314" s="57"/>
      <c r="H1314" s="57"/>
      <c r="I1314" s="57"/>
      <c r="J1314" s="57"/>
      <c r="K1314" s="57"/>
      <c r="L1314" s="73"/>
      <c r="M1314" s="57"/>
      <c r="N1314" s="100"/>
      <c r="O1314" s="101" t="s">
        <v>68</v>
      </c>
      <c r="P1314" s="101"/>
      <c r="Q1314" s="101"/>
      <c r="R1314" s="101" t="str">
        <f>IF(Q1314="","",R1313-Q1314)</f>
        <v/>
      </c>
      <c r="S1314" s="105"/>
      <c r="T1314" s="101" t="s">
        <v>68</v>
      </c>
      <c r="U1314" s="177" t="str">
        <f>IF($J$1="October",Y1313,"")</f>
        <v/>
      </c>
      <c r="V1314" s="103"/>
      <c r="W1314" s="177" t="str">
        <f t="shared" si="237"/>
        <v/>
      </c>
      <c r="X1314" s="103"/>
      <c r="Y1314" s="177" t="str">
        <f t="shared" si="238"/>
        <v/>
      </c>
      <c r="Z1314" s="106"/>
    </row>
    <row r="1315" spans="1:26" s="55" customFormat="1" ht="21" customHeight="1" x14ac:dyDescent="0.25">
      <c r="A1315" s="56"/>
      <c r="B1315" s="284" t="s">
        <v>116</v>
      </c>
      <c r="C1315" s="284"/>
      <c r="D1315" s="284"/>
      <c r="E1315" s="284"/>
      <c r="F1315" s="284"/>
      <c r="G1315" s="284"/>
      <c r="H1315" s="284"/>
      <c r="I1315" s="284"/>
      <c r="J1315" s="284"/>
      <c r="K1315" s="284"/>
      <c r="L1315" s="73"/>
      <c r="M1315" s="57"/>
      <c r="N1315" s="100"/>
      <c r="O1315" s="101" t="s">
        <v>73</v>
      </c>
      <c r="P1315" s="101"/>
      <c r="Q1315" s="101"/>
      <c r="R1315" s="101" t="str">
        <f>IF(Q1315="","",R1314-Q1315)</f>
        <v/>
      </c>
      <c r="S1315" s="105"/>
      <c r="T1315" s="101" t="s">
        <v>73</v>
      </c>
      <c r="U1315" s="177" t="str">
        <f>IF($J$1="November",Y1314,"")</f>
        <v/>
      </c>
      <c r="V1315" s="103"/>
      <c r="W1315" s="177" t="str">
        <f t="shared" si="237"/>
        <v/>
      </c>
      <c r="X1315" s="103"/>
      <c r="Y1315" s="177" t="str">
        <f t="shared" si="238"/>
        <v/>
      </c>
      <c r="Z1315" s="106"/>
    </row>
    <row r="1316" spans="1:26" s="55" customFormat="1" ht="21" customHeight="1" x14ac:dyDescent="0.25">
      <c r="A1316" s="56"/>
      <c r="B1316" s="284"/>
      <c r="C1316" s="284"/>
      <c r="D1316" s="284"/>
      <c r="E1316" s="284"/>
      <c r="F1316" s="284"/>
      <c r="G1316" s="284"/>
      <c r="H1316" s="284"/>
      <c r="I1316" s="284"/>
      <c r="J1316" s="284"/>
      <c r="K1316" s="284"/>
      <c r="L1316" s="73"/>
      <c r="M1316" s="57"/>
      <c r="N1316" s="100"/>
      <c r="O1316" s="101" t="s">
        <v>74</v>
      </c>
      <c r="P1316" s="101"/>
      <c r="Q1316" s="101"/>
      <c r="R1316" s="101" t="str">
        <f>IF(Q1316="","",R1315-Q1316)</f>
        <v/>
      </c>
      <c r="S1316" s="105"/>
      <c r="T1316" s="101" t="s">
        <v>74</v>
      </c>
      <c r="U1316" s="177" t="str">
        <f>IF($J$1="Dec",Y1315,"")</f>
        <v/>
      </c>
      <c r="V1316" s="103"/>
      <c r="W1316" s="177" t="str">
        <f t="shared" si="237"/>
        <v/>
      </c>
      <c r="X1316" s="103"/>
      <c r="Y1316" s="177" t="str">
        <f t="shared" si="238"/>
        <v/>
      </c>
      <c r="Z1316" s="106"/>
    </row>
    <row r="1317" spans="1:26" s="55" customFormat="1" ht="21" customHeight="1" thickBot="1" x14ac:dyDescent="0.3">
      <c r="A1317" s="86"/>
      <c r="B1317" s="87"/>
      <c r="C1317" s="87"/>
      <c r="D1317" s="87"/>
      <c r="E1317" s="87"/>
      <c r="F1317" s="87"/>
      <c r="G1317" s="87"/>
      <c r="H1317" s="87"/>
      <c r="I1317" s="87"/>
      <c r="J1317" s="87"/>
      <c r="K1317" s="87"/>
      <c r="L1317" s="88"/>
      <c r="N1317" s="107"/>
      <c r="O1317" s="108"/>
      <c r="P1317" s="108"/>
      <c r="Q1317" s="108"/>
      <c r="R1317" s="108"/>
      <c r="S1317" s="108"/>
      <c r="T1317" s="108"/>
      <c r="U1317" s="108"/>
      <c r="V1317" s="108"/>
      <c r="W1317" s="108"/>
      <c r="X1317" s="108"/>
      <c r="Y1317" s="108"/>
      <c r="Z1317" s="109"/>
    </row>
    <row r="1318" spans="1:26" ht="15" thickBot="1" x14ac:dyDescent="0.35"/>
    <row r="1319" spans="1:26" s="55" customFormat="1" ht="21" customHeight="1" x14ac:dyDescent="0.25">
      <c r="A1319" s="297" t="s">
        <v>56</v>
      </c>
      <c r="B1319" s="298"/>
      <c r="C1319" s="298"/>
      <c r="D1319" s="298"/>
      <c r="E1319" s="298"/>
      <c r="F1319" s="298"/>
      <c r="G1319" s="298"/>
      <c r="H1319" s="298"/>
      <c r="I1319" s="298"/>
      <c r="J1319" s="298"/>
      <c r="K1319" s="298"/>
      <c r="L1319" s="299"/>
      <c r="M1319" s="200"/>
      <c r="N1319" s="93"/>
      <c r="O1319" s="285" t="s">
        <v>58</v>
      </c>
      <c r="P1319" s="286"/>
      <c r="Q1319" s="286"/>
      <c r="R1319" s="287"/>
      <c r="S1319" s="94"/>
      <c r="T1319" s="285" t="s">
        <v>59</v>
      </c>
      <c r="U1319" s="286"/>
      <c r="V1319" s="286"/>
      <c r="W1319" s="286"/>
      <c r="X1319" s="286"/>
      <c r="Y1319" s="287"/>
      <c r="Z1319" s="95"/>
    </row>
    <row r="1320" spans="1:26" s="55" customFormat="1" ht="21" customHeight="1" x14ac:dyDescent="0.25">
      <c r="A1320" s="56"/>
      <c r="B1320" s="57"/>
      <c r="C1320" s="288" t="s">
        <v>114</v>
      </c>
      <c r="D1320" s="288"/>
      <c r="E1320" s="288"/>
      <c r="F1320" s="288"/>
      <c r="G1320" s="58" t="str">
        <f>$J$1</f>
        <v>June</v>
      </c>
      <c r="H1320" s="289">
        <f>$K$1</f>
        <v>2019</v>
      </c>
      <c r="I1320" s="289"/>
      <c r="J1320" s="57"/>
      <c r="K1320" s="59"/>
      <c r="L1320" s="60"/>
      <c r="M1320" s="59"/>
      <c r="N1320" s="96"/>
      <c r="O1320" s="97" t="s">
        <v>69</v>
      </c>
      <c r="P1320" s="97" t="s">
        <v>7</v>
      </c>
      <c r="Q1320" s="97" t="s">
        <v>6</v>
      </c>
      <c r="R1320" s="97" t="s">
        <v>70</v>
      </c>
      <c r="S1320" s="98"/>
      <c r="T1320" s="97" t="s">
        <v>69</v>
      </c>
      <c r="U1320" s="97" t="s">
        <v>71</v>
      </c>
      <c r="V1320" s="97" t="s">
        <v>29</v>
      </c>
      <c r="W1320" s="97" t="s">
        <v>28</v>
      </c>
      <c r="X1320" s="97" t="s">
        <v>30</v>
      </c>
      <c r="Y1320" s="97" t="s">
        <v>75</v>
      </c>
      <c r="Z1320" s="99"/>
    </row>
    <row r="1321" spans="1:26" s="55" customFormat="1" ht="21" customHeight="1" x14ac:dyDescent="0.25">
      <c r="A1321" s="56"/>
      <c r="B1321" s="57"/>
      <c r="C1321" s="57"/>
      <c r="D1321" s="62"/>
      <c r="E1321" s="62"/>
      <c r="F1321" s="62"/>
      <c r="G1321" s="62"/>
      <c r="H1321" s="62"/>
      <c r="I1321" s="57"/>
      <c r="J1321" s="63" t="s">
        <v>1</v>
      </c>
      <c r="K1321" s="64">
        <v>22000</v>
      </c>
      <c r="L1321" s="65"/>
      <c r="M1321" s="57"/>
      <c r="N1321" s="100"/>
      <c r="O1321" s="101" t="s">
        <v>61</v>
      </c>
      <c r="P1321" s="101">
        <v>31</v>
      </c>
      <c r="Q1321" s="101">
        <v>0</v>
      </c>
      <c r="R1321" s="101">
        <v>0</v>
      </c>
      <c r="S1321" s="102"/>
      <c r="T1321" s="101" t="s">
        <v>61</v>
      </c>
      <c r="U1321" s="103"/>
      <c r="V1321" s="103"/>
      <c r="W1321" s="103">
        <f>V1321+U1321</f>
        <v>0</v>
      </c>
      <c r="X1321" s="103"/>
      <c r="Y1321" s="103">
        <f>W1321-X1321</f>
        <v>0</v>
      </c>
      <c r="Z1321" s="99"/>
    </row>
    <row r="1322" spans="1:26" s="55" customFormat="1" ht="21" customHeight="1" x14ac:dyDescent="0.25">
      <c r="A1322" s="56"/>
      <c r="B1322" s="57" t="s">
        <v>0</v>
      </c>
      <c r="C1322" s="112" t="s">
        <v>152</v>
      </c>
      <c r="D1322" s="57"/>
      <c r="E1322" s="57"/>
      <c r="F1322" s="57"/>
      <c r="G1322" s="57"/>
      <c r="H1322" s="68"/>
      <c r="I1322" s="62"/>
      <c r="J1322" s="57"/>
      <c r="K1322" s="57"/>
      <c r="L1322" s="69"/>
      <c r="M1322" s="200"/>
      <c r="N1322" s="104"/>
      <c r="O1322" s="101" t="s">
        <v>87</v>
      </c>
      <c r="P1322" s="101">
        <v>28</v>
      </c>
      <c r="Q1322" s="101">
        <v>0</v>
      </c>
      <c r="R1322" s="101">
        <v>0</v>
      </c>
      <c r="S1322" s="105"/>
      <c r="T1322" s="101" t="s">
        <v>87</v>
      </c>
      <c r="U1322" s="177">
        <f>Y1321</f>
        <v>0</v>
      </c>
      <c r="V1322" s="103"/>
      <c r="W1322" s="177">
        <f>IF(U1322="","",U1322+V1322)</f>
        <v>0</v>
      </c>
      <c r="X1322" s="103"/>
      <c r="Y1322" s="177">
        <f>IF(W1322="","",W1322-X1322)</f>
        <v>0</v>
      </c>
      <c r="Z1322" s="106"/>
    </row>
    <row r="1323" spans="1:26" s="55" customFormat="1" ht="21" customHeight="1" x14ac:dyDescent="0.25">
      <c r="A1323" s="56"/>
      <c r="B1323" s="71" t="s">
        <v>57</v>
      </c>
      <c r="C1323" s="211">
        <v>43435</v>
      </c>
      <c r="D1323" s="57"/>
      <c r="E1323" s="57"/>
      <c r="F1323" s="290" t="s">
        <v>59</v>
      </c>
      <c r="G1323" s="290"/>
      <c r="H1323" s="57"/>
      <c r="I1323" s="290" t="s">
        <v>60</v>
      </c>
      <c r="J1323" s="290"/>
      <c r="K1323" s="290"/>
      <c r="L1323" s="73"/>
      <c r="M1323" s="57"/>
      <c r="N1323" s="100"/>
      <c r="O1323" s="101" t="s">
        <v>62</v>
      </c>
      <c r="P1323" s="101">
        <v>31</v>
      </c>
      <c r="Q1323" s="101">
        <v>0</v>
      </c>
      <c r="R1323" s="101">
        <f>IF(Q1323="","",R1322-Q1323)</f>
        <v>0</v>
      </c>
      <c r="S1323" s="105"/>
      <c r="T1323" s="101" t="s">
        <v>62</v>
      </c>
      <c r="U1323" s="177">
        <f>IF($J$1="April",Y1322,Y1322)</f>
        <v>0</v>
      </c>
      <c r="V1323" s="103"/>
      <c r="W1323" s="177">
        <f t="shared" ref="W1323:W1332" si="239">IF(U1323="","",U1323+V1323)</f>
        <v>0</v>
      </c>
      <c r="X1323" s="103"/>
      <c r="Y1323" s="177">
        <f t="shared" ref="Y1323:Y1332" si="240">IF(W1323="","",W1323-X1323)</f>
        <v>0</v>
      </c>
      <c r="Z1323" s="106"/>
    </row>
    <row r="1324" spans="1:26" s="55" customFormat="1" ht="21" customHeight="1" x14ac:dyDescent="0.25">
      <c r="A1324" s="56"/>
      <c r="B1324" s="57"/>
      <c r="C1324" s="57"/>
      <c r="D1324" s="57"/>
      <c r="E1324" s="57"/>
      <c r="F1324" s="57"/>
      <c r="G1324" s="57"/>
      <c r="H1324" s="74"/>
      <c r="L1324" s="61"/>
      <c r="M1324" s="57"/>
      <c r="N1324" s="100"/>
      <c r="O1324" s="101" t="s">
        <v>63</v>
      </c>
      <c r="P1324" s="101">
        <v>30</v>
      </c>
      <c r="Q1324" s="101">
        <v>0</v>
      </c>
      <c r="R1324" s="101">
        <f>IF(Q1324="","",R1323-Q1324)</f>
        <v>0</v>
      </c>
      <c r="S1324" s="105"/>
      <c r="T1324" s="101" t="s">
        <v>63</v>
      </c>
      <c r="U1324" s="177">
        <f>IF($J$1="April",Y1323,Y1323)</f>
        <v>0</v>
      </c>
      <c r="V1324" s="103"/>
      <c r="W1324" s="177">
        <f t="shared" si="239"/>
        <v>0</v>
      </c>
      <c r="X1324" s="103"/>
      <c r="Y1324" s="177">
        <f t="shared" si="240"/>
        <v>0</v>
      </c>
      <c r="Z1324" s="106"/>
    </row>
    <row r="1325" spans="1:26" s="55" customFormat="1" ht="21" customHeight="1" x14ac:dyDescent="0.25">
      <c r="A1325" s="56"/>
      <c r="B1325" s="291" t="s">
        <v>58</v>
      </c>
      <c r="C1325" s="292"/>
      <c r="D1325" s="57"/>
      <c r="E1325" s="57"/>
      <c r="F1325" s="75" t="s">
        <v>80</v>
      </c>
      <c r="G1325" s="70">
        <f>IF($J$1="January",U1321,IF($J$1="February",U1322,IF($J$1="March",U1323,IF($J$1="April",U1324,IF($J$1="May",U1325,IF($J$1="June",U1326,IF($J$1="July",U1327,IF($J$1="August",U1328,IF($J$1="August",U1328,IF($J$1="September",U1329,IF($J$1="October",U1330,IF($J$1="November",U1331,IF($J$1="December",U1332)))))))))))))</f>
        <v>0</v>
      </c>
      <c r="H1325" s="74"/>
      <c r="I1325" s="76">
        <f>IF(C1329&gt;0,$K$2,C1327)</f>
        <v>30</v>
      </c>
      <c r="J1325" s="77" t="s">
        <v>77</v>
      </c>
      <c r="K1325" s="78">
        <f>K1321/$K$2*I1325</f>
        <v>22000</v>
      </c>
      <c r="L1325" s="79"/>
      <c r="M1325" s="57"/>
      <c r="N1325" s="100"/>
      <c r="O1325" s="101" t="s">
        <v>64</v>
      </c>
      <c r="P1325" s="101">
        <v>31</v>
      </c>
      <c r="Q1325" s="101">
        <v>0</v>
      </c>
      <c r="R1325" s="101">
        <v>0</v>
      </c>
      <c r="S1325" s="105"/>
      <c r="T1325" s="101" t="s">
        <v>64</v>
      </c>
      <c r="U1325" s="177">
        <f>IF($J$1="May",Y1324,Y1324)</f>
        <v>0</v>
      </c>
      <c r="V1325" s="103"/>
      <c r="W1325" s="177">
        <f t="shared" si="239"/>
        <v>0</v>
      </c>
      <c r="X1325" s="103"/>
      <c r="Y1325" s="177">
        <f t="shared" si="240"/>
        <v>0</v>
      </c>
      <c r="Z1325" s="106"/>
    </row>
    <row r="1326" spans="1:26" s="55" customFormat="1" ht="21" customHeight="1" x14ac:dyDescent="0.25">
      <c r="A1326" s="56"/>
      <c r="B1326" s="66"/>
      <c r="C1326" s="66"/>
      <c r="D1326" s="57"/>
      <c r="E1326" s="57"/>
      <c r="F1326" s="75" t="s">
        <v>29</v>
      </c>
      <c r="G1326" s="70">
        <f>IF($J$1="January",V1321,IF($J$1="February",V1322,IF($J$1="March",V1323,IF($J$1="April",V1324,IF($J$1="May",V1325,IF($J$1="June",V1326,IF($J$1="July",V1327,IF($J$1="August",V1328,IF($J$1="August",V1328,IF($J$1="September",V1329,IF($J$1="October",V1330,IF($J$1="November",V1331,IF($J$1="December",V1332)))))))))))))</f>
        <v>40</v>
      </c>
      <c r="H1326" s="74"/>
      <c r="I1326" s="120">
        <v>110</v>
      </c>
      <c r="J1326" s="77" t="s">
        <v>78</v>
      </c>
      <c r="K1326" s="80">
        <f>K1321/$K$2/8*I1326</f>
        <v>10083.333333333334</v>
      </c>
      <c r="L1326" s="81"/>
      <c r="M1326" s="57"/>
      <c r="N1326" s="100"/>
      <c r="O1326" s="101" t="s">
        <v>65</v>
      </c>
      <c r="P1326" s="101">
        <v>30</v>
      </c>
      <c r="Q1326" s="101">
        <v>0</v>
      </c>
      <c r="R1326" s="101">
        <v>0</v>
      </c>
      <c r="S1326" s="105"/>
      <c r="T1326" s="101" t="s">
        <v>65</v>
      </c>
      <c r="U1326" s="177">
        <f>IF($J$1="April",Y1325,Y1325)</f>
        <v>0</v>
      </c>
      <c r="V1326" s="103">
        <v>40</v>
      </c>
      <c r="W1326" s="177">
        <f t="shared" si="239"/>
        <v>40</v>
      </c>
      <c r="X1326" s="103">
        <v>40</v>
      </c>
      <c r="Y1326" s="177">
        <f t="shared" si="240"/>
        <v>0</v>
      </c>
      <c r="Z1326" s="106"/>
    </row>
    <row r="1327" spans="1:26" s="55" customFormat="1" ht="21" customHeight="1" x14ac:dyDescent="0.25">
      <c r="A1327" s="56"/>
      <c r="B1327" s="75" t="s">
        <v>7</v>
      </c>
      <c r="C1327" s="66">
        <f>IF($J$1="January",P1321,IF($J$1="February",P1322,IF($J$1="March",P1323,IF($J$1="April",P1324,IF($J$1="May",P1325,IF($J$1="June",P1326,IF($J$1="July",P1327,IF($J$1="August",P1328,IF($J$1="August",P1328,IF($J$1="September",P1329,IF($J$1="October",P1330,IF($J$1="November",P1331,IF($J$1="December",P1332)))))))))))))</f>
        <v>30</v>
      </c>
      <c r="D1327" s="57"/>
      <c r="E1327" s="57"/>
      <c r="F1327" s="75" t="s">
        <v>81</v>
      </c>
      <c r="G1327" s="70">
        <f>IF($J$1="January",W1321,IF($J$1="February",W1322,IF($J$1="March",W1323,IF($J$1="April",W1324,IF($J$1="May",W1325,IF($J$1="June",W1326,IF($J$1="July",W1327,IF($J$1="August",W1328,IF($J$1="August",W1328,IF($J$1="September",W1329,IF($J$1="October",W1330,IF($J$1="November",W1331,IF($J$1="December",W1332)))))))))))))</f>
        <v>40</v>
      </c>
      <c r="H1327" s="74"/>
      <c r="I1327" s="293" t="s">
        <v>85</v>
      </c>
      <c r="J1327" s="294"/>
      <c r="K1327" s="80">
        <f>K1325+K1326</f>
        <v>32083.333333333336</v>
      </c>
      <c r="L1327" s="81"/>
      <c r="M1327" s="57"/>
      <c r="N1327" s="100"/>
      <c r="O1327" s="101" t="s">
        <v>66</v>
      </c>
      <c r="P1327" s="101"/>
      <c r="Q1327" s="101"/>
      <c r="R1327" s="101">
        <v>0</v>
      </c>
      <c r="S1327" s="105"/>
      <c r="T1327" s="101" t="s">
        <v>66</v>
      </c>
      <c r="U1327" s="177" t="str">
        <f>IF($J$1="July",Y1326,"")</f>
        <v/>
      </c>
      <c r="V1327" s="103"/>
      <c r="W1327" s="177" t="str">
        <f t="shared" si="239"/>
        <v/>
      </c>
      <c r="X1327" s="103"/>
      <c r="Y1327" s="177" t="str">
        <f t="shared" si="240"/>
        <v/>
      </c>
      <c r="Z1327" s="106"/>
    </row>
    <row r="1328" spans="1:26" s="55" customFormat="1" ht="21" customHeight="1" x14ac:dyDescent="0.25">
      <c r="A1328" s="56"/>
      <c r="B1328" s="75" t="s">
        <v>6</v>
      </c>
      <c r="C1328" s="66">
        <f>IF($J$1="January",Q1321,IF($J$1="February",Q1322,IF($J$1="March",Q1323,IF($J$1="April",Q1324,IF($J$1="May",Q1325,IF($J$1="June",Q1326,IF($J$1="July",Q1327,IF($J$1="August",Q1328,IF($J$1="August",Q1328,IF($J$1="September",Q1329,IF($J$1="October",Q1330,IF($J$1="November",Q1331,IF($J$1="December",Q1332)))))))))))))</f>
        <v>0</v>
      </c>
      <c r="D1328" s="57"/>
      <c r="E1328" s="57"/>
      <c r="F1328" s="75" t="s">
        <v>30</v>
      </c>
      <c r="G1328" s="70">
        <f>IF($J$1="January",X1321,IF($J$1="February",X1322,IF($J$1="March",X1323,IF($J$1="April",X1324,IF($J$1="May",X1325,IF($J$1="June",X1326,IF($J$1="July",X1327,IF($J$1="August",X1328,IF($J$1="August",X1328,IF($J$1="September",X1329,IF($J$1="October",X1330,IF($J$1="November",X1331,IF($J$1="December",X1332)))))))))))))</f>
        <v>40</v>
      </c>
      <c r="H1328" s="74"/>
      <c r="I1328" s="293" t="s">
        <v>86</v>
      </c>
      <c r="J1328" s="294"/>
      <c r="K1328" s="70">
        <f>G1328</f>
        <v>40</v>
      </c>
      <c r="L1328" s="82"/>
      <c r="M1328" s="57"/>
      <c r="N1328" s="100"/>
      <c r="O1328" s="101" t="s">
        <v>67</v>
      </c>
      <c r="P1328" s="101"/>
      <c r="Q1328" s="101"/>
      <c r="R1328" s="101">
        <v>0</v>
      </c>
      <c r="S1328" s="105"/>
      <c r="T1328" s="101" t="s">
        <v>67</v>
      </c>
      <c r="U1328" s="177" t="str">
        <f>IF($J$1="August",Y1327,"")</f>
        <v/>
      </c>
      <c r="V1328" s="103"/>
      <c r="W1328" s="177" t="str">
        <f t="shared" si="239"/>
        <v/>
      </c>
      <c r="X1328" s="103"/>
      <c r="Y1328" s="177" t="str">
        <f t="shared" si="240"/>
        <v/>
      </c>
      <c r="Z1328" s="106"/>
    </row>
    <row r="1329" spans="1:26" s="55" customFormat="1" ht="21" customHeight="1" x14ac:dyDescent="0.25">
      <c r="A1329" s="56"/>
      <c r="B1329" s="83" t="s">
        <v>84</v>
      </c>
      <c r="C1329" s="66">
        <f>IF($J$1="January",R1321,IF($J$1="February",R1322,IF($J$1="March",R1323,IF($J$1="April",R1324,IF($J$1="May",R1325,IF($J$1="June",R1326,IF($J$1="July",R1327,IF($J$1="August",R1328,IF($J$1="August",R1328,IF($J$1="September",R1329,IF($J$1="October",R1330,IF($J$1="November",R1331,IF($J$1="December",R1332)))))))))))))</f>
        <v>0</v>
      </c>
      <c r="D1329" s="57"/>
      <c r="E1329" s="57"/>
      <c r="F1329" s="75" t="s">
        <v>83</v>
      </c>
      <c r="G1329" s="70">
        <f>IF($J$1="January",Y1321,IF($J$1="February",Y1322,IF($J$1="March",Y1323,IF($J$1="April",Y1324,IF($J$1="May",Y1325,IF($J$1="June",Y1326,IF($J$1="July",Y1327,IF($J$1="August",Y1328,IF($J$1="August",Y1328,IF($J$1="September",Y1329,IF($J$1="October",Y1330,IF($J$1="November",Y1331,IF($J$1="December",Y1332)))))))))))))</f>
        <v>0</v>
      </c>
      <c r="H1329" s="57"/>
      <c r="I1329" s="295" t="s">
        <v>79</v>
      </c>
      <c r="J1329" s="296"/>
      <c r="K1329" s="84">
        <f>K1327-K1328</f>
        <v>32043.333333333336</v>
      </c>
      <c r="L1329" s="85"/>
      <c r="M1329" s="57"/>
      <c r="N1329" s="100"/>
      <c r="O1329" s="101" t="s">
        <v>72</v>
      </c>
      <c r="P1329" s="101"/>
      <c r="Q1329" s="101"/>
      <c r="R1329" s="101">
        <v>0</v>
      </c>
      <c r="S1329" s="105">
        <v>0</v>
      </c>
      <c r="T1329" s="101" t="s">
        <v>72</v>
      </c>
      <c r="U1329" s="177" t="str">
        <f>IF($J$1="Sept",Y1328,"")</f>
        <v/>
      </c>
      <c r="V1329" s="103"/>
      <c r="W1329" s="177" t="str">
        <f t="shared" si="239"/>
        <v/>
      </c>
      <c r="X1329" s="103"/>
      <c r="Y1329" s="177" t="str">
        <f t="shared" si="240"/>
        <v/>
      </c>
      <c r="Z1329" s="106"/>
    </row>
    <row r="1330" spans="1:26" s="55" customFormat="1" ht="21" customHeight="1" x14ac:dyDescent="0.25">
      <c r="A1330" s="56"/>
      <c r="B1330" s="57"/>
      <c r="C1330" s="57"/>
      <c r="D1330" s="57"/>
      <c r="E1330" s="57"/>
      <c r="F1330" s="57"/>
      <c r="G1330" s="57"/>
      <c r="H1330" s="57"/>
      <c r="I1330" s="57"/>
      <c r="J1330" s="57"/>
      <c r="K1330" s="57"/>
      <c r="L1330" s="73"/>
      <c r="M1330" s="57"/>
      <c r="N1330" s="100"/>
      <c r="O1330" s="101" t="s">
        <v>68</v>
      </c>
      <c r="P1330" s="101"/>
      <c r="Q1330" s="101"/>
      <c r="R1330" s="101" t="str">
        <f>IF(Q1330="","",R1329-Q1330)</f>
        <v/>
      </c>
      <c r="S1330" s="105"/>
      <c r="T1330" s="101" t="s">
        <v>68</v>
      </c>
      <c r="U1330" s="177" t="str">
        <f>IF($J$1="October",Y1329,"")</f>
        <v/>
      </c>
      <c r="V1330" s="103"/>
      <c r="W1330" s="177" t="str">
        <f t="shared" si="239"/>
        <v/>
      </c>
      <c r="X1330" s="103"/>
      <c r="Y1330" s="177" t="str">
        <f t="shared" si="240"/>
        <v/>
      </c>
      <c r="Z1330" s="106"/>
    </row>
    <row r="1331" spans="1:26" s="55" customFormat="1" ht="21" customHeight="1" x14ac:dyDescent="0.25">
      <c r="A1331" s="56"/>
      <c r="B1331" s="284" t="s">
        <v>116</v>
      </c>
      <c r="C1331" s="284"/>
      <c r="D1331" s="284"/>
      <c r="E1331" s="284"/>
      <c r="F1331" s="284"/>
      <c r="G1331" s="284"/>
      <c r="H1331" s="284"/>
      <c r="I1331" s="284"/>
      <c r="J1331" s="284"/>
      <c r="K1331" s="284"/>
      <c r="L1331" s="73"/>
      <c r="M1331" s="57"/>
      <c r="N1331" s="100"/>
      <c r="O1331" s="101" t="s">
        <v>73</v>
      </c>
      <c r="P1331" s="101"/>
      <c r="Q1331" s="101"/>
      <c r="R1331" s="101">
        <v>0</v>
      </c>
      <c r="S1331" s="105"/>
      <c r="T1331" s="101" t="s">
        <v>73</v>
      </c>
      <c r="U1331" s="177" t="str">
        <f>IF($J$1="November",Y1330,"")</f>
        <v/>
      </c>
      <c r="V1331" s="103"/>
      <c r="W1331" s="177" t="str">
        <f t="shared" si="239"/>
        <v/>
      </c>
      <c r="X1331" s="103"/>
      <c r="Y1331" s="177" t="str">
        <f t="shared" si="240"/>
        <v/>
      </c>
      <c r="Z1331" s="106"/>
    </row>
    <row r="1332" spans="1:26" s="55" customFormat="1" ht="21" customHeight="1" x14ac:dyDescent="0.25">
      <c r="A1332" s="56"/>
      <c r="B1332" s="284"/>
      <c r="C1332" s="284"/>
      <c r="D1332" s="284"/>
      <c r="E1332" s="284"/>
      <c r="F1332" s="284"/>
      <c r="G1332" s="284"/>
      <c r="H1332" s="284"/>
      <c r="I1332" s="284"/>
      <c r="J1332" s="284"/>
      <c r="K1332" s="284"/>
      <c r="L1332" s="73"/>
      <c r="M1332" s="57"/>
      <c r="N1332" s="100"/>
      <c r="O1332" s="101" t="s">
        <v>74</v>
      </c>
      <c r="P1332" s="101"/>
      <c r="Q1332" s="101"/>
      <c r="R1332" s="101" t="str">
        <f>IF(Q1332="","",R1331-Q1332)</f>
        <v/>
      </c>
      <c r="S1332" s="105"/>
      <c r="T1332" s="101" t="s">
        <v>74</v>
      </c>
      <c r="U1332" s="177" t="str">
        <f>IF($J$1="Dec",Y1331,"")</f>
        <v/>
      </c>
      <c r="V1332" s="103"/>
      <c r="W1332" s="177" t="str">
        <f t="shared" si="239"/>
        <v/>
      </c>
      <c r="X1332" s="103"/>
      <c r="Y1332" s="177" t="str">
        <f t="shared" si="240"/>
        <v/>
      </c>
      <c r="Z1332" s="106"/>
    </row>
    <row r="1333" spans="1:26" s="55" customFormat="1" ht="21" customHeight="1" thickBot="1" x14ac:dyDescent="0.3">
      <c r="A1333" s="86"/>
      <c r="B1333" s="87"/>
      <c r="C1333" s="87"/>
      <c r="D1333" s="87"/>
      <c r="E1333" s="87"/>
      <c r="F1333" s="87"/>
      <c r="G1333" s="87"/>
      <c r="H1333" s="87"/>
      <c r="I1333" s="87"/>
      <c r="J1333" s="87"/>
      <c r="K1333" s="87"/>
      <c r="L1333" s="88"/>
      <c r="N1333" s="107"/>
      <c r="O1333" s="108"/>
      <c r="P1333" s="108"/>
      <c r="Q1333" s="108"/>
      <c r="R1333" s="108"/>
      <c r="S1333" s="108"/>
      <c r="T1333" s="108"/>
      <c r="U1333" s="108"/>
      <c r="V1333" s="108"/>
      <c r="W1333" s="108"/>
      <c r="X1333" s="108"/>
      <c r="Y1333" s="108"/>
      <c r="Z1333" s="109"/>
    </row>
    <row r="1334" spans="1:26" ht="15" thickBot="1" x14ac:dyDescent="0.35"/>
    <row r="1335" spans="1:26" s="55" customFormat="1" ht="21" customHeight="1" x14ac:dyDescent="0.25">
      <c r="A1335" s="297" t="s">
        <v>56</v>
      </c>
      <c r="B1335" s="298"/>
      <c r="C1335" s="298"/>
      <c r="D1335" s="298"/>
      <c r="E1335" s="298"/>
      <c r="F1335" s="298"/>
      <c r="G1335" s="298"/>
      <c r="H1335" s="298"/>
      <c r="I1335" s="298"/>
      <c r="J1335" s="298"/>
      <c r="K1335" s="298"/>
      <c r="L1335" s="299"/>
      <c r="M1335" s="200"/>
      <c r="N1335" s="93"/>
      <c r="O1335" s="285" t="s">
        <v>58</v>
      </c>
      <c r="P1335" s="286"/>
      <c r="Q1335" s="286"/>
      <c r="R1335" s="287"/>
      <c r="S1335" s="94"/>
      <c r="T1335" s="285" t="s">
        <v>59</v>
      </c>
      <c r="U1335" s="286"/>
      <c r="V1335" s="286"/>
      <c r="W1335" s="286"/>
      <c r="X1335" s="286"/>
      <c r="Y1335" s="287"/>
      <c r="Z1335" s="95"/>
    </row>
    <row r="1336" spans="1:26" s="55" customFormat="1" ht="21" customHeight="1" x14ac:dyDescent="0.25">
      <c r="A1336" s="56"/>
      <c r="B1336" s="57"/>
      <c r="C1336" s="288" t="s">
        <v>114</v>
      </c>
      <c r="D1336" s="288"/>
      <c r="E1336" s="288"/>
      <c r="F1336" s="288"/>
      <c r="G1336" s="58" t="str">
        <f>$J$1</f>
        <v>June</v>
      </c>
      <c r="H1336" s="289">
        <f>$K$1</f>
        <v>2019</v>
      </c>
      <c r="I1336" s="289"/>
      <c r="J1336" s="57"/>
      <c r="K1336" s="59"/>
      <c r="L1336" s="60"/>
      <c r="M1336" s="59"/>
      <c r="N1336" s="96"/>
      <c r="O1336" s="97" t="s">
        <v>69</v>
      </c>
      <c r="P1336" s="97" t="s">
        <v>7</v>
      </c>
      <c r="Q1336" s="97" t="s">
        <v>6</v>
      </c>
      <c r="R1336" s="97" t="s">
        <v>70</v>
      </c>
      <c r="S1336" s="98"/>
      <c r="T1336" s="97" t="s">
        <v>69</v>
      </c>
      <c r="U1336" s="97" t="s">
        <v>71</v>
      </c>
      <c r="V1336" s="97" t="s">
        <v>29</v>
      </c>
      <c r="W1336" s="97" t="s">
        <v>28</v>
      </c>
      <c r="X1336" s="97" t="s">
        <v>30</v>
      </c>
      <c r="Y1336" s="97" t="s">
        <v>75</v>
      </c>
      <c r="Z1336" s="99"/>
    </row>
    <row r="1337" spans="1:26" s="55" customFormat="1" ht="21" customHeight="1" x14ac:dyDescent="0.25">
      <c r="A1337" s="56"/>
      <c r="B1337" s="57"/>
      <c r="C1337" s="57"/>
      <c r="D1337" s="62"/>
      <c r="E1337" s="62"/>
      <c r="F1337" s="62"/>
      <c r="G1337" s="62"/>
      <c r="H1337" s="62"/>
      <c r="I1337" s="57"/>
      <c r="J1337" s="63" t="s">
        <v>1</v>
      </c>
      <c r="K1337" s="64">
        <v>16000</v>
      </c>
      <c r="L1337" s="65"/>
      <c r="M1337" s="57"/>
      <c r="N1337" s="100"/>
      <c r="O1337" s="101" t="s">
        <v>61</v>
      </c>
      <c r="P1337" s="101">
        <v>31</v>
      </c>
      <c r="Q1337" s="101">
        <v>0</v>
      </c>
      <c r="R1337" s="101">
        <v>0</v>
      </c>
      <c r="S1337" s="102"/>
      <c r="T1337" s="101" t="s">
        <v>61</v>
      </c>
      <c r="U1337" s="103"/>
      <c r="V1337" s="103"/>
      <c r="W1337" s="103">
        <f>V1337+U1337</f>
        <v>0</v>
      </c>
      <c r="X1337" s="103"/>
      <c r="Y1337" s="103">
        <f>W1337-X1337</f>
        <v>0</v>
      </c>
      <c r="Z1337" s="99"/>
    </row>
    <row r="1338" spans="1:26" s="55" customFormat="1" ht="21" customHeight="1" x14ac:dyDescent="0.25">
      <c r="A1338" s="56"/>
      <c r="B1338" s="57" t="s">
        <v>0</v>
      </c>
      <c r="C1338" s="112" t="s">
        <v>151</v>
      </c>
      <c r="D1338" s="57"/>
      <c r="E1338" s="57"/>
      <c r="F1338" s="57"/>
      <c r="G1338" s="57"/>
      <c r="H1338" s="68"/>
      <c r="I1338" s="62"/>
      <c r="J1338" s="57"/>
      <c r="K1338" s="57"/>
      <c r="L1338" s="69"/>
      <c r="M1338" s="200"/>
      <c r="N1338" s="104"/>
      <c r="O1338" s="101" t="s">
        <v>87</v>
      </c>
      <c r="P1338" s="101">
        <v>27</v>
      </c>
      <c r="Q1338" s="101">
        <v>1</v>
      </c>
      <c r="R1338" s="101">
        <v>0</v>
      </c>
      <c r="S1338" s="105"/>
      <c r="T1338" s="101" t="s">
        <v>87</v>
      </c>
      <c r="U1338" s="177">
        <f>Y1337</f>
        <v>0</v>
      </c>
      <c r="V1338" s="103"/>
      <c r="W1338" s="177">
        <f>IF(U1338="","",U1338+V1338)</f>
        <v>0</v>
      </c>
      <c r="X1338" s="103"/>
      <c r="Y1338" s="177">
        <f>IF(W1338="","",W1338-X1338)</f>
        <v>0</v>
      </c>
      <c r="Z1338" s="106"/>
    </row>
    <row r="1339" spans="1:26" s="55" customFormat="1" ht="21" customHeight="1" x14ac:dyDescent="0.25">
      <c r="A1339" s="56"/>
      <c r="B1339" s="71" t="s">
        <v>57</v>
      </c>
      <c r="C1339" s="112"/>
      <c r="D1339" s="57"/>
      <c r="E1339" s="57"/>
      <c r="F1339" s="290" t="s">
        <v>59</v>
      </c>
      <c r="G1339" s="290"/>
      <c r="H1339" s="57"/>
      <c r="I1339" s="290" t="s">
        <v>60</v>
      </c>
      <c r="J1339" s="290"/>
      <c r="K1339" s="290"/>
      <c r="L1339" s="73"/>
      <c r="M1339" s="57"/>
      <c r="N1339" s="100"/>
      <c r="O1339" s="101" t="s">
        <v>62</v>
      </c>
      <c r="P1339" s="101">
        <v>27</v>
      </c>
      <c r="Q1339" s="101">
        <v>4</v>
      </c>
      <c r="R1339" s="101">
        <v>0</v>
      </c>
      <c r="S1339" s="105"/>
      <c r="T1339" s="101" t="s">
        <v>62</v>
      </c>
      <c r="U1339" s="177">
        <f>IF($J$1="April",Y1338,Y1338)</f>
        <v>0</v>
      </c>
      <c r="V1339" s="103"/>
      <c r="W1339" s="177">
        <f t="shared" ref="W1339:W1348" si="241">IF(U1339="","",U1339+V1339)</f>
        <v>0</v>
      </c>
      <c r="X1339" s="103"/>
      <c r="Y1339" s="177">
        <f t="shared" ref="Y1339:Y1348" si="242">IF(W1339="","",W1339-X1339)</f>
        <v>0</v>
      </c>
      <c r="Z1339" s="106"/>
    </row>
    <row r="1340" spans="1:26" s="55" customFormat="1" ht="21" customHeight="1" x14ac:dyDescent="0.25">
      <c r="A1340" s="56"/>
      <c r="B1340" s="57"/>
      <c r="C1340" s="57"/>
      <c r="D1340" s="57"/>
      <c r="E1340" s="57"/>
      <c r="F1340" s="57"/>
      <c r="G1340" s="57"/>
      <c r="H1340" s="74"/>
      <c r="L1340" s="61"/>
      <c r="M1340" s="57"/>
      <c r="N1340" s="100"/>
      <c r="O1340" s="101" t="s">
        <v>63</v>
      </c>
      <c r="P1340" s="101">
        <v>29</v>
      </c>
      <c r="Q1340" s="101">
        <v>1</v>
      </c>
      <c r="R1340" s="101">
        <v>0</v>
      </c>
      <c r="S1340" s="105"/>
      <c r="T1340" s="101" t="s">
        <v>63</v>
      </c>
      <c r="U1340" s="177">
        <f>IF($J$1="April",Y1339,Y1339)</f>
        <v>0</v>
      </c>
      <c r="V1340" s="103"/>
      <c r="W1340" s="177">
        <f t="shared" si="241"/>
        <v>0</v>
      </c>
      <c r="X1340" s="103"/>
      <c r="Y1340" s="177">
        <f t="shared" si="242"/>
        <v>0</v>
      </c>
      <c r="Z1340" s="106"/>
    </row>
    <row r="1341" spans="1:26" s="55" customFormat="1" ht="21" customHeight="1" x14ac:dyDescent="0.25">
      <c r="A1341" s="56"/>
      <c r="B1341" s="291" t="s">
        <v>58</v>
      </c>
      <c r="C1341" s="292"/>
      <c r="D1341" s="57"/>
      <c r="E1341" s="57"/>
      <c r="F1341" s="75" t="s">
        <v>80</v>
      </c>
      <c r="G1341" s="70">
        <f>IF($J$1="January",U1337,IF($J$1="February",U1338,IF($J$1="March",U1339,IF($J$1="April",U1340,IF($J$1="May",U1341,IF($J$1="June",U1342,IF($J$1="July",U1343,IF($J$1="August",U1344,IF($J$1="August",U1344,IF($J$1="September",U1345,IF($J$1="October",U1346,IF($J$1="November",U1347,IF($J$1="December",U1348)))))))))))))</f>
        <v>0</v>
      </c>
      <c r="H1341" s="74"/>
      <c r="I1341" s="76">
        <f>IF(C1345&gt;0,$K$2,C1343)</f>
        <v>29</v>
      </c>
      <c r="J1341" s="77" t="s">
        <v>77</v>
      </c>
      <c r="K1341" s="78">
        <f>K1337/$K$2*I1341</f>
        <v>15466.666666666668</v>
      </c>
      <c r="L1341" s="79"/>
      <c r="M1341" s="57"/>
      <c r="N1341" s="100"/>
      <c r="O1341" s="101" t="s">
        <v>64</v>
      </c>
      <c r="P1341" s="101">
        <v>31</v>
      </c>
      <c r="Q1341" s="101">
        <v>0</v>
      </c>
      <c r="R1341" s="101">
        <v>0</v>
      </c>
      <c r="S1341" s="105"/>
      <c r="T1341" s="101" t="s">
        <v>64</v>
      </c>
      <c r="U1341" s="177">
        <f>IF($J$1="May",Y1340,Y1340)</f>
        <v>0</v>
      </c>
      <c r="V1341" s="103"/>
      <c r="W1341" s="177">
        <f t="shared" si="241"/>
        <v>0</v>
      </c>
      <c r="X1341" s="103"/>
      <c r="Y1341" s="177">
        <f t="shared" si="242"/>
        <v>0</v>
      </c>
      <c r="Z1341" s="106"/>
    </row>
    <row r="1342" spans="1:26" s="55" customFormat="1" ht="21" customHeight="1" x14ac:dyDescent="0.25">
      <c r="A1342" s="56"/>
      <c r="B1342" s="66"/>
      <c r="C1342" s="66"/>
      <c r="D1342" s="57"/>
      <c r="E1342" s="57"/>
      <c r="F1342" s="75" t="s">
        <v>29</v>
      </c>
      <c r="G1342" s="70">
        <f>IF($J$1="January",V1337,IF($J$1="February",V1338,IF($J$1="March",V1339,IF($J$1="April",V1340,IF($J$1="May",V1341,IF($J$1="June",V1342,IF($J$1="July",V1343,IF($J$1="August",V1344,IF($J$1="August",V1344,IF($J$1="September",V1345,IF($J$1="October",V1346,IF($J$1="November",V1347,IF($J$1="December",V1348)))))))))))))</f>
        <v>130</v>
      </c>
      <c r="H1342" s="74"/>
      <c r="I1342" s="120">
        <v>79.7</v>
      </c>
      <c r="J1342" s="77" t="s">
        <v>78</v>
      </c>
      <c r="K1342" s="80">
        <f>K1337/$K$2/8*I1342</f>
        <v>5313.3333333333339</v>
      </c>
      <c r="L1342" s="81"/>
      <c r="M1342" s="57"/>
      <c r="N1342" s="100"/>
      <c r="O1342" s="101" t="s">
        <v>65</v>
      </c>
      <c r="P1342" s="101">
        <v>29</v>
      </c>
      <c r="Q1342" s="101">
        <v>1</v>
      </c>
      <c r="R1342" s="101">
        <v>0</v>
      </c>
      <c r="S1342" s="105"/>
      <c r="T1342" s="101" t="s">
        <v>65</v>
      </c>
      <c r="U1342" s="177">
        <f>IF($J$1="May",Y1341,Y1341)</f>
        <v>0</v>
      </c>
      <c r="V1342" s="103">
        <v>130</v>
      </c>
      <c r="W1342" s="177">
        <f t="shared" si="241"/>
        <v>130</v>
      </c>
      <c r="X1342" s="103">
        <v>130</v>
      </c>
      <c r="Y1342" s="177">
        <f t="shared" si="242"/>
        <v>0</v>
      </c>
      <c r="Z1342" s="106"/>
    </row>
    <row r="1343" spans="1:26" s="55" customFormat="1" ht="21" customHeight="1" x14ac:dyDescent="0.25">
      <c r="A1343" s="56"/>
      <c r="B1343" s="75" t="s">
        <v>7</v>
      </c>
      <c r="C1343" s="66">
        <f>IF($J$1="January",P1337,IF($J$1="February",P1338,IF($J$1="March",P1339,IF($J$1="April",P1340,IF($J$1="May",P1341,IF($J$1="June",P1342,IF($J$1="July",P1343,IF($J$1="August",P1344,IF($J$1="August",P1344,IF($J$1="September",P1345,IF($J$1="October",P1346,IF($J$1="November",P1347,IF($J$1="December",P1348)))))))))))))</f>
        <v>29</v>
      </c>
      <c r="D1343" s="57"/>
      <c r="E1343" s="57"/>
      <c r="F1343" s="75" t="s">
        <v>81</v>
      </c>
      <c r="G1343" s="70">
        <f>IF($J$1="January",W1337,IF($J$1="February",W1338,IF($J$1="March",W1339,IF($J$1="April",W1340,IF($J$1="May",W1341,IF($J$1="June",W1342,IF($J$1="July",W1343,IF($J$1="August",W1344,IF($J$1="August",W1344,IF($J$1="September",W1345,IF($J$1="October",W1346,IF($J$1="November",W1347,IF($J$1="December",W1348)))))))))))))</f>
        <v>130</v>
      </c>
      <c r="H1343" s="74"/>
      <c r="I1343" s="293" t="s">
        <v>85</v>
      </c>
      <c r="J1343" s="294"/>
      <c r="K1343" s="80">
        <f>K1341+K1342</f>
        <v>20780</v>
      </c>
      <c r="L1343" s="81"/>
      <c r="M1343" s="57"/>
      <c r="N1343" s="100"/>
      <c r="O1343" s="101" t="s">
        <v>66</v>
      </c>
      <c r="P1343" s="101"/>
      <c r="Q1343" s="101"/>
      <c r="R1343" s="101">
        <v>0</v>
      </c>
      <c r="S1343" s="105"/>
      <c r="T1343" s="101" t="s">
        <v>66</v>
      </c>
      <c r="U1343" s="177">
        <f>IF($J$1="May",Y1342,Y1342)</f>
        <v>0</v>
      </c>
      <c r="V1343" s="103"/>
      <c r="W1343" s="177">
        <f t="shared" si="241"/>
        <v>0</v>
      </c>
      <c r="X1343" s="103"/>
      <c r="Y1343" s="177">
        <f t="shared" si="242"/>
        <v>0</v>
      </c>
      <c r="Z1343" s="106"/>
    </row>
    <row r="1344" spans="1:26" s="55" customFormat="1" ht="21" customHeight="1" x14ac:dyDescent="0.25">
      <c r="A1344" s="56"/>
      <c r="B1344" s="75" t="s">
        <v>6</v>
      </c>
      <c r="C1344" s="66">
        <f>IF($J$1="January",Q1337,IF($J$1="February",Q1338,IF($J$1="March",Q1339,IF($J$1="April",Q1340,IF($J$1="May",Q1341,IF($J$1="June",Q1342,IF($J$1="July",Q1343,IF($J$1="August",Q1344,IF($J$1="August",Q1344,IF($J$1="September",Q1345,IF($J$1="October",Q1346,IF($J$1="November",Q1347,IF($J$1="December",Q1348)))))))))))))</f>
        <v>1</v>
      </c>
      <c r="D1344" s="57"/>
      <c r="E1344" s="57"/>
      <c r="F1344" s="75" t="s">
        <v>30</v>
      </c>
      <c r="G1344" s="70">
        <f>IF($J$1="January",X1337,IF($J$1="February",X1338,IF($J$1="March",X1339,IF($J$1="April",X1340,IF($J$1="May",X1341,IF($J$1="June",X1342,IF($J$1="July",X1343,IF($J$1="August",X1344,IF($J$1="August",X1344,IF($J$1="September",X1345,IF($J$1="October",X1346,IF($J$1="November",X1347,IF($J$1="December",X1348)))))))))))))</f>
        <v>130</v>
      </c>
      <c r="H1344" s="74"/>
      <c r="I1344" s="293" t="s">
        <v>86</v>
      </c>
      <c r="J1344" s="294"/>
      <c r="K1344" s="70">
        <f>G1344</f>
        <v>130</v>
      </c>
      <c r="L1344" s="82"/>
      <c r="M1344" s="57"/>
      <c r="N1344" s="100"/>
      <c r="O1344" s="101" t="s">
        <v>67</v>
      </c>
      <c r="P1344" s="101"/>
      <c r="Q1344" s="101"/>
      <c r="R1344" s="101">
        <v>0</v>
      </c>
      <c r="S1344" s="105"/>
      <c r="T1344" s="101" t="s">
        <v>67</v>
      </c>
      <c r="U1344" s="177">
        <f>IF($J$1="May",Y1343,Y1343)</f>
        <v>0</v>
      </c>
      <c r="V1344" s="103"/>
      <c r="W1344" s="177">
        <f t="shared" si="241"/>
        <v>0</v>
      </c>
      <c r="X1344" s="103"/>
      <c r="Y1344" s="177">
        <f t="shared" si="242"/>
        <v>0</v>
      </c>
      <c r="Z1344" s="106"/>
    </row>
    <row r="1345" spans="1:26" s="55" customFormat="1" ht="21" customHeight="1" x14ac:dyDescent="0.25">
      <c r="A1345" s="56"/>
      <c r="B1345" s="83" t="s">
        <v>84</v>
      </c>
      <c r="C1345" s="66">
        <f>IF($J$1="January",R1337,IF($J$1="February",R1338,IF($J$1="March",R1339,IF($J$1="April",R1340,IF($J$1="May",R1341,IF($J$1="June",R1342,IF($J$1="July",R1343,IF($J$1="August",R1344,IF($J$1="August",R1344,IF($J$1="September",R1345,IF($J$1="October",R1346,IF($J$1="November",R1347,IF($J$1="December",R1348)))))))))))))</f>
        <v>0</v>
      </c>
      <c r="D1345" s="57"/>
      <c r="E1345" s="57"/>
      <c r="F1345" s="75" t="s">
        <v>83</v>
      </c>
      <c r="G1345" s="70">
        <f>IF($J$1="January",Y1337,IF($J$1="February",Y1338,IF($J$1="March",Y1339,IF($J$1="April",Y1340,IF($J$1="May",Y1341,IF($J$1="June",Y1342,IF($J$1="July",Y1343,IF($J$1="August",Y1344,IF($J$1="August",Y1344,IF($J$1="September",Y1345,IF($J$1="October",Y1346,IF($J$1="November",Y1347,IF($J$1="December",Y1348)))))))))))))</f>
        <v>0</v>
      </c>
      <c r="H1345" s="57"/>
      <c r="I1345" s="295" t="s">
        <v>79</v>
      </c>
      <c r="J1345" s="296"/>
      <c r="K1345" s="84">
        <f>K1343-K1344</f>
        <v>20650</v>
      </c>
      <c r="L1345" s="85"/>
      <c r="M1345" s="57"/>
      <c r="N1345" s="100"/>
      <c r="O1345" s="101" t="s">
        <v>72</v>
      </c>
      <c r="P1345" s="101"/>
      <c r="Q1345" s="101"/>
      <c r="R1345" s="101">
        <v>0</v>
      </c>
      <c r="S1345" s="105"/>
      <c r="T1345" s="101" t="s">
        <v>72</v>
      </c>
      <c r="U1345" s="177">
        <f>IF($J$1="May",Y1344,Y1344)</f>
        <v>0</v>
      </c>
      <c r="V1345" s="103"/>
      <c r="W1345" s="177">
        <f t="shared" si="241"/>
        <v>0</v>
      </c>
      <c r="X1345" s="103"/>
      <c r="Y1345" s="177">
        <f t="shared" si="242"/>
        <v>0</v>
      </c>
      <c r="Z1345" s="106"/>
    </row>
    <row r="1346" spans="1:26" s="55" customFormat="1" ht="21" customHeight="1" x14ac:dyDescent="0.25">
      <c r="A1346" s="56"/>
      <c r="B1346" s="57"/>
      <c r="C1346" s="57"/>
      <c r="D1346" s="57"/>
      <c r="E1346" s="57"/>
      <c r="F1346" s="57"/>
      <c r="G1346" s="57"/>
      <c r="H1346" s="57"/>
      <c r="I1346" s="57"/>
      <c r="J1346" s="57"/>
      <c r="K1346" s="57"/>
      <c r="L1346" s="73"/>
      <c r="M1346" s="57"/>
      <c r="N1346" s="100"/>
      <c r="O1346" s="101" t="s">
        <v>68</v>
      </c>
      <c r="P1346" s="101"/>
      <c r="Q1346" s="101"/>
      <c r="R1346" s="101" t="str">
        <f>IF(Q1346="","",R1345-Q1346)</f>
        <v/>
      </c>
      <c r="S1346" s="105"/>
      <c r="T1346" s="101" t="s">
        <v>68</v>
      </c>
      <c r="U1346" s="177" t="str">
        <f>IF($J$1="October",Y1345,"")</f>
        <v/>
      </c>
      <c r="V1346" s="103"/>
      <c r="W1346" s="177" t="str">
        <f t="shared" si="241"/>
        <v/>
      </c>
      <c r="X1346" s="103"/>
      <c r="Y1346" s="177" t="str">
        <f t="shared" si="242"/>
        <v/>
      </c>
      <c r="Z1346" s="106"/>
    </row>
    <row r="1347" spans="1:26" s="55" customFormat="1" ht="21" customHeight="1" x14ac:dyDescent="0.25">
      <c r="A1347" s="56"/>
      <c r="B1347" s="284" t="s">
        <v>116</v>
      </c>
      <c r="C1347" s="284"/>
      <c r="D1347" s="284"/>
      <c r="E1347" s="284"/>
      <c r="F1347" s="284"/>
      <c r="G1347" s="284"/>
      <c r="H1347" s="284"/>
      <c r="I1347" s="284"/>
      <c r="J1347" s="284"/>
      <c r="K1347" s="284"/>
      <c r="L1347" s="73"/>
      <c r="M1347" s="57"/>
      <c r="N1347" s="100"/>
      <c r="O1347" s="101" t="s">
        <v>73</v>
      </c>
      <c r="P1347" s="101"/>
      <c r="Q1347" s="101"/>
      <c r="R1347" s="101">
        <v>0</v>
      </c>
      <c r="S1347" s="105"/>
      <c r="T1347" s="101" t="s">
        <v>73</v>
      </c>
      <c r="U1347" s="177" t="str">
        <f>IF($J$1="November",Y1346,"")</f>
        <v/>
      </c>
      <c r="V1347" s="103"/>
      <c r="W1347" s="177" t="str">
        <f t="shared" si="241"/>
        <v/>
      </c>
      <c r="X1347" s="103"/>
      <c r="Y1347" s="177" t="str">
        <f t="shared" si="242"/>
        <v/>
      </c>
      <c r="Z1347" s="106"/>
    </row>
    <row r="1348" spans="1:26" s="55" customFormat="1" ht="21" customHeight="1" x14ac:dyDescent="0.25">
      <c r="A1348" s="56"/>
      <c r="B1348" s="284"/>
      <c r="C1348" s="284"/>
      <c r="D1348" s="284"/>
      <c r="E1348" s="284"/>
      <c r="F1348" s="284"/>
      <c r="G1348" s="284"/>
      <c r="H1348" s="284"/>
      <c r="I1348" s="284"/>
      <c r="J1348" s="284"/>
      <c r="K1348" s="284"/>
      <c r="L1348" s="73"/>
      <c r="M1348" s="57"/>
      <c r="N1348" s="100"/>
      <c r="O1348" s="101" t="s">
        <v>74</v>
      </c>
      <c r="P1348" s="101"/>
      <c r="Q1348" s="101"/>
      <c r="R1348" s="101">
        <v>0</v>
      </c>
      <c r="S1348" s="105"/>
      <c r="T1348" s="101" t="s">
        <v>74</v>
      </c>
      <c r="U1348" s="177" t="str">
        <f>IF($J$1="Dec",Y1347,"")</f>
        <v/>
      </c>
      <c r="V1348" s="103"/>
      <c r="W1348" s="177" t="str">
        <f t="shared" si="241"/>
        <v/>
      </c>
      <c r="X1348" s="103"/>
      <c r="Y1348" s="177" t="str">
        <f t="shared" si="242"/>
        <v/>
      </c>
      <c r="Z1348" s="106"/>
    </row>
    <row r="1349" spans="1:26" s="55" customFormat="1" ht="21" customHeight="1" thickBot="1" x14ac:dyDescent="0.3">
      <c r="A1349" s="86"/>
      <c r="B1349" s="87"/>
      <c r="C1349" s="87"/>
      <c r="D1349" s="87"/>
      <c r="E1349" s="87"/>
      <c r="F1349" s="87"/>
      <c r="G1349" s="87"/>
      <c r="H1349" s="87"/>
      <c r="I1349" s="87"/>
      <c r="J1349" s="87"/>
      <c r="K1349" s="87"/>
      <c r="L1349" s="88"/>
      <c r="N1349" s="107"/>
      <c r="O1349" s="108"/>
      <c r="P1349" s="108"/>
      <c r="Q1349" s="108"/>
      <c r="R1349" s="108"/>
      <c r="S1349" s="108"/>
      <c r="T1349" s="108"/>
      <c r="U1349" s="108"/>
      <c r="V1349" s="108"/>
      <c r="W1349" s="108"/>
      <c r="X1349" s="108"/>
      <c r="Y1349" s="108"/>
      <c r="Z1349" s="109"/>
    </row>
    <row r="1350" spans="1:26" ht="15" thickBot="1" x14ac:dyDescent="0.35"/>
    <row r="1351" spans="1:26" s="55" customFormat="1" ht="21" customHeight="1" x14ac:dyDescent="0.25">
      <c r="A1351" s="297" t="s">
        <v>56</v>
      </c>
      <c r="B1351" s="298"/>
      <c r="C1351" s="298"/>
      <c r="D1351" s="298"/>
      <c r="E1351" s="298"/>
      <c r="F1351" s="298"/>
      <c r="G1351" s="298"/>
      <c r="H1351" s="298"/>
      <c r="I1351" s="298"/>
      <c r="J1351" s="298"/>
      <c r="K1351" s="298"/>
      <c r="L1351" s="299"/>
      <c r="M1351" s="200"/>
      <c r="N1351" s="93"/>
      <c r="O1351" s="285" t="s">
        <v>58</v>
      </c>
      <c r="P1351" s="286"/>
      <c r="Q1351" s="286"/>
      <c r="R1351" s="287"/>
      <c r="S1351" s="94"/>
      <c r="T1351" s="285" t="s">
        <v>59</v>
      </c>
      <c r="U1351" s="286"/>
      <c r="V1351" s="286"/>
      <c r="W1351" s="286"/>
      <c r="X1351" s="286"/>
      <c r="Y1351" s="287"/>
      <c r="Z1351" s="95"/>
    </row>
    <row r="1352" spans="1:26" s="55" customFormat="1" ht="21" customHeight="1" x14ac:dyDescent="0.25">
      <c r="A1352" s="56"/>
      <c r="B1352" s="57"/>
      <c r="C1352" s="288" t="s">
        <v>114</v>
      </c>
      <c r="D1352" s="288"/>
      <c r="E1352" s="288"/>
      <c r="F1352" s="288"/>
      <c r="G1352" s="58" t="str">
        <f>$J$1</f>
        <v>June</v>
      </c>
      <c r="H1352" s="289">
        <f>$K$1</f>
        <v>2019</v>
      </c>
      <c r="I1352" s="289"/>
      <c r="J1352" s="57"/>
      <c r="K1352" s="59"/>
      <c r="L1352" s="60"/>
      <c r="M1352" s="59"/>
      <c r="N1352" s="96"/>
      <c r="O1352" s="97" t="s">
        <v>69</v>
      </c>
      <c r="P1352" s="97" t="s">
        <v>7</v>
      </c>
      <c r="Q1352" s="97" t="s">
        <v>6</v>
      </c>
      <c r="R1352" s="97" t="s">
        <v>70</v>
      </c>
      <c r="S1352" s="98"/>
      <c r="T1352" s="97" t="s">
        <v>69</v>
      </c>
      <c r="U1352" s="97" t="s">
        <v>71</v>
      </c>
      <c r="V1352" s="97" t="s">
        <v>29</v>
      </c>
      <c r="W1352" s="97" t="s">
        <v>28</v>
      </c>
      <c r="X1352" s="97" t="s">
        <v>30</v>
      </c>
      <c r="Y1352" s="97" t="s">
        <v>75</v>
      </c>
      <c r="Z1352" s="99"/>
    </row>
    <row r="1353" spans="1:26" s="55" customFormat="1" ht="21" customHeight="1" x14ac:dyDescent="0.25">
      <c r="A1353" s="56"/>
      <c r="B1353" s="57"/>
      <c r="C1353" s="57"/>
      <c r="D1353" s="62"/>
      <c r="E1353" s="62"/>
      <c r="F1353" s="62"/>
      <c r="G1353" s="62"/>
      <c r="H1353" s="62"/>
      <c r="I1353" s="57"/>
      <c r="J1353" s="63" t="s">
        <v>1</v>
      </c>
      <c r="K1353" s="64">
        <v>25000</v>
      </c>
      <c r="L1353" s="65"/>
      <c r="M1353" s="57"/>
      <c r="N1353" s="100"/>
      <c r="O1353" s="101" t="s">
        <v>61</v>
      </c>
      <c r="P1353" s="101">
        <v>29</v>
      </c>
      <c r="Q1353" s="101">
        <v>2</v>
      </c>
      <c r="R1353" s="101">
        <v>0</v>
      </c>
      <c r="S1353" s="102"/>
      <c r="T1353" s="101" t="s">
        <v>61</v>
      </c>
      <c r="U1353" s="103"/>
      <c r="V1353" s="103"/>
      <c r="W1353" s="103">
        <f>V1353+U1353</f>
        <v>0</v>
      </c>
      <c r="X1353" s="103"/>
      <c r="Y1353" s="103">
        <f>W1353-X1353</f>
        <v>0</v>
      </c>
      <c r="Z1353" s="99"/>
    </row>
    <row r="1354" spans="1:26" s="55" customFormat="1" ht="21" customHeight="1" x14ac:dyDescent="0.25">
      <c r="A1354" s="56"/>
      <c r="B1354" s="57" t="s">
        <v>0</v>
      </c>
      <c r="C1354" s="112" t="s">
        <v>147</v>
      </c>
      <c r="D1354" s="57"/>
      <c r="E1354" s="57"/>
      <c r="F1354" s="57"/>
      <c r="G1354" s="57"/>
      <c r="H1354" s="68"/>
      <c r="I1354" s="62"/>
      <c r="J1354" s="57"/>
      <c r="K1354" s="57"/>
      <c r="L1354" s="69"/>
      <c r="M1354" s="200"/>
      <c r="N1354" s="104"/>
      <c r="O1354" s="101" t="s">
        <v>87</v>
      </c>
      <c r="P1354" s="101">
        <v>28</v>
      </c>
      <c r="Q1354" s="101">
        <v>0</v>
      </c>
      <c r="R1354" s="101">
        <v>0</v>
      </c>
      <c r="S1354" s="105"/>
      <c r="T1354" s="101" t="s">
        <v>87</v>
      </c>
      <c r="U1354" s="177">
        <f>Y1353</f>
        <v>0</v>
      </c>
      <c r="V1354" s="103"/>
      <c r="W1354" s="177">
        <f>IF(U1354="","",U1354+V1354)</f>
        <v>0</v>
      </c>
      <c r="X1354" s="103"/>
      <c r="Y1354" s="177">
        <f>IF(W1354="","",W1354-X1354)</f>
        <v>0</v>
      </c>
      <c r="Z1354" s="106"/>
    </row>
    <row r="1355" spans="1:26" s="55" customFormat="1" ht="21" customHeight="1" x14ac:dyDescent="0.25">
      <c r="A1355" s="56"/>
      <c r="B1355" s="71" t="s">
        <v>57</v>
      </c>
      <c r="C1355" s="112"/>
      <c r="D1355" s="57"/>
      <c r="E1355" s="57"/>
      <c r="F1355" s="290" t="s">
        <v>59</v>
      </c>
      <c r="G1355" s="290"/>
      <c r="H1355" s="57"/>
      <c r="I1355" s="290" t="s">
        <v>60</v>
      </c>
      <c r="J1355" s="290"/>
      <c r="K1355" s="290"/>
      <c r="L1355" s="73"/>
      <c r="M1355" s="57"/>
      <c r="N1355" s="100"/>
      <c r="O1355" s="101" t="s">
        <v>62</v>
      </c>
      <c r="P1355" s="101">
        <v>31</v>
      </c>
      <c r="Q1355" s="101">
        <v>0</v>
      </c>
      <c r="R1355" s="101">
        <f>IF(Q1355="","",R1354-Q1355)</f>
        <v>0</v>
      </c>
      <c r="S1355" s="105"/>
      <c r="T1355" s="101" t="s">
        <v>62</v>
      </c>
      <c r="U1355" s="177">
        <f>IF($J$1="April",Y1354,Y1354)</f>
        <v>0</v>
      </c>
      <c r="V1355" s="103"/>
      <c r="W1355" s="177">
        <f t="shared" ref="W1355:W1363" si="243">IF(U1355="","",U1355+V1355)</f>
        <v>0</v>
      </c>
      <c r="X1355" s="103"/>
      <c r="Y1355" s="177">
        <f t="shared" ref="Y1355:Y1363" si="244">IF(W1355="","",W1355-X1355)</f>
        <v>0</v>
      </c>
      <c r="Z1355" s="106"/>
    </row>
    <row r="1356" spans="1:26" s="55" customFormat="1" ht="21" customHeight="1" x14ac:dyDescent="0.25">
      <c r="A1356" s="56"/>
      <c r="B1356" s="57"/>
      <c r="C1356" s="57"/>
      <c r="D1356" s="57"/>
      <c r="E1356" s="57"/>
      <c r="F1356" s="57"/>
      <c r="G1356" s="57"/>
      <c r="H1356" s="74"/>
      <c r="L1356" s="61"/>
      <c r="M1356" s="57"/>
      <c r="N1356" s="100"/>
      <c r="O1356" s="101" t="s">
        <v>63</v>
      </c>
      <c r="P1356" s="101">
        <v>30</v>
      </c>
      <c r="Q1356" s="101">
        <v>0</v>
      </c>
      <c r="R1356" s="101">
        <f>IF(Q1356="","",R1355-Q1356)</f>
        <v>0</v>
      </c>
      <c r="S1356" s="105"/>
      <c r="T1356" s="101" t="s">
        <v>63</v>
      </c>
      <c r="U1356" s="177">
        <f>IF($J$1="April",Y1355,Y1355)</f>
        <v>0</v>
      </c>
      <c r="V1356" s="103"/>
      <c r="W1356" s="177">
        <f t="shared" si="243"/>
        <v>0</v>
      </c>
      <c r="X1356" s="103"/>
      <c r="Y1356" s="177">
        <f t="shared" si="244"/>
        <v>0</v>
      </c>
      <c r="Z1356" s="106"/>
    </row>
    <row r="1357" spans="1:26" s="55" customFormat="1" ht="21" customHeight="1" x14ac:dyDescent="0.25">
      <c r="A1357" s="56"/>
      <c r="B1357" s="291" t="s">
        <v>58</v>
      </c>
      <c r="C1357" s="292"/>
      <c r="D1357" s="57"/>
      <c r="E1357" s="57"/>
      <c r="F1357" s="75" t="s">
        <v>80</v>
      </c>
      <c r="G1357" s="70">
        <f>IF($J$1="January",U1353,IF($J$1="February",U1354,IF($J$1="March",U1355,IF($J$1="April",U1356,IF($J$1="May",U1357,IF($J$1="June",U1358,IF($J$1="July",U1359,IF($J$1="August",U1360,IF($J$1="August",U1360,IF($J$1="September",U1361,IF($J$1="October",U1362,IF($J$1="November",U1363,IF($J$1="December",U1364)))))))))))))</f>
        <v>0</v>
      </c>
      <c r="H1357" s="74"/>
      <c r="I1357" s="76">
        <f>IF(C1361&gt;0,$K$2,C1359)</f>
        <v>30</v>
      </c>
      <c r="J1357" s="77" t="s">
        <v>77</v>
      </c>
      <c r="K1357" s="78">
        <f>K1353/$K$2*I1357</f>
        <v>25000</v>
      </c>
      <c r="L1357" s="79"/>
      <c r="M1357" s="57"/>
      <c r="N1357" s="100"/>
      <c r="O1357" s="101" t="s">
        <v>64</v>
      </c>
      <c r="P1357" s="101">
        <v>31</v>
      </c>
      <c r="Q1357" s="101">
        <v>0</v>
      </c>
      <c r="R1357" s="101">
        <v>0</v>
      </c>
      <c r="S1357" s="105"/>
      <c r="T1357" s="101" t="s">
        <v>64</v>
      </c>
      <c r="U1357" s="177">
        <f>IF($J$1="May",Y1356,Y1356)</f>
        <v>0</v>
      </c>
      <c r="V1357" s="103"/>
      <c r="W1357" s="177">
        <f t="shared" si="243"/>
        <v>0</v>
      </c>
      <c r="X1357" s="103"/>
      <c r="Y1357" s="177">
        <f t="shared" si="244"/>
        <v>0</v>
      </c>
      <c r="Z1357" s="106"/>
    </row>
    <row r="1358" spans="1:26" s="55" customFormat="1" ht="21" customHeight="1" x14ac:dyDescent="0.25">
      <c r="A1358" s="56"/>
      <c r="B1358" s="66"/>
      <c r="C1358" s="66"/>
      <c r="D1358" s="57"/>
      <c r="E1358" s="57"/>
      <c r="F1358" s="75" t="s">
        <v>29</v>
      </c>
      <c r="G1358" s="70">
        <f>IF($J$1="January",V1353,IF($J$1="February",V1354,IF($J$1="March",V1355,IF($J$1="April",V1356,IF($J$1="May",V1357,IF($J$1="June",V1358,IF($J$1="July",V1359,IF($J$1="August",V1360,IF($J$1="August",V1360,IF($J$1="September",V1361,IF($J$1="October",V1362,IF($J$1="November",V1363,IF($J$1="December",V1364)))))))))))))</f>
        <v>150</v>
      </c>
      <c r="H1358" s="74"/>
      <c r="I1358" s="120">
        <v>134</v>
      </c>
      <c r="J1358" s="77" t="s">
        <v>78</v>
      </c>
      <c r="K1358" s="80">
        <f>K1353/$K$2/8*I1358</f>
        <v>13958.333333333334</v>
      </c>
      <c r="L1358" s="81"/>
      <c r="M1358" s="57"/>
      <c r="N1358" s="100"/>
      <c r="O1358" s="101" t="s">
        <v>65</v>
      </c>
      <c r="P1358" s="101">
        <v>30</v>
      </c>
      <c r="Q1358" s="101">
        <v>0</v>
      </c>
      <c r="R1358" s="101">
        <v>0</v>
      </c>
      <c r="S1358" s="105"/>
      <c r="T1358" s="101" t="s">
        <v>65</v>
      </c>
      <c r="U1358" s="177">
        <f>IF($J$1="May",Y1357,Y1357)</f>
        <v>0</v>
      </c>
      <c r="V1358" s="103">
        <v>150</v>
      </c>
      <c r="W1358" s="177">
        <f t="shared" si="243"/>
        <v>150</v>
      </c>
      <c r="X1358" s="103">
        <v>150</v>
      </c>
      <c r="Y1358" s="177">
        <f t="shared" si="244"/>
        <v>0</v>
      </c>
      <c r="Z1358" s="106"/>
    </row>
    <row r="1359" spans="1:26" s="55" customFormat="1" ht="21" customHeight="1" x14ac:dyDescent="0.25">
      <c r="A1359" s="56"/>
      <c r="B1359" s="75" t="s">
        <v>7</v>
      </c>
      <c r="C1359" s="66">
        <f>IF($J$1="January",P1353,IF($J$1="February",P1354,IF($J$1="March",P1355,IF($J$1="April",P1356,IF($J$1="May",P1357,IF($J$1="June",P1358,IF($J$1="July",P1359,IF($J$1="August",P1360,IF($J$1="August",P1360,IF($J$1="September",P1361,IF($J$1="October",P1362,IF($J$1="November",P1363,IF($J$1="December",P1364)))))))))))))</f>
        <v>30</v>
      </c>
      <c r="D1359" s="57"/>
      <c r="E1359" s="57"/>
      <c r="F1359" s="75" t="s">
        <v>81</v>
      </c>
      <c r="G1359" s="70">
        <f>IF($J$1="January",W1353,IF($J$1="February",W1354,IF($J$1="March",W1355,IF($J$1="April",W1356,IF($J$1="May",W1357,IF($J$1="June",W1358,IF($J$1="July",W1359,IF($J$1="August",W1360,IF($J$1="August",W1360,IF($J$1="September",W1361,IF($J$1="October",W1362,IF($J$1="November",W1363,IF($J$1="December",W1364)))))))))))))</f>
        <v>150</v>
      </c>
      <c r="H1359" s="74"/>
      <c r="I1359" s="293" t="s">
        <v>85</v>
      </c>
      <c r="J1359" s="294"/>
      <c r="K1359" s="80">
        <f>K1357+K1358</f>
        <v>38958.333333333336</v>
      </c>
      <c r="L1359" s="81"/>
      <c r="M1359" s="57"/>
      <c r="N1359" s="100"/>
      <c r="O1359" s="101" t="s">
        <v>66</v>
      </c>
      <c r="P1359" s="101"/>
      <c r="Q1359" s="101"/>
      <c r="R1359" s="101">
        <v>0</v>
      </c>
      <c r="S1359" s="105"/>
      <c r="T1359" s="101" t="s">
        <v>66</v>
      </c>
      <c r="U1359" s="177">
        <f>IF($J$1="May",Y1358,Y1358)</f>
        <v>0</v>
      </c>
      <c r="V1359" s="103"/>
      <c r="W1359" s="177">
        <f t="shared" si="243"/>
        <v>0</v>
      </c>
      <c r="X1359" s="103"/>
      <c r="Y1359" s="177">
        <f t="shared" si="244"/>
        <v>0</v>
      </c>
      <c r="Z1359" s="106"/>
    </row>
    <row r="1360" spans="1:26" s="55" customFormat="1" ht="21" customHeight="1" x14ac:dyDescent="0.25">
      <c r="A1360" s="56"/>
      <c r="B1360" s="75" t="s">
        <v>6</v>
      </c>
      <c r="C1360" s="66">
        <f>IF($J$1="January",Q1353,IF($J$1="February",Q1354,IF($J$1="March",Q1355,IF($J$1="April",Q1356,IF($J$1="May",Q1357,IF($J$1="June",Q1358,IF($J$1="July",Q1359,IF($J$1="August",Q1360,IF($J$1="August",Q1360,IF($J$1="September",Q1361,IF($J$1="October",Q1362,IF($J$1="November",Q1363,IF($J$1="December",Q1364)))))))))))))</f>
        <v>0</v>
      </c>
      <c r="D1360" s="57"/>
      <c r="E1360" s="57"/>
      <c r="F1360" s="75" t="s">
        <v>30</v>
      </c>
      <c r="G1360" s="70">
        <f>IF($J$1="January",X1353,IF($J$1="February",X1354,IF($J$1="March",X1355,IF($J$1="April",X1356,IF($J$1="May",X1357,IF($J$1="June",X1358,IF($J$1="July",X1359,IF($J$1="August",X1360,IF($J$1="August",X1360,IF($J$1="September",X1361,IF($J$1="October",X1362,IF($J$1="November",X1363,IF($J$1="December",X1364)))))))))))))</f>
        <v>150</v>
      </c>
      <c r="H1360" s="74"/>
      <c r="I1360" s="293" t="s">
        <v>86</v>
      </c>
      <c r="J1360" s="294"/>
      <c r="K1360" s="70">
        <f>G1360</f>
        <v>150</v>
      </c>
      <c r="L1360" s="82"/>
      <c r="M1360" s="57"/>
      <c r="N1360" s="100"/>
      <c r="O1360" s="101" t="s">
        <v>67</v>
      </c>
      <c r="P1360" s="101"/>
      <c r="Q1360" s="101"/>
      <c r="R1360" s="101">
        <v>0</v>
      </c>
      <c r="S1360" s="105"/>
      <c r="T1360" s="101" t="s">
        <v>67</v>
      </c>
      <c r="U1360" s="177">
        <f>IF($J$1="May",Y1359,Y1359)</f>
        <v>0</v>
      </c>
      <c r="V1360" s="103"/>
      <c r="W1360" s="177">
        <f t="shared" si="243"/>
        <v>0</v>
      </c>
      <c r="X1360" s="103"/>
      <c r="Y1360" s="177">
        <f t="shared" si="244"/>
        <v>0</v>
      </c>
      <c r="Z1360" s="106"/>
    </row>
    <row r="1361" spans="1:26" s="55" customFormat="1" ht="21" customHeight="1" x14ac:dyDescent="0.25">
      <c r="A1361" s="56"/>
      <c r="B1361" s="83" t="s">
        <v>84</v>
      </c>
      <c r="C1361" s="66">
        <f>IF($J$1="January",R1353,IF($J$1="February",R1354,IF($J$1="March",R1355,IF($J$1="April",R1356,IF($J$1="May",R1357,IF($J$1="June",R1358,IF($J$1="July",R1359,IF($J$1="August",R1360,IF($J$1="August",R1360,IF($J$1="September",R1361,IF($J$1="October",R1362,IF($J$1="November",R1363,IF($J$1="December",R1364)))))))))))))</f>
        <v>0</v>
      </c>
      <c r="D1361" s="57"/>
      <c r="E1361" s="57"/>
      <c r="F1361" s="75" t="s">
        <v>83</v>
      </c>
      <c r="G1361" s="70">
        <f>IF($J$1="January",Y1353,IF($J$1="February",Y1354,IF($J$1="March",Y1355,IF($J$1="April",Y1356,IF($J$1="May",Y1357,IF($J$1="June",Y1358,IF($J$1="July",Y1359,IF($J$1="August",Y1360,IF($J$1="August",Y1360,IF($J$1="September",Y1361,IF($J$1="October",Y1362,IF($J$1="November",Y1363,IF($J$1="December",Y1364)))))))))))))</f>
        <v>0</v>
      </c>
      <c r="H1361" s="57"/>
      <c r="I1361" s="295" t="s">
        <v>79</v>
      </c>
      <c r="J1361" s="296"/>
      <c r="K1361" s="84">
        <f>K1359-K1360</f>
        <v>38808.333333333336</v>
      </c>
      <c r="L1361" s="85"/>
      <c r="M1361" s="57"/>
      <c r="N1361" s="100"/>
      <c r="O1361" s="101" t="s">
        <v>72</v>
      </c>
      <c r="P1361" s="101"/>
      <c r="Q1361" s="101"/>
      <c r="R1361" s="101" t="str">
        <f>IF(Q1361="","",R1360-Q1361)</f>
        <v/>
      </c>
      <c r="S1361" s="105"/>
      <c r="T1361" s="101" t="s">
        <v>72</v>
      </c>
      <c r="U1361" s="177">
        <f>IF($J$1="May",Y1360,Y1360)</f>
        <v>0</v>
      </c>
      <c r="V1361" s="103"/>
      <c r="W1361" s="177">
        <f t="shared" si="243"/>
        <v>0</v>
      </c>
      <c r="X1361" s="103"/>
      <c r="Y1361" s="177">
        <f t="shared" si="244"/>
        <v>0</v>
      </c>
      <c r="Z1361" s="106"/>
    </row>
    <row r="1362" spans="1:26" s="55" customFormat="1" ht="21" customHeight="1" x14ac:dyDescent="0.25">
      <c r="A1362" s="56"/>
      <c r="B1362" s="57"/>
      <c r="C1362" s="57"/>
      <c r="D1362" s="57"/>
      <c r="E1362" s="57"/>
      <c r="F1362" s="57"/>
      <c r="G1362" s="57"/>
      <c r="H1362" s="57"/>
      <c r="I1362" s="57"/>
      <c r="J1362" s="57"/>
      <c r="K1362" s="194"/>
      <c r="L1362" s="73"/>
      <c r="M1362" s="57"/>
      <c r="N1362" s="100"/>
      <c r="O1362" s="101" t="s">
        <v>68</v>
      </c>
      <c r="P1362" s="101"/>
      <c r="Q1362" s="101"/>
      <c r="R1362" s="101">
        <v>0</v>
      </c>
      <c r="S1362" s="105"/>
      <c r="T1362" s="101" t="s">
        <v>68</v>
      </c>
      <c r="U1362" s="177">
        <f t="shared" ref="U1362:U1363" si="245">Y1361</f>
        <v>0</v>
      </c>
      <c r="V1362" s="103"/>
      <c r="W1362" s="177">
        <f t="shared" si="243"/>
        <v>0</v>
      </c>
      <c r="X1362" s="103"/>
      <c r="Y1362" s="177">
        <f t="shared" si="244"/>
        <v>0</v>
      </c>
      <c r="Z1362" s="106"/>
    </row>
    <row r="1363" spans="1:26" s="55" customFormat="1" ht="21" customHeight="1" x14ac:dyDescent="0.25">
      <c r="A1363" s="56"/>
      <c r="B1363" s="284" t="s">
        <v>116</v>
      </c>
      <c r="C1363" s="284"/>
      <c r="D1363" s="284"/>
      <c r="E1363" s="284"/>
      <c r="F1363" s="284"/>
      <c r="G1363" s="284"/>
      <c r="H1363" s="284"/>
      <c r="I1363" s="284"/>
      <c r="J1363" s="284"/>
      <c r="K1363" s="284"/>
      <c r="L1363" s="73"/>
      <c r="M1363" s="57"/>
      <c r="N1363" s="100"/>
      <c r="O1363" s="101" t="s">
        <v>73</v>
      </c>
      <c r="P1363" s="101"/>
      <c r="Q1363" s="101"/>
      <c r="R1363" s="101" t="str">
        <f>IF(Q1363="","",R1362-Q1363)</f>
        <v/>
      </c>
      <c r="S1363" s="105"/>
      <c r="T1363" s="101" t="s">
        <v>73</v>
      </c>
      <c r="U1363" s="177">
        <f t="shared" si="245"/>
        <v>0</v>
      </c>
      <c r="V1363" s="103"/>
      <c r="W1363" s="177">
        <f t="shared" si="243"/>
        <v>0</v>
      </c>
      <c r="X1363" s="103"/>
      <c r="Y1363" s="177">
        <f t="shared" si="244"/>
        <v>0</v>
      </c>
      <c r="Z1363" s="106"/>
    </row>
    <row r="1364" spans="1:26" s="55" customFormat="1" ht="21" customHeight="1" x14ac:dyDescent="0.25">
      <c r="A1364" s="56"/>
      <c r="B1364" s="284"/>
      <c r="C1364" s="284"/>
      <c r="D1364" s="284"/>
      <c r="E1364" s="284"/>
      <c r="F1364" s="284"/>
      <c r="G1364" s="284"/>
      <c r="H1364" s="284"/>
      <c r="I1364" s="284"/>
      <c r="J1364" s="284"/>
      <c r="K1364" s="284"/>
      <c r="L1364" s="73"/>
      <c r="M1364" s="57"/>
      <c r="N1364" s="100"/>
      <c r="O1364" s="101" t="s">
        <v>74</v>
      </c>
      <c r="P1364" s="101"/>
      <c r="Q1364" s="101"/>
      <c r="R1364" s="101" t="str">
        <f>IF(Q1364="","",R1363-Q1364)</f>
        <v/>
      </c>
      <c r="S1364" s="105"/>
      <c r="T1364" s="101" t="s">
        <v>74</v>
      </c>
      <c r="U1364" s="177">
        <f t="shared" ref="U1364" si="246">Y1363</f>
        <v>0</v>
      </c>
      <c r="V1364" s="103"/>
      <c r="W1364" s="177">
        <f t="shared" ref="W1364" si="247">IF(U1364="","",U1364+V1364)</f>
        <v>0</v>
      </c>
      <c r="X1364" s="103"/>
      <c r="Y1364" s="177">
        <f t="shared" ref="Y1364" si="248">IF(W1364="","",W1364-X1364)</f>
        <v>0</v>
      </c>
      <c r="Z1364" s="106"/>
    </row>
    <row r="1365" spans="1:26" s="55" customFormat="1" ht="21" customHeight="1" thickBot="1" x14ac:dyDescent="0.3">
      <c r="A1365" s="86"/>
      <c r="B1365" s="87"/>
      <c r="C1365" s="87"/>
      <c r="D1365" s="87"/>
      <c r="E1365" s="87"/>
      <c r="F1365" s="87"/>
      <c r="G1365" s="87"/>
      <c r="H1365" s="87"/>
      <c r="I1365" s="87"/>
      <c r="J1365" s="87"/>
      <c r="K1365" s="87"/>
      <c r="L1365" s="88"/>
      <c r="N1365" s="107"/>
      <c r="O1365" s="108"/>
      <c r="P1365" s="108"/>
      <c r="Q1365" s="108"/>
      <c r="R1365" s="108"/>
      <c r="S1365" s="108"/>
      <c r="T1365" s="108"/>
      <c r="U1365" s="108"/>
      <c r="V1365" s="108"/>
      <c r="W1365" s="108"/>
      <c r="X1365" s="108"/>
      <c r="Y1365" s="108"/>
      <c r="Z1365" s="109"/>
    </row>
    <row r="1366" spans="1:26" ht="15" thickBot="1" x14ac:dyDescent="0.35"/>
    <row r="1367" spans="1:26" s="55" customFormat="1" ht="21" customHeight="1" x14ac:dyDescent="0.25">
      <c r="A1367" s="297" t="s">
        <v>56</v>
      </c>
      <c r="B1367" s="298"/>
      <c r="C1367" s="298"/>
      <c r="D1367" s="298"/>
      <c r="E1367" s="298"/>
      <c r="F1367" s="298"/>
      <c r="G1367" s="298"/>
      <c r="H1367" s="298"/>
      <c r="I1367" s="298"/>
      <c r="J1367" s="298"/>
      <c r="K1367" s="298"/>
      <c r="L1367" s="299"/>
      <c r="M1367" s="200"/>
      <c r="N1367" s="93"/>
      <c r="O1367" s="285" t="s">
        <v>58</v>
      </c>
      <c r="P1367" s="286"/>
      <c r="Q1367" s="286"/>
      <c r="R1367" s="287"/>
      <c r="S1367" s="94"/>
      <c r="T1367" s="285" t="s">
        <v>59</v>
      </c>
      <c r="U1367" s="286"/>
      <c r="V1367" s="286"/>
      <c r="W1367" s="286"/>
      <c r="X1367" s="286"/>
      <c r="Y1367" s="287"/>
      <c r="Z1367" s="95"/>
    </row>
    <row r="1368" spans="1:26" s="55" customFormat="1" ht="21" customHeight="1" x14ac:dyDescent="0.25">
      <c r="A1368" s="56"/>
      <c r="B1368" s="57"/>
      <c r="C1368" s="288" t="s">
        <v>114</v>
      </c>
      <c r="D1368" s="288"/>
      <c r="E1368" s="288"/>
      <c r="F1368" s="288"/>
      <c r="G1368" s="58" t="str">
        <f>$J$1</f>
        <v>June</v>
      </c>
      <c r="H1368" s="289">
        <f>$K$1</f>
        <v>2019</v>
      </c>
      <c r="I1368" s="289"/>
      <c r="J1368" s="57"/>
      <c r="K1368" s="59"/>
      <c r="L1368" s="60"/>
      <c r="M1368" s="59"/>
      <c r="N1368" s="96"/>
      <c r="O1368" s="97" t="s">
        <v>69</v>
      </c>
      <c r="P1368" s="97" t="s">
        <v>7</v>
      </c>
      <c r="Q1368" s="97" t="s">
        <v>6</v>
      </c>
      <c r="R1368" s="97" t="s">
        <v>70</v>
      </c>
      <c r="S1368" s="98"/>
      <c r="T1368" s="97" t="s">
        <v>69</v>
      </c>
      <c r="U1368" s="97" t="s">
        <v>71</v>
      </c>
      <c r="V1368" s="97" t="s">
        <v>29</v>
      </c>
      <c r="W1368" s="97" t="s">
        <v>28</v>
      </c>
      <c r="X1368" s="97" t="s">
        <v>30</v>
      </c>
      <c r="Y1368" s="97" t="s">
        <v>75</v>
      </c>
      <c r="Z1368" s="99"/>
    </row>
    <row r="1369" spans="1:26" s="55" customFormat="1" ht="21" customHeight="1" x14ac:dyDescent="0.25">
      <c r="A1369" s="56"/>
      <c r="B1369" s="57"/>
      <c r="C1369" s="57"/>
      <c r="D1369" s="62"/>
      <c r="E1369" s="62"/>
      <c r="F1369" s="62"/>
      <c r="G1369" s="62"/>
      <c r="H1369" s="62"/>
      <c r="I1369" s="57"/>
      <c r="J1369" s="63" t="s">
        <v>1</v>
      </c>
      <c r="K1369" s="64">
        <v>15000</v>
      </c>
      <c r="L1369" s="65"/>
      <c r="M1369" s="57"/>
      <c r="N1369" s="100"/>
      <c r="O1369" s="101" t="s">
        <v>61</v>
      </c>
      <c r="P1369" s="101"/>
      <c r="Q1369" s="101"/>
      <c r="R1369" s="101">
        <v>0</v>
      </c>
      <c r="S1369" s="102"/>
      <c r="T1369" s="101" t="s">
        <v>61</v>
      </c>
      <c r="U1369" s="103"/>
      <c r="V1369" s="103"/>
      <c r="W1369" s="103">
        <f>V1369+U1369</f>
        <v>0</v>
      </c>
      <c r="X1369" s="103"/>
      <c r="Y1369" s="103">
        <f>W1369-X1369</f>
        <v>0</v>
      </c>
      <c r="Z1369" s="99"/>
    </row>
    <row r="1370" spans="1:26" s="55" customFormat="1" ht="21" customHeight="1" x14ac:dyDescent="0.25">
      <c r="A1370" s="56"/>
      <c r="B1370" s="57" t="s">
        <v>0</v>
      </c>
      <c r="C1370" s="112" t="s">
        <v>176</v>
      </c>
      <c r="D1370" s="57"/>
      <c r="E1370" s="57"/>
      <c r="F1370" s="57"/>
      <c r="G1370" s="57"/>
      <c r="H1370" s="68"/>
      <c r="I1370" s="62"/>
      <c r="J1370" s="57"/>
      <c r="K1370" s="57"/>
      <c r="L1370" s="69"/>
      <c r="M1370" s="200"/>
      <c r="N1370" s="104"/>
      <c r="O1370" s="101" t="s">
        <v>87</v>
      </c>
      <c r="P1370" s="101"/>
      <c r="Q1370" s="101"/>
      <c r="R1370" s="101">
        <v>0</v>
      </c>
      <c r="S1370" s="105"/>
      <c r="T1370" s="101" t="s">
        <v>87</v>
      </c>
      <c r="U1370" s="177">
        <f>Y1369</f>
        <v>0</v>
      </c>
      <c r="V1370" s="103"/>
      <c r="W1370" s="177">
        <f>IF(U1370="","",U1370+V1370)</f>
        <v>0</v>
      </c>
      <c r="X1370" s="103"/>
      <c r="Y1370" s="177">
        <f>IF(W1370="","",W1370-X1370)</f>
        <v>0</v>
      </c>
      <c r="Z1370" s="106"/>
    </row>
    <row r="1371" spans="1:26" s="55" customFormat="1" ht="21" customHeight="1" x14ac:dyDescent="0.25">
      <c r="A1371" s="56"/>
      <c r="B1371" s="71" t="s">
        <v>57</v>
      </c>
      <c r="C1371" s="112"/>
      <c r="D1371" s="57"/>
      <c r="E1371" s="57"/>
      <c r="F1371" s="290" t="s">
        <v>59</v>
      </c>
      <c r="G1371" s="290"/>
      <c r="H1371" s="57"/>
      <c r="I1371" s="290" t="s">
        <v>60</v>
      </c>
      <c r="J1371" s="290"/>
      <c r="K1371" s="290"/>
      <c r="L1371" s="73"/>
      <c r="M1371" s="57"/>
      <c r="N1371" s="100"/>
      <c r="O1371" s="101" t="s">
        <v>62</v>
      </c>
      <c r="P1371" s="101">
        <v>24</v>
      </c>
      <c r="Q1371" s="101">
        <v>7</v>
      </c>
      <c r="R1371" s="101">
        <v>0</v>
      </c>
      <c r="S1371" s="105"/>
      <c r="T1371" s="101" t="s">
        <v>62</v>
      </c>
      <c r="U1371" s="177">
        <f>IF($J$1="April",Y1370,Y1370)</f>
        <v>0</v>
      </c>
      <c r="V1371" s="103"/>
      <c r="W1371" s="177">
        <f t="shared" ref="W1371:W1380" si="249">IF(U1371="","",U1371+V1371)</f>
        <v>0</v>
      </c>
      <c r="X1371" s="103"/>
      <c r="Y1371" s="177">
        <f t="shared" ref="Y1371:Y1380" si="250">IF(W1371="","",W1371-X1371)</f>
        <v>0</v>
      </c>
      <c r="Z1371" s="106"/>
    </row>
    <row r="1372" spans="1:26" s="55" customFormat="1" ht="21" customHeight="1" x14ac:dyDescent="0.25">
      <c r="A1372" s="56"/>
      <c r="B1372" s="57"/>
      <c r="C1372" s="57"/>
      <c r="D1372" s="57"/>
      <c r="E1372" s="57"/>
      <c r="F1372" s="57"/>
      <c r="G1372" s="57"/>
      <c r="H1372" s="74"/>
      <c r="L1372" s="61"/>
      <c r="M1372" s="57"/>
      <c r="N1372" s="100"/>
      <c r="O1372" s="101" t="s">
        <v>63</v>
      </c>
      <c r="P1372" s="101">
        <v>27</v>
      </c>
      <c r="Q1372" s="101">
        <v>3</v>
      </c>
      <c r="R1372" s="101">
        <v>0</v>
      </c>
      <c r="S1372" s="105"/>
      <c r="T1372" s="101" t="s">
        <v>63</v>
      </c>
      <c r="U1372" s="177">
        <f>IF($J$1="April",Y1371,Y1371)</f>
        <v>0</v>
      </c>
      <c r="V1372" s="103">
        <v>1000</v>
      </c>
      <c r="W1372" s="177">
        <f t="shared" si="249"/>
        <v>1000</v>
      </c>
      <c r="X1372" s="103">
        <v>1000</v>
      </c>
      <c r="Y1372" s="177">
        <f t="shared" si="250"/>
        <v>0</v>
      </c>
      <c r="Z1372" s="106"/>
    </row>
    <row r="1373" spans="1:26" s="55" customFormat="1" ht="21" customHeight="1" x14ac:dyDescent="0.25">
      <c r="A1373" s="56"/>
      <c r="B1373" s="291" t="s">
        <v>58</v>
      </c>
      <c r="C1373" s="292"/>
      <c r="D1373" s="57"/>
      <c r="E1373" s="57"/>
      <c r="F1373" s="75" t="s">
        <v>80</v>
      </c>
      <c r="G1373" s="70">
        <f>IF($J$1="January",U1369,IF($J$1="February",U1370,IF($J$1="March",U1371,IF($J$1="April",U1372,IF($J$1="May",U1373,IF($J$1="June",U1374,IF($J$1="July",U1375,IF($J$1="August",U1376,IF($J$1="August",U1376,IF($J$1="September",U1377,IF($J$1="October",U1378,IF($J$1="November",U1379,IF($J$1="December",U1380)))))))))))))</f>
        <v>0</v>
      </c>
      <c r="H1373" s="74"/>
      <c r="I1373" s="76">
        <f>IF(C1377&gt;0,$K$2,C1375)</f>
        <v>27</v>
      </c>
      <c r="J1373" s="77" t="s">
        <v>77</v>
      </c>
      <c r="K1373" s="78">
        <f>K1369/$K$2*I1373</f>
        <v>13500</v>
      </c>
      <c r="L1373" s="79"/>
      <c r="M1373" s="57"/>
      <c r="N1373" s="100"/>
      <c r="O1373" s="101" t="s">
        <v>64</v>
      </c>
      <c r="P1373" s="101">
        <v>29</v>
      </c>
      <c r="Q1373" s="101">
        <v>2</v>
      </c>
      <c r="R1373" s="101">
        <v>0</v>
      </c>
      <c r="S1373" s="105"/>
      <c r="T1373" s="101" t="s">
        <v>64</v>
      </c>
      <c r="U1373" s="177">
        <f>IF($J$1="May",Y1372,Y1372)</f>
        <v>0</v>
      </c>
      <c r="V1373" s="103"/>
      <c r="W1373" s="177">
        <f t="shared" si="249"/>
        <v>0</v>
      </c>
      <c r="X1373" s="103"/>
      <c r="Y1373" s="177">
        <f t="shared" si="250"/>
        <v>0</v>
      </c>
      <c r="Z1373" s="106"/>
    </row>
    <row r="1374" spans="1:26" s="55" customFormat="1" ht="21" customHeight="1" x14ac:dyDescent="0.25">
      <c r="A1374" s="56"/>
      <c r="B1374" s="66"/>
      <c r="C1374" s="66"/>
      <c r="D1374" s="57"/>
      <c r="E1374" s="57"/>
      <c r="F1374" s="75" t="s">
        <v>29</v>
      </c>
      <c r="G1374" s="70">
        <f>IF($J$1="January",V1369,IF($J$1="February",V1370,IF($J$1="March",V1371,IF($J$1="April",V1372,IF($J$1="May",V1373,IF($J$1="June",V1374,IF($J$1="July",V1375,IF($J$1="August",V1376,IF($J$1="August",V1376,IF($J$1="September",V1377,IF($J$1="October",V1378,IF($J$1="November",V1379,IF($J$1="December",V1380)))))))))))))</f>
        <v>0</v>
      </c>
      <c r="H1374" s="74"/>
      <c r="I1374" s="120">
        <v>3.5</v>
      </c>
      <c r="J1374" s="77" t="s">
        <v>78</v>
      </c>
      <c r="K1374" s="80">
        <f>K1369/$K$2/8*I1374</f>
        <v>218.75</v>
      </c>
      <c r="L1374" s="81"/>
      <c r="M1374" s="57"/>
      <c r="N1374" s="100"/>
      <c r="O1374" s="101" t="s">
        <v>65</v>
      </c>
      <c r="P1374" s="101">
        <v>27</v>
      </c>
      <c r="Q1374" s="101">
        <v>3</v>
      </c>
      <c r="R1374" s="101">
        <v>0</v>
      </c>
      <c r="S1374" s="105"/>
      <c r="T1374" s="101" t="s">
        <v>65</v>
      </c>
      <c r="U1374" s="177">
        <f>IF($J$1="May",Y1373,Y1373)</f>
        <v>0</v>
      </c>
      <c r="V1374" s="103"/>
      <c r="W1374" s="177">
        <f t="shared" si="249"/>
        <v>0</v>
      </c>
      <c r="X1374" s="103"/>
      <c r="Y1374" s="177">
        <f t="shared" si="250"/>
        <v>0</v>
      </c>
      <c r="Z1374" s="106"/>
    </row>
    <row r="1375" spans="1:26" s="55" customFormat="1" ht="21" customHeight="1" x14ac:dyDescent="0.25">
      <c r="A1375" s="56"/>
      <c r="B1375" s="75" t="s">
        <v>7</v>
      </c>
      <c r="C1375" s="66">
        <f>IF($J$1="January",P1369,IF($J$1="February",P1370,IF($J$1="March",P1371,IF($J$1="April",P1372,IF($J$1="May",P1373,IF($J$1="June",P1374,IF($J$1="July",P1375,IF($J$1="August",P1376,IF($J$1="August",P1376,IF($J$1="September",P1377,IF($J$1="October",P1378,IF($J$1="November",P1379,IF($J$1="December",P1380)))))))))))))</f>
        <v>27</v>
      </c>
      <c r="D1375" s="57"/>
      <c r="E1375" s="57"/>
      <c r="F1375" s="75" t="s">
        <v>81</v>
      </c>
      <c r="G1375" s="70">
        <f>IF($J$1="January",W1369,IF($J$1="February",W1370,IF($J$1="March",W1371,IF($J$1="April",W1372,IF($J$1="May",W1373,IF($J$1="June",W1374,IF($J$1="July",W1375,IF($J$1="August",W1376,IF($J$1="August",W1376,IF($J$1="September",W1377,IF($J$1="October",W1378,IF($J$1="November",W1379,IF($J$1="December",W1380)))))))))))))</f>
        <v>0</v>
      </c>
      <c r="H1375" s="74"/>
      <c r="I1375" s="293" t="s">
        <v>85</v>
      </c>
      <c r="J1375" s="294"/>
      <c r="K1375" s="80">
        <f>K1373+K1374</f>
        <v>13718.75</v>
      </c>
      <c r="L1375" s="81"/>
      <c r="M1375" s="57"/>
      <c r="N1375" s="100"/>
      <c r="O1375" s="101" t="s">
        <v>66</v>
      </c>
      <c r="P1375" s="101"/>
      <c r="Q1375" s="101"/>
      <c r="R1375" s="101">
        <v>0</v>
      </c>
      <c r="S1375" s="105"/>
      <c r="T1375" s="101" t="s">
        <v>66</v>
      </c>
      <c r="U1375" s="177">
        <f>IF($J$1="May",Y1374,Y1374)</f>
        <v>0</v>
      </c>
      <c r="V1375" s="103"/>
      <c r="W1375" s="177">
        <f t="shared" si="249"/>
        <v>0</v>
      </c>
      <c r="X1375" s="103"/>
      <c r="Y1375" s="177">
        <f t="shared" si="250"/>
        <v>0</v>
      </c>
      <c r="Z1375" s="106"/>
    </row>
    <row r="1376" spans="1:26" s="55" customFormat="1" ht="21" customHeight="1" x14ac:dyDescent="0.25">
      <c r="A1376" s="56"/>
      <c r="B1376" s="75" t="s">
        <v>6</v>
      </c>
      <c r="C1376" s="66">
        <f>IF($J$1="January",Q1369,IF($J$1="February",Q1370,IF($J$1="March",Q1371,IF($J$1="April",Q1372,IF($J$1="May",Q1373,IF($J$1="June",Q1374,IF($J$1="July",Q1375,IF($J$1="August",Q1376,IF($J$1="August",Q1376,IF($J$1="September",Q1377,IF($J$1="October",Q1378,IF($J$1="November",Q1379,IF($J$1="December",Q1380)))))))))))))</f>
        <v>3</v>
      </c>
      <c r="D1376" s="57"/>
      <c r="E1376" s="57"/>
      <c r="F1376" s="75" t="s">
        <v>30</v>
      </c>
      <c r="G1376" s="70">
        <f>IF($J$1="January",X1369,IF($J$1="February",X1370,IF($J$1="March",X1371,IF($J$1="April",X1372,IF($J$1="May",X1373,IF($J$1="June",X1374,IF($J$1="July",X1375,IF($J$1="August",X1376,IF($J$1="August",X1376,IF($J$1="September",X1377,IF($J$1="October",X1378,IF($J$1="November",X1379,IF($J$1="December",X1380)))))))))))))</f>
        <v>0</v>
      </c>
      <c r="H1376" s="74"/>
      <c r="I1376" s="293" t="s">
        <v>86</v>
      </c>
      <c r="J1376" s="294"/>
      <c r="K1376" s="70">
        <f>G1376</f>
        <v>0</v>
      </c>
      <c r="L1376" s="82"/>
      <c r="M1376" s="57"/>
      <c r="N1376" s="100"/>
      <c r="O1376" s="101" t="s">
        <v>67</v>
      </c>
      <c r="P1376" s="101"/>
      <c r="Q1376" s="101"/>
      <c r="R1376" s="101">
        <v>0</v>
      </c>
      <c r="S1376" s="105"/>
      <c r="T1376" s="101" t="s">
        <v>67</v>
      </c>
      <c r="U1376" s="177"/>
      <c r="V1376" s="103"/>
      <c r="W1376" s="177" t="str">
        <f t="shared" si="249"/>
        <v/>
      </c>
      <c r="X1376" s="103"/>
      <c r="Y1376" s="177" t="str">
        <f t="shared" si="250"/>
        <v/>
      </c>
      <c r="Z1376" s="106"/>
    </row>
    <row r="1377" spans="1:26" s="55" customFormat="1" ht="21" customHeight="1" x14ac:dyDescent="0.25">
      <c r="A1377" s="56"/>
      <c r="B1377" s="83" t="s">
        <v>84</v>
      </c>
      <c r="C1377" s="66">
        <f>IF($J$1="January",R1369,IF($J$1="February",R1370,IF($J$1="March",R1371,IF($J$1="April",R1372,IF($J$1="May",R1373,IF($J$1="June",R1374,IF($J$1="July",R1375,IF($J$1="August",R1376,IF($J$1="August",R1376,IF($J$1="September",R1377,IF($J$1="October",R1378,IF($J$1="November",R1379,IF($J$1="December",R1380)))))))))))))</f>
        <v>0</v>
      </c>
      <c r="D1377" s="57"/>
      <c r="E1377" s="57"/>
      <c r="F1377" s="75" t="s">
        <v>83</v>
      </c>
      <c r="G1377" s="70">
        <f>IF($J$1="January",Y1369,IF($J$1="February",Y1370,IF($J$1="March",Y1371,IF($J$1="April",Y1372,IF($J$1="May",Y1373,IF($J$1="June",Y1374,IF($J$1="July",Y1375,IF($J$1="August",Y1376,IF($J$1="August",Y1376,IF($J$1="September",Y1377,IF($J$1="October",Y1378,IF($J$1="November",Y1379,IF($J$1="December",Y1380)))))))))))))</f>
        <v>0</v>
      </c>
      <c r="H1377" s="57"/>
      <c r="I1377" s="295" t="s">
        <v>79</v>
      </c>
      <c r="J1377" s="296"/>
      <c r="K1377" s="84">
        <f>K1375-K1376</f>
        <v>13718.75</v>
      </c>
      <c r="L1377" s="85"/>
      <c r="M1377" s="57"/>
      <c r="N1377" s="100"/>
      <c r="O1377" s="101" t="s">
        <v>72</v>
      </c>
      <c r="P1377" s="101"/>
      <c r="Q1377" s="101"/>
      <c r="R1377" s="101" t="str">
        <f>IF(Q1377="","",R1376-Q1377)</f>
        <v/>
      </c>
      <c r="S1377" s="105"/>
      <c r="T1377" s="101" t="s">
        <v>72</v>
      </c>
      <c r="U1377" s="177"/>
      <c r="V1377" s="103"/>
      <c r="W1377" s="177" t="str">
        <f t="shared" si="249"/>
        <v/>
      </c>
      <c r="X1377" s="103"/>
      <c r="Y1377" s="177" t="str">
        <f t="shared" si="250"/>
        <v/>
      </c>
      <c r="Z1377" s="106"/>
    </row>
    <row r="1378" spans="1:26" s="55" customFormat="1" ht="21" customHeight="1" x14ac:dyDescent="0.25">
      <c r="A1378" s="56"/>
      <c r="B1378" s="57"/>
      <c r="C1378" s="57"/>
      <c r="D1378" s="57"/>
      <c r="E1378" s="57"/>
      <c r="F1378" s="57"/>
      <c r="G1378" s="57"/>
      <c r="H1378" s="57"/>
      <c r="I1378" s="57"/>
      <c r="J1378" s="57"/>
      <c r="K1378" s="57"/>
      <c r="L1378" s="73"/>
      <c r="M1378" s="57"/>
      <c r="N1378" s="100"/>
      <c r="O1378" s="101" t="s">
        <v>68</v>
      </c>
      <c r="P1378" s="101"/>
      <c r="Q1378" s="101"/>
      <c r="R1378" s="101" t="str">
        <f>IF(Q1378="","",R1377-Q1378)</f>
        <v/>
      </c>
      <c r="S1378" s="105"/>
      <c r="T1378" s="101" t="s">
        <v>68</v>
      </c>
      <c r="U1378" s="177"/>
      <c r="V1378" s="103"/>
      <c r="W1378" s="177" t="str">
        <f t="shared" si="249"/>
        <v/>
      </c>
      <c r="X1378" s="103"/>
      <c r="Y1378" s="177" t="str">
        <f t="shared" si="250"/>
        <v/>
      </c>
      <c r="Z1378" s="106"/>
    </row>
    <row r="1379" spans="1:26" s="55" customFormat="1" ht="21" customHeight="1" x14ac:dyDescent="0.25">
      <c r="A1379" s="56"/>
      <c r="B1379" s="284" t="s">
        <v>116</v>
      </c>
      <c r="C1379" s="284"/>
      <c r="D1379" s="284"/>
      <c r="E1379" s="284"/>
      <c r="F1379" s="284"/>
      <c r="G1379" s="284"/>
      <c r="H1379" s="284"/>
      <c r="I1379" s="284"/>
      <c r="J1379" s="284"/>
      <c r="K1379" s="284"/>
      <c r="L1379" s="73"/>
      <c r="M1379" s="57"/>
      <c r="N1379" s="100"/>
      <c r="O1379" s="101" t="s">
        <v>73</v>
      </c>
      <c r="P1379" s="101"/>
      <c r="Q1379" s="101"/>
      <c r="R1379" s="101" t="str">
        <f>IF(Q1379="","",R1378-Q1379)</f>
        <v/>
      </c>
      <c r="S1379" s="105"/>
      <c r="T1379" s="101" t="s">
        <v>73</v>
      </c>
      <c r="U1379" s="177"/>
      <c r="V1379" s="103"/>
      <c r="W1379" s="177" t="str">
        <f t="shared" si="249"/>
        <v/>
      </c>
      <c r="X1379" s="103"/>
      <c r="Y1379" s="177" t="str">
        <f t="shared" si="250"/>
        <v/>
      </c>
      <c r="Z1379" s="106"/>
    </row>
    <row r="1380" spans="1:26" s="55" customFormat="1" ht="21" customHeight="1" x14ac:dyDescent="0.25">
      <c r="A1380" s="56"/>
      <c r="B1380" s="284"/>
      <c r="C1380" s="284"/>
      <c r="D1380" s="284"/>
      <c r="E1380" s="284"/>
      <c r="F1380" s="284"/>
      <c r="G1380" s="284"/>
      <c r="H1380" s="284"/>
      <c r="I1380" s="284"/>
      <c r="J1380" s="284"/>
      <c r="K1380" s="284"/>
      <c r="L1380" s="73"/>
      <c r="M1380" s="57"/>
      <c r="N1380" s="100"/>
      <c r="O1380" s="101" t="s">
        <v>74</v>
      </c>
      <c r="P1380" s="101"/>
      <c r="Q1380" s="101"/>
      <c r="R1380" s="101" t="str">
        <f>IF(Q1380="","",R1379-Q1380)</f>
        <v/>
      </c>
      <c r="S1380" s="105"/>
      <c r="T1380" s="101" t="s">
        <v>74</v>
      </c>
      <c r="U1380" s="177" t="str">
        <f>IF($J$1="Dec",Y1379,"")</f>
        <v/>
      </c>
      <c r="V1380" s="103"/>
      <c r="W1380" s="177" t="str">
        <f t="shared" si="249"/>
        <v/>
      </c>
      <c r="X1380" s="103"/>
      <c r="Y1380" s="177" t="str">
        <f t="shared" si="250"/>
        <v/>
      </c>
      <c r="Z1380" s="106"/>
    </row>
    <row r="1381" spans="1:26" s="55" customFormat="1" ht="21" customHeight="1" thickBot="1" x14ac:dyDescent="0.3">
      <c r="A1381" s="86"/>
      <c r="B1381" s="87"/>
      <c r="C1381" s="87"/>
      <c r="D1381" s="87"/>
      <c r="E1381" s="87"/>
      <c r="F1381" s="87"/>
      <c r="G1381" s="87"/>
      <c r="H1381" s="87"/>
      <c r="I1381" s="87"/>
      <c r="J1381" s="87"/>
      <c r="K1381" s="87"/>
      <c r="L1381" s="88"/>
      <c r="N1381" s="107"/>
      <c r="O1381" s="108"/>
      <c r="P1381" s="108"/>
      <c r="Q1381" s="108"/>
      <c r="R1381" s="108"/>
      <c r="S1381" s="108"/>
      <c r="T1381" s="108"/>
      <c r="U1381" s="108"/>
      <c r="V1381" s="108"/>
      <c r="W1381" s="108"/>
      <c r="X1381" s="108"/>
      <c r="Y1381" s="108"/>
      <c r="Z1381" s="109"/>
    </row>
    <row r="1382" spans="1:26" ht="15" thickBot="1" x14ac:dyDescent="0.35"/>
    <row r="1383" spans="1:26" s="55" customFormat="1" ht="21" customHeight="1" x14ac:dyDescent="0.25">
      <c r="A1383" s="297" t="s">
        <v>56</v>
      </c>
      <c r="B1383" s="298"/>
      <c r="C1383" s="298"/>
      <c r="D1383" s="298"/>
      <c r="E1383" s="298"/>
      <c r="F1383" s="298"/>
      <c r="G1383" s="298"/>
      <c r="H1383" s="298"/>
      <c r="I1383" s="298"/>
      <c r="J1383" s="298"/>
      <c r="K1383" s="298"/>
      <c r="L1383" s="299"/>
      <c r="M1383" s="200"/>
      <c r="N1383" s="93"/>
      <c r="O1383" s="285" t="s">
        <v>58</v>
      </c>
      <c r="P1383" s="286"/>
      <c r="Q1383" s="286"/>
      <c r="R1383" s="287"/>
      <c r="S1383" s="94"/>
      <c r="T1383" s="285" t="s">
        <v>59</v>
      </c>
      <c r="U1383" s="286"/>
      <c r="V1383" s="286"/>
      <c r="W1383" s="286"/>
      <c r="X1383" s="286"/>
      <c r="Y1383" s="287"/>
      <c r="Z1383" s="95"/>
    </row>
    <row r="1384" spans="1:26" s="55" customFormat="1" ht="21" customHeight="1" x14ac:dyDescent="0.25">
      <c r="A1384" s="56"/>
      <c r="B1384" s="57"/>
      <c r="C1384" s="288" t="s">
        <v>114</v>
      </c>
      <c r="D1384" s="288"/>
      <c r="E1384" s="288"/>
      <c r="F1384" s="288"/>
      <c r="G1384" s="58" t="str">
        <f>$J$1</f>
        <v>June</v>
      </c>
      <c r="H1384" s="289">
        <f>$K$1</f>
        <v>2019</v>
      </c>
      <c r="I1384" s="289"/>
      <c r="J1384" s="57"/>
      <c r="K1384" s="59"/>
      <c r="L1384" s="60"/>
      <c r="M1384" s="59"/>
      <c r="N1384" s="96"/>
      <c r="O1384" s="97" t="s">
        <v>69</v>
      </c>
      <c r="P1384" s="97" t="s">
        <v>7</v>
      </c>
      <c r="Q1384" s="97" t="s">
        <v>6</v>
      </c>
      <c r="R1384" s="97" t="s">
        <v>70</v>
      </c>
      <c r="S1384" s="98"/>
      <c r="T1384" s="97" t="s">
        <v>69</v>
      </c>
      <c r="U1384" s="97" t="s">
        <v>71</v>
      </c>
      <c r="V1384" s="97" t="s">
        <v>29</v>
      </c>
      <c r="W1384" s="97" t="s">
        <v>28</v>
      </c>
      <c r="X1384" s="97" t="s">
        <v>30</v>
      </c>
      <c r="Y1384" s="97" t="s">
        <v>75</v>
      </c>
      <c r="Z1384" s="99"/>
    </row>
    <row r="1385" spans="1:26" s="55" customFormat="1" ht="21" customHeight="1" x14ac:dyDescent="0.25">
      <c r="A1385" s="56"/>
      <c r="B1385" s="57"/>
      <c r="C1385" s="57"/>
      <c r="D1385" s="62"/>
      <c r="E1385" s="62"/>
      <c r="F1385" s="62"/>
      <c r="G1385" s="62"/>
      <c r="H1385" s="62"/>
      <c r="I1385" s="57"/>
      <c r="J1385" s="63" t="s">
        <v>1</v>
      </c>
      <c r="K1385" s="64">
        <v>1000</v>
      </c>
      <c r="L1385" s="65"/>
      <c r="M1385" s="57"/>
      <c r="N1385" s="100"/>
      <c r="O1385" s="101" t="s">
        <v>61</v>
      </c>
      <c r="P1385" s="101">
        <v>19</v>
      </c>
      <c r="Q1385" s="101"/>
      <c r="R1385" s="101">
        <v>0</v>
      </c>
      <c r="S1385" s="102"/>
      <c r="T1385" s="101" t="s">
        <v>61</v>
      </c>
      <c r="U1385" s="103">
        <v>25400</v>
      </c>
      <c r="V1385" s="103">
        <f>5000+1000</f>
        <v>6000</v>
      </c>
      <c r="W1385" s="103">
        <f>V1385+U1385</f>
        <v>31400</v>
      </c>
      <c r="X1385" s="103">
        <v>15000</v>
      </c>
      <c r="Y1385" s="103">
        <f>W1385-X1385</f>
        <v>16400</v>
      </c>
      <c r="Z1385" s="99"/>
    </row>
    <row r="1386" spans="1:26" s="55" customFormat="1" ht="21" customHeight="1" x14ac:dyDescent="0.25">
      <c r="A1386" s="56"/>
      <c r="B1386" s="57" t="s">
        <v>0</v>
      </c>
      <c r="C1386" s="112" t="s">
        <v>118</v>
      </c>
      <c r="D1386" s="57"/>
      <c r="E1386" s="57"/>
      <c r="F1386" s="57"/>
      <c r="G1386" s="57"/>
      <c r="H1386" s="68"/>
      <c r="I1386" s="62"/>
      <c r="J1386" s="57"/>
      <c r="K1386" s="57"/>
      <c r="L1386" s="69"/>
      <c r="M1386" s="200"/>
      <c r="N1386" s="104"/>
      <c r="O1386" s="101" t="s">
        <v>87</v>
      </c>
      <c r="P1386" s="101"/>
      <c r="Q1386" s="101"/>
      <c r="R1386" s="101">
        <v>0</v>
      </c>
      <c r="S1386" s="105"/>
      <c r="T1386" s="101" t="s">
        <v>87</v>
      </c>
      <c r="U1386" s="177">
        <f>Y1385</f>
        <v>16400</v>
      </c>
      <c r="V1386" s="103">
        <f>5000+3000</f>
        <v>8000</v>
      </c>
      <c r="W1386" s="103">
        <f>V1386+U1386</f>
        <v>24400</v>
      </c>
      <c r="X1386" s="103">
        <v>15000</v>
      </c>
      <c r="Y1386" s="177">
        <f>IF(W1386="","",W1386-X1386)</f>
        <v>9400</v>
      </c>
      <c r="Z1386" s="106"/>
    </row>
    <row r="1387" spans="1:26" s="55" customFormat="1" ht="21" customHeight="1" x14ac:dyDescent="0.25">
      <c r="A1387" s="56"/>
      <c r="B1387" s="71" t="s">
        <v>57</v>
      </c>
      <c r="C1387" s="112"/>
      <c r="D1387" s="57"/>
      <c r="E1387" s="57"/>
      <c r="F1387" s="290" t="s">
        <v>59</v>
      </c>
      <c r="G1387" s="290"/>
      <c r="H1387" s="57"/>
      <c r="I1387" s="290" t="s">
        <v>60</v>
      </c>
      <c r="J1387" s="290"/>
      <c r="K1387" s="290"/>
      <c r="L1387" s="73"/>
      <c r="M1387" s="57"/>
      <c r="N1387" s="100"/>
      <c r="O1387" s="101" t="s">
        <v>62</v>
      </c>
      <c r="P1387" s="101"/>
      <c r="Q1387" s="101"/>
      <c r="R1387" s="101" t="str">
        <f>IF(Q1387="","",R1386-Q1387)</f>
        <v/>
      </c>
      <c r="S1387" s="105"/>
      <c r="T1387" s="101" t="s">
        <v>62</v>
      </c>
      <c r="U1387" s="177">
        <f>Y1386</f>
        <v>9400</v>
      </c>
      <c r="V1387" s="103">
        <f>7000+2000+1000+2000+1000+4000</f>
        <v>17000</v>
      </c>
      <c r="W1387" s="177">
        <f t="shared" ref="W1387:W1396" si="251">IF(U1387="","",U1387+V1387)</f>
        <v>26400</v>
      </c>
      <c r="X1387" s="103">
        <v>12000</v>
      </c>
      <c r="Y1387" s="177">
        <f t="shared" ref="Y1387:Y1396" si="252">IF(W1387="","",W1387-X1387)</f>
        <v>14400</v>
      </c>
      <c r="Z1387" s="106"/>
    </row>
    <row r="1388" spans="1:26" s="55" customFormat="1" ht="21" customHeight="1" x14ac:dyDescent="0.25">
      <c r="A1388" s="56"/>
      <c r="B1388" s="57"/>
      <c r="C1388" s="57"/>
      <c r="D1388" s="57"/>
      <c r="E1388" s="57"/>
      <c r="F1388" s="57"/>
      <c r="G1388" s="57"/>
      <c r="H1388" s="74"/>
      <c r="L1388" s="61"/>
      <c r="M1388" s="57"/>
      <c r="N1388" s="100"/>
      <c r="O1388" s="101" t="s">
        <v>63</v>
      </c>
      <c r="P1388" s="101">
        <v>26</v>
      </c>
      <c r="Q1388" s="101">
        <v>4</v>
      </c>
      <c r="R1388" s="101">
        <v>0</v>
      </c>
      <c r="S1388" s="105"/>
      <c r="T1388" s="101" t="s">
        <v>63</v>
      </c>
      <c r="U1388" s="177">
        <f>Y1387</f>
        <v>14400</v>
      </c>
      <c r="V1388" s="103">
        <v>3500</v>
      </c>
      <c r="W1388" s="177">
        <f t="shared" si="251"/>
        <v>17900</v>
      </c>
      <c r="X1388" s="103">
        <v>8500</v>
      </c>
      <c r="Y1388" s="177">
        <f t="shared" si="252"/>
        <v>9400</v>
      </c>
      <c r="Z1388" s="106"/>
    </row>
    <row r="1389" spans="1:26" s="55" customFormat="1" ht="21" customHeight="1" x14ac:dyDescent="0.25">
      <c r="A1389" s="56"/>
      <c r="B1389" s="291" t="s">
        <v>58</v>
      </c>
      <c r="C1389" s="292"/>
      <c r="D1389" s="57"/>
      <c r="E1389" s="57"/>
      <c r="F1389" s="75" t="s">
        <v>80</v>
      </c>
      <c r="G1389" s="70">
        <f>IF($J$1="January",U1385,IF($J$1="February",U1386,IF($J$1="March",U1387,IF($J$1="April",U1388,IF($J$1="May",U1389,IF($J$1="June",U1390,IF($J$1="July",U1391,IF($J$1="August",U1392,IF($J$1="August",U1392,IF($J$1="September",U1393,IF($J$1="October",U1394,IF($J$1="November",U1395,IF($J$1="December",U1396)))))))))))))</f>
        <v>7000</v>
      </c>
      <c r="H1389" s="74"/>
      <c r="I1389" s="76">
        <v>6</v>
      </c>
      <c r="J1389" s="77" t="s">
        <v>77</v>
      </c>
      <c r="K1389" s="78">
        <f>K1385*I1389</f>
        <v>6000</v>
      </c>
      <c r="L1389" s="79"/>
      <c r="M1389" s="57"/>
      <c r="N1389" s="100"/>
      <c r="O1389" s="101" t="s">
        <v>64</v>
      </c>
      <c r="P1389" s="101">
        <v>22</v>
      </c>
      <c r="Q1389" s="101"/>
      <c r="R1389" s="101">
        <v>0</v>
      </c>
      <c r="S1389" s="105"/>
      <c r="T1389" s="101" t="s">
        <v>64</v>
      </c>
      <c r="U1389" s="177">
        <f>Y1388</f>
        <v>9400</v>
      </c>
      <c r="V1389" s="103">
        <v>1000</v>
      </c>
      <c r="W1389" s="177">
        <f t="shared" si="251"/>
        <v>10400</v>
      </c>
      <c r="X1389" s="103">
        <v>3400</v>
      </c>
      <c r="Y1389" s="177">
        <f t="shared" si="252"/>
        <v>7000</v>
      </c>
      <c r="Z1389" s="106"/>
    </row>
    <row r="1390" spans="1:26" s="55" customFormat="1" ht="21" customHeight="1" x14ac:dyDescent="0.25">
      <c r="A1390" s="56"/>
      <c r="B1390" s="66"/>
      <c r="C1390" s="66"/>
      <c r="D1390" s="57"/>
      <c r="E1390" s="57"/>
      <c r="F1390" s="75" t="s">
        <v>29</v>
      </c>
      <c r="G1390" s="70">
        <f>IF($J$1="January",V1385,IF($J$1="February",V1386,IF($J$1="March",V1387,IF($J$1="April",V1388,IF($J$1="May",V1389,IF($J$1="June",V1390,IF($J$1="July",V1391,IF($J$1="August",V1392,IF($J$1="August",V1392,IF($J$1="September",V1393,IF($J$1="October",V1394,IF($J$1="November",V1395,IF($J$1="December",V1396)))))))))))))</f>
        <v>4000</v>
      </c>
      <c r="H1390" s="74"/>
      <c r="I1390" s="120"/>
      <c r="J1390" s="77" t="s">
        <v>78</v>
      </c>
      <c r="K1390" s="80">
        <f>K1385/8*I1390</f>
        <v>0</v>
      </c>
      <c r="L1390" s="81"/>
      <c r="M1390" s="57"/>
      <c r="N1390" s="100"/>
      <c r="O1390" s="101" t="s">
        <v>65</v>
      </c>
      <c r="P1390" s="101"/>
      <c r="Q1390" s="101"/>
      <c r="R1390" s="101">
        <v>0</v>
      </c>
      <c r="S1390" s="105"/>
      <c r="T1390" s="101" t="s">
        <v>65</v>
      </c>
      <c r="U1390" s="177">
        <f>Y1389</f>
        <v>7000</v>
      </c>
      <c r="V1390" s="103">
        <f>2000+2000</f>
        <v>4000</v>
      </c>
      <c r="W1390" s="177">
        <f t="shared" si="251"/>
        <v>11000</v>
      </c>
      <c r="X1390" s="103">
        <v>6000</v>
      </c>
      <c r="Y1390" s="177">
        <f t="shared" si="252"/>
        <v>5000</v>
      </c>
      <c r="Z1390" s="106"/>
    </row>
    <row r="1391" spans="1:26" s="55" customFormat="1" ht="21" customHeight="1" x14ac:dyDescent="0.25">
      <c r="A1391" s="56"/>
      <c r="B1391" s="75" t="s">
        <v>7</v>
      </c>
      <c r="C1391" s="66">
        <f>IF($J$1="January",P1385,IF($J$1="February",P1386,IF($J$1="March",P1387,IF($J$1="April",P1388,IF($J$1="May",P1389,IF($J$1="June",P1390,IF($J$1="July",P1391,IF($J$1="August",P1392,IF($J$1="August",P1392,IF($J$1="September",P1393,IF($J$1="October",P1394,IF($J$1="November",P1395,IF($J$1="December",P1396)))))))))))))</f>
        <v>0</v>
      </c>
      <c r="D1391" s="57"/>
      <c r="E1391" s="57"/>
      <c r="F1391" s="75" t="s">
        <v>81</v>
      </c>
      <c r="G1391" s="70">
        <f>IF($J$1="January",W1385,IF($J$1="February",W1386,IF($J$1="March",W1387,IF($J$1="April",W1388,IF($J$1="May",W1389,IF($J$1="June",W1390,IF($J$1="July",W1391,IF($J$1="August",W1392,IF($J$1="August",W1392,IF($J$1="September",W1393,IF($J$1="October",W1394,IF($J$1="November",W1395,IF($J$1="December",W1396)))))))))))))</f>
        <v>11000</v>
      </c>
      <c r="H1391" s="74"/>
      <c r="I1391" s="293" t="s">
        <v>85</v>
      </c>
      <c r="J1391" s="294"/>
      <c r="K1391" s="80">
        <f>K1389+K1390</f>
        <v>6000</v>
      </c>
      <c r="L1391" s="81"/>
      <c r="M1391" s="57"/>
      <c r="N1391" s="100"/>
      <c r="O1391" s="101" t="s">
        <v>66</v>
      </c>
      <c r="P1391" s="101"/>
      <c r="Q1391" s="101"/>
      <c r="R1391" s="101">
        <v>0</v>
      </c>
      <c r="S1391" s="105"/>
      <c r="T1391" s="101" t="s">
        <v>66</v>
      </c>
      <c r="U1391" s="177"/>
      <c r="V1391" s="103"/>
      <c r="W1391" s="177" t="str">
        <f t="shared" si="251"/>
        <v/>
      </c>
      <c r="X1391" s="103"/>
      <c r="Y1391" s="177" t="str">
        <f t="shared" si="252"/>
        <v/>
      </c>
      <c r="Z1391" s="106"/>
    </row>
    <row r="1392" spans="1:26" s="55" customFormat="1" ht="21" customHeight="1" x14ac:dyDescent="0.25">
      <c r="A1392" s="56"/>
      <c r="B1392" s="75" t="s">
        <v>6</v>
      </c>
      <c r="C1392" s="66">
        <f>IF($J$1="January",Q1385,IF($J$1="February",Q1386,IF($J$1="March",Q1387,IF($J$1="April",Q1388,IF($J$1="May",Q1389,IF($J$1="June",Q1390,IF($J$1="July",Q1391,IF($J$1="August",Q1392,IF($J$1="August",Q1392,IF($J$1="September",Q1393,IF($J$1="October",Q1394,IF($J$1="November",Q1395,IF($J$1="December",Q1396)))))))))))))</f>
        <v>0</v>
      </c>
      <c r="D1392" s="57"/>
      <c r="E1392" s="57"/>
      <c r="F1392" s="75" t="s">
        <v>30</v>
      </c>
      <c r="G1392" s="70">
        <f>IF($J$1="January",X1385,IF($J$1="February",X1386,IF($J$1="March",X1387,IF($J$1="April",X1388,IF($J$1="May",X1389,IF($J$1="June",X1390,IF($J$1="July",X1391,IF($J$1="August",X1392,IF($J$1="August",X1392,IF($J$1="September",X1393,IF($J$1="October",X1394,IF($J$1="November",X1395,IF($J$1="December",X1396)))))))))))))</f>
        <v>6000</v>
      </c>
      <c r="H1392" s="74"/>
      <c r="I1392" s="293" t="s">
        <v>86</v>
      </c>
      <c r="J1392" s="294"/>
      <c r="K1392" s="70">
        <f>G1392</f>
        <v>6000</v>
      </c>
      <c r="L1392" s="82"/>
      <c r="M1392" s="57"/>
      <c r="N1392" s="100"/>
      <c r="O1392" s="101" t="s">
        <v>67</v>
      </c>
      <c r="P1392" s="101"/>
      <c r="Q1392" s="101"/>
      <c r="R1392" s="101">
        <v>0</v>
      </c>
      <c r="S1392" s="105"/>
      <c r="T1392" s="101" t="s">
        <v>67</v>
      </c>
      <c r="U1392" s="177"/>
      <c r="V1392" s="103"/>
      <c r="W1392" s="177" t="str">
        <f t="shared" si="251"/>
        <v/>
      </c>
      <c r="X1392" s="103"/>
      <c r="Y1392" s="177" t="str">
        <f t="shared" si="252"/>
        <v/>
      </c>
      <c r="Z1392" s="106"/>
    </row>
    <row r="1393" spans="1:26" s="55" customFormat="1" ht="21" customHeight="1" x14ac:dyDescent="0.25">
      <c r="A1393" s="56"/>
      <c r="B1393" s="83" t="s">
        <v>84</v>
      </c>
      <c r="C1393" s="66">
        <f>IF($J$1="January",R1385,IF($J$1="February",R1386,IF($J$1="March",R1387,IF($J$1="April",R1388,IF($J$1="May",R1389,IF($J$1="June",R1390,IF($J$1="July",R1391,IF($J$1="August",R1392,IF($J$1="August",R1392,IF($J$1="September",R1393,IF($J$1="October",R1394,IF($J$1="November",R1395,IF($J$1="December",R1396)))))))))))))</f>
        <v>0</v>
      </c>
      <c r="D1393" s="57"/>
      <c r="E1393" s="57"/>
      <c r="F1393" s="75" t="s">
        <v>83</v>
      </c>
      <c r="G1393" s="70">
        <f>IF($J$1="January",Y1385,IF($J$1="February",Y1386,IF($J$1="March",Y1387,IF($J$1="April",Y1388,IF($J$1="May",Y1389,IF($J$1="June",Y1390,IF($J$1="July",Y1391,IF($J$1="August",Y1392,IF($J$1="August",Y1392,IF($J$1="September",Y1393,IF($J$1="October",Y1394,IF($J$1="November",Y1395,IF($J$1="December",Y1396)))))))))))))</f>
        <v>5000</v>
      </c>
      <c r="H1393" s="57"/>
      <c r="I1393" s="295" t="s">
        <v>79</v>
      </c>
      <c r="J1393" s="296"/>
      <c r="K1393" s="84">
        <f>K1391-K1392</f>
        <v>0</v>
      </c>
      <c r="L1393" s="85"/>
      <c r="M1393" s="57"/>
      <c r="N1393" s="100"/>
      <c r="O1393" s="101" t="s">
        <v>72</v>
      </c>
      <c r="P1393" s="101"/>
      <c r="Q1393" s="101"/>
      <c r="R1393" s="101">
        <v>0</v>
      </c>
      <c r="S1393" s="105"/>
      <c r="T1393" s="101" t="s">
        <v>72</v>
      </c>
      <c r="U1393" s="177"/>
      <c r="V1393" s="103"/>
      <c r="W1393" s="177" t="str">
        <f t="shared" si="251"/>
        <v/>
      </c>
      <c r="X1393" s="103"/>
      <c r="Y1393" s="177" t="str">
        <f t="shared" si="252"/>
        <v/>
      </c>
      <c r="Z1393" s="106"/>
    </row>
    <row r="1394" spans="1:26" s="55" customFormat="1" ht="21" customHeight="1" x14ac:dyDescent="0.25">
      <c r="A1394" s="56"/>
      <c r="B1394" s="57"/>
      <c r="C1394" s="57"/>
      <c r="D1394" s="57"/>
      <c r="E1394" s="57"/>
      <c r="F1394" s="57"/>
      <c r="G1394" s="57"/>
      <c r="H1394" s="57"/>
      <c r="I1394" s="57"/>
      <c r="J1394" s="57"/>
      <c r="K1394" s="57"/>
      <c r="L1394" s="73"/>
      <c r="M1394" s="57"/>
      <c r="N1394" s="100"/>
      <c r="O1394" s="101" t="s">
        <v>68</v>
      </c>
      <c r="P1394" s="101"/>
      <c r="Q1394" s="101"/>
      <c r="R1394" s="101" t="str">
        <f>IF(Q1394="","",R1393-Q1394)</f>
        <v/>
      </c>
      <c r="S1394" s="105"/>
      <c r="T1394" s="101" t="s">
        <v>68</v>
      </c>
      <c r="U1394" s="177"/>
      <c r="V1394" s="103"/>
      <c r="W1394" s="177" t="str">
        <f t="shared" si="251"/>
        <v/>
      </c>
      <c r="X1394" s="103"/>
      <c r="Y1394" s="177" t="str">
        <f t="shared" si="252"/>
        <v/>
      </c>
      <c r="Z1394" s="106"/>
    </row>
    <row r="1395" spans="1:26" s="55" customFormat="1" ht="21" customHeight="1" x14ac:dyDescent="0.25">
      <c r="A1395" s="56"/>
      <c r="B1395" s="284" t="s">
        <v>116</v>
      </c>
      <c r="C1395" s="284"/>
      <c r="D1395" s="284"/>
      <c r="E1395" s="284"/>
      <c r="F1395" s="284"/>
      <c r="G1395" s="284"/>
      <c r="H1395" s="284"/>
      <c r="I1395" s="284"/>
      <c r="J1395" s="284"/>
      <c r="K1395" s="284"/>
      <c r="L1395" s="73"/>
      <c r="M1395" s="57"/>
      <c r="N1395" s="100"/>
      <c r="O1395" s="101" t="s">
        <v>73</v>
      </c>
      <c r="P1395" s="101"/>
      <c r="Q1395" s="101"/>
      <c r="R1395" s="101" t="str">
        <f>IF(Q1395="","",R1394-Q1395)</f>
        <v/>
      </c>
      <c r="S1395" s="105"/>
      <c r="T1395" s="101" t="s">
        <v>73</v>
      </c>
      <c r="U1395" s="177"/>
      <c r="V1395" s="103"/>
      <c r="W1395" s="177" t="str">
        <f t="shared" si="251"/>
        <v/>
      </c>
      <c r="X1395" s="103"/>
      <c r="Y1395" s="177" t="str">
        <f t="shared" si="252"/>
        <v/>
      </c>
      <c r="Z1395" s="106"/>
    </row>
    <row r="1396" spans="1:26" s="55" customFormat="1" ht="21" customHeight="1" x14ac:dyDescent="0.25">
      <c r="A1396" s="56"/>
      <c r="B1396" s="284"/>
      <c r="C1396" s="284"/>
      <c r="D1396" s="284"/>
      <c r="E1396" s="284"/>
      <c r="F1396" s="284"/>
      <c r="G1396" s="284"/>
      <c r="H1396" s="284"/>
      <c r="I1396" s="284"/>
      <c r="J1396" s="284"/>
      <c r="K1396" s="284"/>
      <c r="L1396" s="73"/>
      <c r="M1396" s="57"/>
      <c r="N1396" s="100"/>
      <c r="O1396" s="101" t="s">
        <v>74</v>
      </c>
      <c r="P1396" s="101"/>
      <c r="Q1396" s="101"/>
      <c r="R1396" s="101" t="str">
        <f>IF(Q1396="","",R1395-Q1396)</f>
        <v/>
      </c>
      <c r="S1396" s="105"/>
      <c r="T1396" s="101" t="s">
        <v>74</v>
      </c>
      <c r="U1396" s="177" t="str">
        <f>IF($J$1="Dec",Y1395,"")</f>
        <v/>
      </c>
      <c r="V1396" s="103"/>
      <c r="W1396" s="177" t="str">
        <f t="shared" si="251"/>
        <v/>
      </c>
      <c r="X1396" s="103"/>
      <c r="Y1396" s="177" t="str">
        <f t="shared" si="252"/>
        <v/>
      </c>
      <c r="Z1396" s="106"/>
    </row>
    <row r="1397" spans="1:26" s="55" customFormat="1" ht="21" customHeight="1" thickBot="1" x14ac:dyDescent="0.3">
      <c r="A1397" s="86"/>
      <c r="B1397" s="87"/>
      <c r="C1397" s="87"/>
      <c r="D1397" s="87"/>
      <c r="E1397" s="87"/>
      <c r="F1397" s="87"/>
      <c r="G1397" s="87"/>
      <c r="H1397" s="87"/>
      <c r="I1397" s="87"/>
      <c r="J1397" s="87"/>
      <c r="K1397" s="87"/>
      <c r="L1397" s="88"/>
      <c r="N1397" s="107"/>
      <c r="O1397" s="108"/>
      <c r="P1397" s="108"/>
      <c r="Q1397" s="108"/>
      <c r="R1397" s="108"/>
      <c r="S1397" s="108"/>
      <c r="T1397" s="108"/>
      <c r="U1397" s="108"/>
      <c r="V1397" s="108"/>
      <c r="W1397" s="108"/>
      <c r="X1397" s="108"/>
      <c r="Y1397" s="108"/>
      <c r="Z1397" s="109"/>
    </row>
    <row r="1398" spans="1:26" ht="15" thickBot="1" x14ac:dyDescent="0.35"/>
    <row r="1399" spans="1:26" s="55" customFormat="1" ht="21" customHeight="1" x14ac:dyDescent="0.25">
      <c r="A1399" s="297" t="s">
        <v>56</v>
      </c>
      <c r="B1399" s="298"/>
      <c r="C1399" s="298"/>
      <c r="D1399" s="298"/>
      <c r="E1399" s="298"/>
      <c r="F1399" s="298"/>
      <c r="G1399" s="298"/>
      <c r="H1399" s="298"/>
      <c r="I1399" s="298"/>
      <c r="J1399" s="298"/>
      <c r="K1399" s="298"/>
      <c r="L1399" s="299"/>
      <c r="M1399" s="200"/>
      <c r="N1399" s="93"/>
      <c r="O1399" s="285" t="s">
        <v>58</v>
      </c>
      <c r="P1399" s="286"/>
      <c r="Q1399" s="286"/>
      <c r="R1399" s="287"/>
      <c r="S1399" s="94"/>
      <c r="T1399" s="285" t="s">
        <v>59</v>
      </c>
      <c r="U1399" s="286"/>
      <c r="V1399" s="286"/>
      <c r="W1399" s="286"/>
      <c r="X1399" s="286"/>
      <c r="Y1399" s="287"/>
      <c r="Z1399" s="95"/>
    </row>
    <row r="1400" spans="1:26" s="55" customFormat="1" ht="21" customHeight="1" x14ac:dyDescent="0.25">
      <c r="A1400" s="56"/>
      <c r="B1400" s="57"/>
      <c r="C1400" s="288" t="s">
        <v>114</v>
      </c>
      <c r="D1400" s="288"/>
      <c r="E1400" s="288"/>
      <c r="F1400" s="288"/>
      <c r="G1400" s="58" t="str">
        <f>$J$1</f>
        <v>June</v>
      </c>
      <c r="H1400" s="289">
        <f>$K$1</f>
        <v>2019</v>
      </c>
      <c r="I1400" s="289"/>
      <c r="J1400" s="57"/>
      <c r="K1400" s="59"/>
      <c r="L1400" s="60"/>
      <c r="M1400" s="59"/>
      <c r="N1400" s="96"/>
      <c r="O1400" s="97" t="s">
        <v>69</v>
      </c>
      <c r="P1400" s="97" t="s">
        <v>7</v>
      </c>
      <c r="Q1400" s="97" t="s">
        <v>6</v>
      </c>
      <c r="R1400" s="97" t="s">
        <v>70</v>
      </c>
      <c r="S1400" s="98"/>
      <c r="T1400" s="97" t="s">
        <v>69</v>
      </c>
      <c r="U1400" s="97" t="s">
        <v>71</v>
      </c>
      <c r="V1400" s="97" t="s">
        <v>29</v>
      </c>
      <c r="W1400" s="97" t="s">
        <v>28</v>
      </c>
      <c r="X1400" s="97" t="s">
        <v>30</v>
      </c>
      <c r="Y1400" s="97" t="s">
        <v>75</v>
      </c>
      <c r="Z1400" s="99"/>
    </row>
    <row r="1401" spans="1:26" s="55" customFormat="1" ht="21" customHeight="1" x14ac:dyDescent="0.25">
      <c r="A1401" s="56"/>
      <c r="B1401" s="57"/>
      <c r="C1401" s="57"/>
      <c r="D1401" s="62"/>
      <c r="E1401" s="62"/>
      <c r="F1401" s="62"/>
      <c r="G1401" s="62"/>
      <c r="H1401" s="62"/>
      <c r="I1401" s="57"/>
      <c r="J1401" s="63" t="s">
        <v>1</v>
      </c>
      <c r="K1401" s="64">
        <v>18000</v>
      </c>
      <c r="L1401" s="65"/>
      <c r="M1401" s="57"/>
      <c r="N1401" s="100"/>
      <c r="O1401" s="101" t="s">
        <v>61</v>
      </c>
      <c r="P1401" s="101"/>
      <c r="Q1401" s="101"/>
      <c r="R1401" s="101">
        <v>0</v>
      </c>
      <c r="S1401" s="102"/>
      <c r="T1401" s="101" t="s">
        <v>61</v>
      </c>
      <c r="U1401" s="103"/>
      <c r="V1401" s="103"/>
      <c r="W1401" s="103">
        <f>V1401+U1401</f>
        <v>0</v>
      </c>
      <c r="X1401" s="103"/>
      <c r="Y1401" s="103">
        <f>W1401-X1401</f>
        <v>0</v>
      </c>
      <c r="Z1401" s="99"/>
    </row>
    <row r="1402" spans="1:26" s="55" customFormat="1" ht="21" customHeight="1" x14ac:dyDescent="0.25">
      <c r="A1402" s="56"/>
      <c r="B1402" s="57" t="s">
        <v>0</v>
      </c>
      <c r="C1402" s="112" t="s">
        <v>172</v>
      </c>
      <c r="D1402" s="57"/>
      <c r="E1402" s="57"/>
      <c r="F1402" s="57"/>
      <c r="G1402" s="57"/>
      <c r="H1402" s="68"/>
      <c r="I1402" s="62"/>
      <c r="J1402" s="57"/>
      <c r="K1402" s="57"/>
      <c r="L1402" s="69"/>
      <c r="M1402" s="200"/>
      <c r="N1402" s="104"/>
      <c r="O1402" s="101" t="s">
        <v>87</v>
      </c>
      <c r="P1402" s="101">
        <f>28-5</f>
        <v>23</v>
      </c>
      <c r="Q1402" s="101">
        <v>5</v>
      </c>
      <c r="R1402" s="101">
        <v>0</v>
      </c>
      <c r="S1402" s="105"/>
      <c r="T1402" s="101" t="s">
        <v>87</v>
      </c>
      <c r="U1402" s="177">
        <f>Y1401</f>
        <v>0</v>
      </c>
      <c r="V1402" s="103"/>
      <c r="W1402" s="177">
        <f>IF(U1402="","",U1402+V1402)</f>
        <v>0</v>
      </c>
      <c r="X1402" s="103"/>
      <c r="Y1402" s="177">
        <f>IF(W1402="","",W1402-X1402)</f>
        <v>0</v>
      </c>
      <c r="Z1402" s="106"/>
    </row>
    <row r="1403" spans="1:26" s="55" customFormat="1" ht="21" customHeight="1" x14ac:dyDescent="0.25">
      <c r="A1403" s="56"/>
      <c r="B1403" s="71" t="s">
        <v>57</v>
      </c>
      <c r="C1403" s="112"/>
      <c r="D1403" s="57"/>
      <c r="E1403" s="57"/>
      <c r="F1403" s="290" t="s">
        <v>59</v>
      </c>
      <c r="G1403" s="290"/>
      <c r="H1403" s="57"/>
      <c r="I1403" s="290" t="s">
        <v>60</v>
      </c>
      <c r="J1403" s="290"/>
      <c r="K1403" s="290"/>
      <c r="L1403" s="73"/>
      <c r="M1403" s="57"/>
      <c r="N1403" s="100"/>
      <c r="O1403" s="101" t="s">
        <v>62</v>
      </c>
      <c r="P1403" s="101">
        <v>24</v>
      </c>
      <c r="Q1403" s="101">
        <v>7</v>
      </c>
      <c r="R1403" s="101">
        <v>0</v>
      </c>
      <c r="S1403" s="105"/>
      <c r="T1403" s="101" t="s">
        <v>62</v>
      </c>
      <c r="U1403" s="177">
        <f>IF($J$1="April",Y1402,Y1402)</f>
        <v>0</v>
      </c>
      <c r="V1403" s="103"/>
      <c r="W1403" s="177">
        <f t="shared" ref="W1403:W1412" si="253">IF(U1403="","",U1403+V1403)</f>
        <v>0</v>
      </c>
      <c r="X1403" s="103"/>
      <c r="Y1403" s="177">
        <f t="shared" ref="Y1403:Y1412" si="254">IF(W1403="","",W1403-X1403)</f>
        <v>0</v>
      </c>
      <c r="Z1403" s="106"/>
    </row>
    <row r="1404" spans="1:26" s="55" customFormat="1" ht="21" customHeight="1" x14ac:dyDescent="0.25">
      <c r="A1404" s="56"/>
      <c r="B1404" s="57"/>
      <c r="C1404" s="57"/>
      <c r="D1404" s="57"/>
      <c r="E1404" s="57"/>
      <c r="F1404" s="57"/>
      <c r="G1404" s="57"/>
      <c r="H1404" s="74"/>
      <c r="L1404" s="61"/>
      <c r="M1404" s="57"/>
      <c r="N1404" s="100"/>
      <c r="O1404" s="101" t="s">
        <v>63</v>
      </c>
      <c r="P1404" s="101">
        <v>27</v>
      </c>
      <c r="Q1404" s="101">
        <v>3</v>
      </c>
      <c r="R1404" s="101">
        <v>0</v>
      </c>
      <c r="S1404" s="105"/>
      <c r="T1404" s="101" t="s">
        <v>63</v>
      </c>
      <c r="U1404" s="177">
        <f>IF($J$1="April",Y1403,Y1403)</f>
        <v>0</v>
      </c>
      <c r="V1404" s="103"/>
      <c r="W1404" s="177">
        <f t="shared" si="253"/>
        <v>0</v>
      </c>
      <c r="X1404" s="103"/>
      <c r="Y1404" s="177">
        <f t="shared" si="254"/>
        <v>0</v>
      </c>
      <c r="Z1404" s="106"/>
    </row>
    <row r="1405" spans="1:26" s="55" customFormat="1" ht="21" customHeight="1" x14ac:dyDescent="0.25">
      <c r="A1405" s="56"/>
      <c r="B1405" s="291" t="s">
        <v>58</v>
      </c>
      <c r="C1405" s="292"/>
      <c r="D1405" s="57"/>
      <c r="E1405" s="57"/>
      <c r="F1405" s="75" t="s">
        <v>80</v>
      </c>
      <c r="G1405" s="70">
        <f>IF($J$1="January",U1401,IF($J$1="February",U1402,IF($J$1="March",U1403,IF($J$1="April",U1404,IF($J$1="May",U1405,IF($J$1="June",U1406,IF($J$1="July",U1407,IF($J$1="August",U1408,IF($J$1="August",U1408,IF($J$1="September",U1409,IF($J$1="October",U1410,IF($J$1="November",U1411,IF($J$1="December",U1412)))))))))))))</f>
        <v>0</v>
      </c>
      <c r="H1405" s="74"/>
      <c r="I1405" s="76">
        <v>4</v>
      </c>
      <c r="J1405" s="77" t="s">
        <v>77</v>
      </c>
      <c r="K1405" s="78">
        <f>K1401/$K$2*I1405</f>
        <v>2400</v>
      </c>
      <c r="L1405" s="79"/>
      <c r="M1405" s="57"/>
      <c r="N1405" s="100"/>
      <c r="O1405" s="101" t="s">
        <v>64</v>
      </c>
      <c r="P1405" s="101">
        <v>23</v>
      </c>
      <c r="Q1405" s="101">
        <v>8</v>
      </c>
      <c r="R1405" s="101">
        <v>0</v>
      </c>
      <c r="S1405" s="105"/>
      <c r="T1405" s="101" t="s">
        <v>64</v>
      </c>
      <c r="U1405" s="177">
        <f>IF($J$1="May",Y1404,Y1404)</f>
        <v>0</v>
      </c>
      <c r="V1405" s="103"/>
      <c r="W1405" s="177">
        <f t="shared" si="253"/>
        <v>0</v>
      </c>
      <c r="X1405" s="103"/>
      <c r="Y1405" s="177">
        <f t="shared" si="254"/>
        <v>0</v>
      </c>
      <c r="Z1405" s="106"/>
    </row>
    <row r="1406" spans="1:26" s="55" customFormat="1" ht="21" customHeight="1" x14ac:dyDescent="0.25">
      <c r="A1406" s="56"/>
      <c r="B1406" s="66"/>
      <c r="C1406" s="66"/>
      <c r="D1406" s="57"/>
      <c r="E1406" s="57"/>
      <c r="F1406" s="75" t="s">
        <v>29</v>
      </c>
      <c r="G1406" s="70">
        <f>IF($J$1="January",V1401,IF($J$1="February",V1402,IF($J$1="March",V1403,IF($J$1="April",V1404,IF($J$1="May",V1405,IF($J$1="June",V1406,IF($J$1="July",V1407,IF($J$1="August",V1408,IF($J$1="August",V1408,IF($J$1="September",V1409,IF($J$1="October",V1410,IF($J$1="November",V1411,IF($J$1="December",V1412)))))))))))))</f>
        <v>0</v>
      </c>
      <c r="H1406" s="74"/>
      <c r="I1406" s="120"/>
      <c r="J1406" s="77" t="s">
        <v>78</v>
      </c>
      <c r="K1406" s="80">
        <f>K1401/$K$2/8*I1406</f>
        <v>0</v>
      </c>
      <c r="L1406" s="81"/>
      <c r="M1406" s="57"/>
      <c r="N1406" s="100"/>
      <c r="O1406" s="101" t="s">
        <v>65</v>
      </c>
      <c r="P1406" s="101"/>
      <c r="Q1406" s="101"/>
      <c r="R1406" s="101">
        <v>0</v>
      </c>
      <c r="S1406" s="105"/>
      <c r="T1406" s="101" t="s">
        <v>65</v>
      </c>
      <c r="U1406" s="177">
        <f>IF($J$1="May",Y1405,Y1405)</f>
        <v>0</v>
      </c>
      <c r="V1406" s="103"/>
      <c r="W1406" s="177">
        <f t="shared" si="253"/>
        <v>0</v>
      </c>
      <c r="X1406" s="103"/>
      <c r="Y1406" s="177">
        <f t="shared" si="254"/>
        <v>0</v>
      </c>
      <c r="Z1406" s="106"/>
    </row>
    <row r="1407" spans="1:26" s="55" customFormat="1" ht="21" customHeight="1" x14ac:dyDescent="0.25">
      <c r="A1407" s="56"/>
      <c r="B1407" s="75" t="s">
        <v>7</v>
      </c>
      <c r="C1407" s="66">
        <f>IF($J$1="January",P1401,IF($J$1="February",P1402,IF($J$1="March",P1403,IF($J$1="April",P1404,IF($J$1="May",P1405,IF($J$1="June",P1406,IF($J$1="July",P1407,IF($J$1="August",P1408,IF($J$1="August",P1408,IF($J$1="September",P1409,IF($J$1="October",P1410,IF($J$1="November",P1411,IF($J$1="December",P1412)))))))))))))</f>
        <v>0</v>
      </c>
      <c r="D1407" s="57"/>
      <c r="E1407" s="57"/>
      <c r="F1407" s="75" t="s">
        <v>81</v>
      </c>
      <c r="G1407" s="70">
        <f>IF($J$1="January",W1401,IF($J$1="February",W1402,IF($J$1="March",W1403,IF($J$1="April",W1404,IF($J$1="May",W1405,IF($J$1="June",W1406,IF($J$1="July",W1407,IF($J$1="August",W1408,IF($J$1="August",W1408,IF($J$1="September",W1409,IF($J$1="October",W1410,IF($J$1="November",W1411,IF($J$1="December",W1412)))))))))))))</f>
        <v>0</v>
      </c>
      <c r="H1407" s="74"/>
      <c r="I1407" s="293" t="s">
        <v>85</v>
      </c>
      <c r="J1407" s="294"/>
      <c r="K1407" s="80">
        <f>K1405+K1406</f>
        <v>2400</v>
      </c>
      <c r="L1407" s="81"/>
      <c r="M1407" s="57"/>
      <c r="N1407" s="100"/>
      <c r="O1407" s="101" t="s">
        <v>66</v>
      </c>
      <c r="P1407" s="101"/>
      <c r="Q1407" s="101"/>
      <c r="R1407" s="101">
        <v>0</v>
      </c>
      <c r="S1407" s="105"/>
      <c r="T1407" s="101" t="s">
        <v>66</v>
      </c>
      <c r="U1407" s="177" t="str">
        <f>IF($J$1="July",Y1406,"")</f>
        <v/>
      </c>
      <c r="V1407" s="103"/>
      <c r="W1407" s="177" t="str">
        <f t="shared" si="253"/>
        <v/>
      </c>
      <c r="X1407" s="103"/>
      <c r="Y1407" s="177" t="str">
        <f t="shared" si="254"/>
        <v/>
      </c>
      <c r="Z1407" s="106"/>
    </row>
    <row r="1408" spans="1:26" s="55" customFormat="1" ht="21" customHeight="1" x14ac:dyDescent="0.25">
      <c r="A1408" s="56"/>
      <c r="B1408" s="75" t="s">
        <v>6</v>
      </c>
      <c r="C1408" s="66">
        <f>IF($J$1="January",Q1401,IF($J$1="February",Q1402,IF($J$1="March",Q1403,IF($J$1="April",Q1404,IF($J$1="May",Q1405,IF($J$1="June",Q1406,IF($J$1="July",Q1407,IF($J$1="August",Q1408,IF($J$1="August",Q1408,IF($J$1="September",Q1409,IF($J$1="October",Q1410,IF($J$1="November",Q1411,IF($J$1="December",Q1412)))))))))))))</f>
        <v>0</v>
      </c>
      <c r="D1408" s="57"/>
      <c r="E1408" s="57"/>
      <c r="F1408" s="75" t="s">
        <v>30</v>
      </c>
      <c r="G1408" s="70">
        <f>IF($J$1="January",X1401,IF($J$1="February",X1402,IF($J$1="March",X1403,IF($J$1="April",X1404,IF($J$1="May",X1405,IF($J$1="June",X1406,IF($J$1="July",X1407,IF($J$1="August",X1408,IF($J$1="August",X1408,IF($J$1="September",X1409,IF($J$1="October",X1410,IF($J$1="November",X1411,IF($J$1="December",X1412)))))))))))))</f>
        <v>0</v>
      </c>
      <c r="H1408" s="74"/>
      <c r="I1408" s="293" t="s">
        <v>86</v>
      </c>
      <c r="J1408" s="294"/>
      <c r="K1408" s="70">
        <f>G1408</f>
        <v>0</v>
      </c>
      <c r="L1408" s="82"/>
      <c r="M1408" s="57"/>
      <c r="N1408" s="100"/>
      <c r="O1408" s="101" t="s">
        <v>67</v>
      </c>
      <c r="P1408" s="101"/>
      <c r="Q1408" s="101"/>
      <c r="R1408" s="101">
        <v>0</v>
      </c>
      <c r="S1408" s="105"/>
      <c r="T1408" s="101" t="s">
        <v>67</v>
      </c>
      <c r="U1408" s="177" t="str">
        <f>IF($J$1="September",Y1407,"")</f>
        <v/>
      </c>
      <c r="V1408" s="103"/>
      <c r="W1408" s="177" t="str">
        <f t="shared" si="253"/>
        <v/>
      </c>
      <c r="X1408" s="103"/>
      <c r="Y1408" s="177" t="str">
        <f t="shared" si="254"/>
        <v/>
      </c>
      <c r="Z1408" s="106"/>
    </row>
    <row r="1409" spans="1:26" s="55" customFormat="1" ht="21" customHeight="1" x14ac:dyDescent="0.25">
      <c r="A1409" s="56"/>
      <c r="B1409" s="83" t="s">
        <v>84</v>
      </c>
      <c r="C1409" s="66">
        <f>IF($J$1="January",R1401,IF($J$1="February",R1402,IF($J$1="March",R1403,IF($J$1="April",R1404,IF($J$1="May",R1405,IF($J$1="June",R1406,IF($J$1="July",R1407,IF($J$1="August",R1408,IF($J$1="August",R1408,IF($J$1="September",R1409,IF($J$1="October",R1410,IF($J$1="November",R1411,IF($J$1="December",R1412)))))))))))))</f>
        <v>0</v>
      </c>
      <c r="D1409" s="57"/>
      <c r="E1409" s="57"/>
      <c r="F1409" s="75" t="s">
        <v>83</v>
      </c>
      <c r="G1409" s="70">
        <f>IF($J$1="January",Y1401,IF($J$1="February",Y1402,IF($J$1="March",Y1403,IF($J$1="April",Y1404,IF($J$1="May",Y1405,IF($J$1="June",Y1406,IF($J$1="July",Y1407,IF($J$1="August",Y1408,IF($J$1="August",Y1408,IF($J$1="September",Y1409,IF($J$1="October",Y1410,IF($J$1="November",Y1411,IF($J$1="December",Y1412)))))))))))))</f>
        <v>0</v>
      </c>
      <c r="H1409" s="57"/>
      <c r="I1409" s="295" t="s">
        <v>79</v>
      </c>
      <c r="J1409" s="296"/>
      <c r="K1409" s="84">
        <f>K1407-K1408</f>
        <v>2400</v>
      </c>
      <c r="L1409" s="85"/>
      <c r="M1409" s="57"/>
      <c r="N1409" s="100"/>
      <c r="O1409" s="101" t="s">
        <v>72</v>
      </c>
      <c r="P1409" s="101"/>
      <c r="Q1409" s="101"/>
      <c r="R1409" s="101">
        <v>0</v>
      </c>
      <c r="S1409" s="105"/>
      <c r="T1409" s="101" t="s">
        <v>72</v>
      </c>
      <c r="U1409" s="177" t="str">
        <f>IF($J$1="September",Y1408,"")</f>
        <v/>
      </c>
      <c r="V1409" s="103"/>
      <c r="W1409" s="177" t="str">
        <f t="shared" si="253"/>
        <v/>
      </c>
      <c r="X1409" s="103"/>
      <c r="Y1409" s="177" t="str">
        <f t="shared" si="254"/>
        <v/>
      </c>
      <c r="Z1409" s="106"/>
    </row>
    <row r="1410" spans="1:26" s="55" customFormat="1" ht="21" customHeight="1" x14ac:dyDescent="0.25">
      <c r="A1410" s="56"/>
      <c r="B1410" s="57"/>
      <c r="C1410" s="57"/>
      <c r="D1410" s="57"/>
      <c r="E1410" s="57"/>
      <c r="F1410" s="57"/>
      <c r="G1410" s="57"/>
      <c r="H1410" s="57"/>
      <c r="I1410" s="57"/>
      <c r="J1410" s="57"/>
      <c r="K1410" s="57"/>
      <c r="L1410" s="73"/>
      <c r="M1410" s="57"/>
      <c r="N1410" s="100"/>
      <c r="O1410" s="101" t="s">
        <v>68</v>
      </c>
      <c r="P1410" s="101"/>
      <c r="Q1410" s="101"/>
      <c r="R1410" s="101" t="str">
        <f>IF(Q1410="","",R1409-Q1410)</f>
        <v/>
      </c>
      <c r="S1410" s="105"/>
      <c r="T1410" s="101" t="s">
        <v>68</v>
      </c>
      <c r="U1410" s="177" t="str">
        <f>IF($J$1="October",Y1409,"")</f>
        <v/>
      </c>
      <c r="V1410" s="103"/>
      <c r="W1410" s="177" t="str">
        <f t="shared" si="253"/>
        <v/>
      </c>
      <c r="X1410" s="103"/>
      <c r="Y1410" s="177" t="str">
        <f t="shared" si="254"/>
        <v/>
      </c>
      <c r="Z1410" s="106"/>
    </row>
    <row r="1411" spans="1:26" s="55" customFormat="1" ht="21" customHeight="1" x14ac:dyDescent="0.25">
      <c r="A1411" s="56"/>
      <c r="B1411" s="284" t="s">
        <v>116</v>
      </c>
      <c r="C1411" s="284"/>
      <c r="D1411" s="284"/>
      <c r="E1411" s="284"/>
      <c r="F1411" s="284"/>
      <c r="G1411" s="284"/>
      <c r="H1411" s="284"/>
      <c r="I1411" s="284"/>
      <c r="J1411" s="284"/>
      <c r="K1411" s="284"/>
      <c r="L1411" s="73"/>
      <c r="M1411" s="57"/>
      <c r="N1411" s="100"/>
      <c r="O1411" s="101" t="s">
        <v>73</v>
      </c>
      <c r="P1411" s="101"/>
      <c r="Q1411" s="101"/>
      <c r="R1411" s="101" t="str">
        <f>IF(Q1411="","",R1410-Q1411)</f>
        <v/>
      </c>
      <c r="S1411" s="105"/>
      <c r="T1411" s="101" t="s">
        <v>73</v>
      </c>
      <c r="U1411" s="177" t="str">
        <f>IF($J$1="November",Y1410,"")</f>
        <v/>
      </c>
      <c r="V1411" s="103"/>
      <c r="W1411" s="177" t="str">
        <f t="shared" si="253"/>
        <v/>
      </c>
      <c r="X1411" s="103"/>
      <c r="Y1411" s="177" t="str">
        <f t="shared" si="254"/>
        <v/>
      </c>
      <c r="Z1411" s="106"/>
    </row>
    <row r="1412" spans="1:26" s="55" customFormat="1" ht="21" customHeight="1" x14ac:dyDescent="0.25">
      <c r="A1412" s="56"/>
      <c r="B1412" s="284"/>
      <c r="C1412" s="284"/>
      <c r="D1412" s="284"/>
      <c r="E1412" s="284"/>
      <c r="F1412" s="284"/>
      <c r="G1412" s="284"/>
      <c r="H1412" s="284"/>
      <c r="I1412" s="284"/>
      <c r="J1412" s="284"/>
      <c r="K1412" s="284"/>
      <c r="L1412" s="73"/>
      <c r="M1412" s="57"/>
      <c r="N1412" s="100"/>
      <c r="O1412" s="101" t="s">
        <v>74</v>
      </c>
      <c r="P1412" s="101"/>
      <c r="Q1412" s="101"/>
      <c r="R1412" s="101" t="str">
        <f>IF(Q1412="","",R1411-Q1412)</f>
        <v/>
      </c>
      <c r="S1412" s="105"/>
      <c r="T1412" s="101" t="s">
        <v>74</v>
      </c>
      <c r="U1412" s="177" t="str">
        <f>IF($J$1="Dec",Y1411,"")</f>
        <v/>
      </c>
      <c r="V1412" s="103"/>
      <c r="W1412" s="177" t="str">
        <f t="shared" si="253"/>
        <v/>
      </c>
      <c r="X1412" s="103"/>
      <c r="Y1412" s="177" t="str">
        <f t="shared" si="254"/>
        <v/>
      </c>
      <c r="Z1412" s="106"/>
    </row>
    <row r="1413" spans="1:26" s="55" customFormat="1" ht="21" customHeight="1" thickBot="1" x14ac:dyDescent="0.3">
      <c r="A1413" s="86"/>
      <c r="B1413" s="87"/>
      <c r="C1413" s="87"/>
      <c r="D1413" s="87"/>
      <c r="E1413" s="87"/>
      <c r="F1413" s="87"/>
      <c r="G1413" s="87"/>
      <c r="H1413" s="87"/>
      <c r="I1413" s="87"/>
      <c r="J1413" s="87"/>
      <c r="K1413" s="87"/>
      <c r="L1413" s="88"/>
      <c r="N1413" s="107"/>
      <c r="O1413" s="108"/>
      <c r="P1413" s="108"/>
      <c r="Q1413" s="108"/>
      <c r="R1413" s="108"/>
      <c r="S1413" s="108"/>
      <c r="T1413" s="108"/>
      <c r="U1413" s="108"/>
      <c r="V1413" s="108"/>
      <c r="W1413" s="108"/>
      <c r="X1413" s="108"/>
      <c r="Y1413" s="108"/>
      <c r="Z1413" s="109"/>
    </row>
    <row r="1414" spans="1:26" ht="15" thickBot="1" x14ac:dyDescent="0.35"/>
    <row r="1415" spans="1:26" s="55" customFormat="1" ht="21" customHeight="1" x14ac:dyDescent="0.25">
      <c r="A1415" s="329" t="s">
        <v>56</v>
      </c>
      <c r="B1415" s="330"/>
      <c r="C1415" s="330"/>
      <c r="D1415" s="330"/>
      <c r="E1415" s="330"/>
      <c r="F1415" s="330"/>
      <c r="G1415" s="330"/>
      <c r="H1415" s="330"/>
      <c r="I1415" s="330"/>
      <c r="J1415" s="330"/>
      <c r="K1415" s="330"/>
      <c r="L1415" s="331"/>
      <c r="M1415" s="204"/>
      <c r="N1415" s="93"/>
      <c r="O1415" s="285" t="s">
        <v>58</v>
      </c>
      <c r="P1415" s="286"/>
      <c r="Q1415" s="286"/>
      <c r="R1415" s="287"/>
      <c r="S1415" s="94"/>
      <c r="T1415" s="285" t="s">
        <v>59</v>
      </c>
      <c r="U1415" s="286"/>
      <c r="V1415" s="286"/>
      <c r="W1415" s="286"/>
      <c r="X1415" s="286"/>
      <c r="Y1415" s="287"/>
      <c r="Z1415" s="95"/>
    </row>
    <row r="1416" spans="1:26" s="55" customFormat="1" ht="21" customHeight="1" x14ac:dyDescent="0.25">
      <c r="A1416" s="56"/>
      <c r="B1416" s="57"/>
      <c r="C1416" s="288" t="s">
        <v>114</v>
      </c>
      <c r="D1416" s="288"/>
      <c r="E1416" s="288"/>
      <c r="F1416" s="288"/>
      <c r="G1416" s="58" t="str">
        <f>$J$1</f>
        <v>June</v>
      </c>
      <c r="H1416" s="289">
        <f>$K$1</f>
        <v>2019</v>
      </c>
      <c r="I1416" s="289"/>
      <c r="J1416" s="57"/>
      <c r="K1416" s="59"/>
      <c r="L1416" s="60"/>
      <c r="M1416" s="59"/>
      <c r="N1416" s="96"/>
      <c r="O1416" s="97" t="s">
        <v>69</v>
      </c>
      <c r="P1416" s="97" t="s">
        <v>7</v>
      </c>
      <c r="Q1416" s="97" t="s">
        <v>6</v>
      </c>
      <c r="R1416" s="97" t="s">
        <v>70</v>
      </c>
      <c r="S1416" s="98"/>
      <c r="T1416" s="97" t="s">
        <v>69</v>
      </c>
      <c r="U1416" s="97" t="s">
        <v>71</v>
      </c>
      <c r="V1416" s="97" t="s">
        <v>29</v>
      </c>
      <c r="W1416" s="97" t="s">
        <v>28</v>
      </c>
      <c r="X1416" s="97" t="s">
        <v>30</v>
      </c>
      <c r="Y1416" s="97" t="s">
        <v>75</v>
      </c>
      <c r="Z1416" s="99"/>
    </row>
    <row r="1417" spans="1:26" s="55" customFormat="1" ht="21" customHeight="1" x14ac:dyDescent="0.25">
      <c r="A1417" s="56"/>
      <c r="B1417" s="57"/>
      <c r="C1417" s="57"/>
      <c r="D1417" s="62"/>
      <c r="E1417" s="62"/>
      <c r="F1417" s="62"/>
      <c r="G1417" s="62"/>
      <c r="H1417" s="62"/>
      <c r="I1417" s="57"/>
      <c r="J1417" s="63" t="s">
        <v>1</v>
      </c>
      <c r="K1417" s="64">
        <v>15000</v>
      </c>
      <c r="L1417" s="65"/>
      <c r="M1417" s="57"/>
      <c r="N1417" s="100"/>
      <c r="O1417" s="101" t="s">
        <v>61</v>
      </c>
      <c r="P1417" s="101"/>
      <c r="Q1417" s="101"/>
      <c r="R1417" s="101">
        <v>0</v>
      </c>
      <c r="S1417" s="102"/>
      <c r="T1417" s="101" t="s">
        <v>61</v>
      </c>
      <c r="U1417" s="103"/>
      <c r="V1417" s="103"/>
      <c r="W1417" s="103">
        <f>V1417+U1417</f>
        <v>0</v>
      </c>
      <c r="X1417" s="103"/>
      <c r="Y1417" s="103">
        <f>W1417-X1417</f>
        <v>0</v>
      </c>
      <c r="Z1417" s="99"/>
    </row>
    <row r="1418" spans="1:26" s="55" customFormat="1" ht="21" customHeight="1" x14ac:dyDescent="0.25">
      <c r="A1418" s="56"/>
      <c r="B1418" s="57" t="s">
        <v>0</v>
      </c>
      <c r="C1418" s="112" t="s">
        <v>187</v>
      </c>
      <c r="D1418" s="57"/>
      <c r="E1418" s="57"/>
      <c r="F1418" s="57"/>
      <c r="G1418" s="57"/>
      <c r="H1418" s="68"/>
      <c r="I1418" s="62"/>
      <c r="J1418" s="57"/>
      <c r="K1418" s="57"/>
      <c r="L1418" s="69"/>
      <c r="M1418" s="204"/>
      <c r="N1418" s="104"/>
      <c r="O1418" s="101" t="s">
        <v>87</v>
      </c>
      <c r="P1418" s="101"/>
      <c r="Q1418" s="101"/>
      <c r="R1418" s="101">
        <v>0</v>
      </c>
      <c r="S1418" s="105"/>
      <c r="T1418" s="101" t="s">
        <v>87</v>
      </c>
      <c r="U1418" s="177">
        <f>Y1417</f>
        <v>0</v>
      </c>
      <c r="V1418" s="103"/>
      <c r="W1418" s="177">
        <f>IF(U1418="","",U1418+V1418)</f>
        <v>0</v>
      </c>
      <c r="X1418" s="103"/>
      <c r="Y1418" s="177">
        <f>IF(W1418="","",W1418-X1418)</f>
        <v>0</v>
      </c>
      <c r="Z1418" s="106"/>
    </row>
    <row r="1419" spans="1:26" s="55" customFormat="1" ht="21" customHeight="1" x14ac:dyDescent="0.25">
      <c r="A1419" s="56"/>
      <c r="B1419" s="71" t="s">
        <v>57</v>
      </c>
      <c r="C1419" s="211"/>
      <c r="D1419" s="57"/>
      <c r="E1419" s="57"/>
      <c r="F1419" s="290" t="s">
        <v>59</v>
      </c>
      <c r="G1419" s="290"/>
      <c r="H1419" s="57"/>
      <c r="I1419" s="290" t="s">
        <v>60</v>
      </c>
      <c r="J1419" s="290"/>
      <c r="K1419" s="290"/>
      <c r="L1419" s="73"/>
      <c r="M1419" s="57"/>
      <c r="N1419" s="100"/>
      <c r="O1419" s="101" t="s">
        <v>62</v>
      </c>
      <c r="P1419" s="101"/>
      <c r="Q1419" s="101"/>
      <c r="R1419" s="101">
        <v>0</v>
      </c>
      <c r="S1419" s="105"/>
      <c r="T1419" s="101" t="s">
        <v>62</v>
      </c>
      <c r="U1419" s="177">
        <f>IF($J$1="April",Y1418,Y1418)</f>
        <v>0</v>
      </c>
      <c r="V1419" s="103"/>
      <c r="W1419" s="177">
        <f t="shared" ref="W1419:W1428" si="255">IF(U1419="","",U1419+V1419)</f>
        <v>0</v>
      </c>
      <c r="X1419" s="103"/>
      <c r="Y1419" s="177">
        <f t="shared" ref="Y1419:Y1428" si="256">IF(W1419="","",W1419-X1419)</f>
        <v>0</v>
      </c>
      <c r="Z1419" s="106"/>
    </row>
    <row r="1420" spans="1:26" s="55" customFormat="1" ht="21" customHeight="1" x14ac:dyDescent="0.25">
      <c r="A1420" s="56"/>
      <c r="B1420" s="57"/>
      <c r="C1420" s="57"/>
      <c r="D1420" s="57"/>
      <c r="E1420" s="57"/>
      <c r="F1420" s="57"/>
      <c r="G1420" s="57"/>
      <c r="H1420" s="74"/>
      <c r="L1420" s="61"/>
      <c r="M1420" s="57"/>
      <c r="N1420" s="100"/>
      <c r="O1420" s="101" t="s">
        <v>63</v>
      </c>
      <c r="P1420" s="101"/>
      <c r="Q1420" s="101"/>
      <c r="R1420" s="101">
        <v>0</v>
      </c>
      <c r="S1420" s="105"/>
      <c r="T1420" s="101" t="s">
        <v>63</v>
      </c>
      <c r="U1420" s="177">
        <f>IF($J$1="April",Y1419,Y1419)</f>
        <v>0</v>
      </c>
      <c r="V1420" s="103"/>
      <c r="W1420" s="177">
        <f t="shared" si="255"/>
        <v>0</v>
      </c>
      <c r="X1420" s="103"/>
      <c r="Y1420" s="177">
        <f t="shared" si="256"/>
        <v>0</v>
      </c>
      <c r="Z1420" s="106"/>
    </row>
    <row r="1421" spans="1:26" s="55" customFormat="1" ht="21" customHeight="1" x14ac:dyDescent="0.25">
      <c r="A1421" s="56"/>
      <c r="B1421" s="291" t="s">
        <v>58</v>
      </c>
      <c r="C1421" s="292"/>
      <c r="D1421" s="57"/>
      <c r="E1421" s="57"/>
      <c r="F1421" s="75" t="s">
        <v>80</v>
      </c>
      <c r="G1421" s="70">
        <f>IF($J$1="January",U1417,IF($J$1="February",U1418,IF($J$1="March",U1419,IF($J$1="April",U1420,IF($J$1="May",U1421,IF($J$1="June",U1422,IF($J$1="July",U1423,IF($J$1="August",U1424,IF($J$1="August",U1424,IF($J$1="September",U1425,IF($J$1="October",U1426,IF($J$1="November",U1427,IF($J$1="December",U1428)))))))))))))</f>
        <v>0</v>
      </c>
      <c r="H1421" s="74"/>
      <c r="I1421" s="76">
        <f>IF(C1425&gt;0,$K$2,C1423)</f>
        <v>29</v>
      </c>
      <c r="J1421" s="77" t="s">
        <v>77</v>
      </c>
      <c r="K1421" s="78">
        <f>K1417/$K$2*I1421</f>
        <v>14500</v>
      </c>
      <c r="L1421" s="79"/>
      <c r="M1421" s="57"/>
      <c r="N1421" s="100"/>
      <c r="O1421" s="101" t="s">
        <v>64</v>
      </c>
      <c r="P1421" s="101">
        <f>31-7</f>
        <v>24</v>
      </c>
      <c r="Q1421" s="101">
        <v>7</v>
      </c>
      <c r="R1421" s="101">
        <v>0</v>
      </c>
      <c r="S1421" s="105"/>
      <c r="T1421" s="101" t="s">
        <v>64</v>
      </c>
      <c r="U1421" s="177">
        <f>IF($J$1="May",Y1420,Y1420)</f>
        <v>0</v>
      </c>
      <c r="V1421" s="103"/>
      <c r="W1421" s="177">
        <f t="shared" si="255"/>
        <v>0</v>
      </c>
      <c r="X1421" s="103"/>
      <c r="Y1421" s="177">
        <f t="shared" si="256"/>
        <v>0</v>
      </c>
      <c r="Z1421" s="106"/>
    </row>
    <row r="1422" spans="1:26" s="55" customFormat="1" ht="21" customHeight="1" x14ac:dyDescent="0.25">
      <c r="A1422" s="56"/>
      <c r="B1422" s="66"/>
      <c r="C1422" s="66"/>
      <c r="D1422" s="57"/>
      <c r="E1422" s="57"/>
      <c r="F1422" s="75" t="s">
        <v>29</v>
      </c>
      <c r="G1422" s="70">
        <f>IF($J$1="January",V1417,IF($J$1="February",V1418,IF($J$1="March",V1419,IF($J$1="April",V1420,IF($J$1="May",V1421,IF($J$1="June",V1422,IF($J$1="July",V1423,IF($J$1="August",V1424,IF($J$1="August",V1424,IF($J$1="September",V1425,IF($J$1="October",V1426,IF($J$1="November",V1427,IF($J$1="December",V1428)))))))))))))</f>
        <v>0</v>
      </c>
      <c r="H1422" s="74"/>
      <c r="I1422" s="120"/>
      <c r="J1422" s="77" t="s">
        <v>78</v>
      </c>
      <c r="K1422" s="80">
        <f>K1417/$K$2/8*I1422</f>
        <v>0</v>
      </c>
      <c r="L1422" s="81"/>
      <c r="M1422" s="57"/>
      <c r="N1422" s="100"/>
      <c r="O1422" s="101" t="s">
        <v>65</v>
      </c>
      <c r="P1422" s="101">
        <v>29</v>
      </c>
      <c r="Q1422" s="101">
        <v>1</v>
      </c>
      <c r="R1422" s="101">
        <v>0</v>
      </c>
      <c r="S1422" s="105"/>
      <c r="T1422" s="101" t="s">
        <v>65</v>
      </c>
      <c r="U1422" s="177">
        <f>IF($J$1="May",Y1421,Y1421)</f>
        <v>0</v>
      </c>
      <c r="V1422" s="103"/>
      <c r="W1422" s="177">
        <f t="shared" si="255"/>
        <v>0</v>
      </c>
      <c r="X1422" s="103"/>
      <c r="Y1422" s="177">
        <f t="shared" si="256"/>
        <v>0</v>
      </c>
      <c r="Z1422" s="106"/>
    </row>
    <row r="1423" spans="1:26" s="55" customFormat="1" ht="21" customHeight="1" x14ac:dyDescent="0.25">
      <c r="A1423" s="56"/>
      <c r="B1423" s="75" t="s">
        <v>7</v>
      </c>
      <c r="C1423" s="66">
        <f>IF($J$1="January",P1417,IF($J$1="February",P1418,IF($J$1="March",P1419,IF($J$1="April",P1420,IF($J$1="May",P1421,IF($J$1="June",P1422,IF($J$1="July",P1423,IF($J$1="August",P1424,IF($J$1="August",P1424,IF($J$1="September",P1425,IF($J$1="October",P1426,IF($J$1="November",P1427,IF($J$1="December",P1428)))))))))))))</f>
        <v>29</v>
      </c>
      <c r="D1423" s="57"/>
      <c r="E1423" s="57"/>
      <c r="F1423" s="75" t="s">
        <v>81</v>
      </c>
      <c r="G1423" s="70">
        <f>IF($J$1="January",W1417,IF($J$1="February",W1418,IF($J$1="March",W1419,IF($J$1="April",W1420,IF($J$1="May",W1421,IF($J$1="June",W1422,IF($J$1="July",W1423,IF($J$1="August",W1424,IF($J$1="August",W1424,IF($J$1="September",W1425,IF($J$1="October",W1426,IF($J$1="November",W1427,IF($J$1="December",W1428)))))))))))))</f>
        <v>0</v>
      </c>
      <c r="H1423" s="74"/>
      <c r="I1423" s="293" t="s">
        <v>85</v>
      </c>
      <c r="J1423" s="294"/>
      <c r="K1423" s="80">
        <f>K1421+K1422</f>
        <v>14500</v>
      </c>
      <c r="L1423" s="81"/>
      <c r="M1423" s="57"/>
      <c r="N1423" s="100"/>
      <c r="O1423" s="101" t="s">
        <v>66</v>
      </c>
      <c r="P1423" s="101"/>
      <c r="Q1423" s="101"/>
      <c r="R1423" s="101">
        <v>0</v>
      </c>
      <c r="S1423" s="105"/>
      <c r="T1423" s="101" t="s">
        <v>66</v>
      </c>
      <c r="U1423" s="177" t="str">
        <f>IF($J$1="July",Y1422,"")</f>
        <v/>
      </c>
      <c r="V1423" s="103"/>
      <c r="W1423" s="177" t="str">
        <f t="shared" si="255"/>
        <v/>
      </c>
      <c r="X1423" s="103"/>
      <c r="Y1423" s="177" t="str">
        <f t="shared" si="256"/>
        <v/>
      </c>
      <c r="Z1423" s="106"/>
    </row>
    <row r="1424" spans="1:26" s="55" customFormat="1" ht="21" customHeight="1" x14ac:dyDescent="0.25">
      <c r="A1424" s="56"/>
      <c r="B1424" s="75" t="s">
        <v>6</v>
      </c>
      <c r="C1424" s="66">
        <f>IF($J$1="January",Q1417,IF($J$1="February",Q1418,IF($J$1="March",Q1419,IF($J$1="April",Q1420,IF($J$1="May",Q1421,IF($J$1="June",Q1422,IF($J$1="July",Q1423,IF($J$1="August",Q1424,IF($J$1="August",Q1424,IF($J$1="September",Q1425,IF($J$1="October",Q1426,IF($J$1="November",Q1427,IF($J$1="December",Q1428)))))))))))))</f>
        <v>1</v>
      </c>
      <c r="D1424" s="57"/>
      <c r="E1424" s="57"/>
      <c r="F1424" s="75" t="s">
        <v>30</v>
      </c>
      <c r="G1424" s="70">
        <f>IF($J$1="January",X1417,IF($J$1="February",X1418,IF($J$1="March",X1419,IF($J$1="April",X1420,IF($J$1="May",X1421,IF($J$1="June",X1422,IF($J$1="July",X1423,IF($J$1="August",X1424,IF($J$1="August",X1424,IF($J$1="September",X1425,IF($J$1="October",X1426,IF($J$1="November",X1427,IF($J$1="December",X1428)))))))))))))</f>
        <v>0</v>
      </c>
      <c r="H1424" s="74"/>
      <c r="I1424" s="293" t="s">
        <v>86</v>
      </c>
      <c r="J1424" s="294"/>
      <c r="K1424" s="70">
        <f>G1424</f>
        <v>0</v>
      </c>
      <c r="L1424" s="82"/>
      <c r="M1424" s="57"/>
      <c r="N1424" s="100"/>
      <c r="O1424" s="101" t="s">
        <v>67</v>
      </c>
      <c r="P1424" s="101"/>
      <c r="Q1424" s="101"/>
      <c r="R1424" s="101">
        <v>0</v>
      </c>
      <c r="S1424" s="105"/>
      <c r="T1424" s="101" t="s">
        <v>67</v>
      </c>
      <c r="U1424" s="177" t="str">
        <f>IF($J$1="September",Y1423,"")</f>
        <v/>
      </c>
      <c r="V1424" s="103"/>
      <c r="W1424" s="177" t="str">
        <f t="shared" si="255"/>
        <v/>
      </c>
      <c r="X1424" s="103"/>
      <c r="Y1424" s="177" t="str">
        <f t="shared" si="256"/>
        <v/>
      </c>
      <c r="Z1424" s="106"/>
    </row>
    <row r="1425" spans="1:26" s="55" customFormat="1" ht="21" customHeight="1" x14ac:dyDescent="0.25">
      <c r="A1425" s="56"/>
      <c r="B1425" s="83" t="s">
        <v>84</v>
      </c>
      <c r="C1425" s="66">
        <f>IF($J$1="January",R1417,IF($J$1="February",R1418,IF($J$1="March",R1419,IF($J$1="April",R1420,IF($J$1="May",R1421,IF($J$1="June",R1422,IF($J$1="July",R1423,IF($J$1="August",R1424,IF($J$1="August",R1424,IF($J$1="September",R1425,IF($J$1="October",R1426,IF($J$1="November",R1427,IF($J$1="December",R1428)))))))))))))</f>
        <v>0</v>
      </c>
      <c r="D1425" s="57"/>
      <c r="E1425" s="57"/>
      <c r="F1425" s="75" t="s">
        <v>83</v>
      </c>
      <c r="G1425" s="70">
        <f>IF($J$1="January",Y1417,IF($J$1="February",Y1418,IF($J$1="March",Y1419,IF($J$1="April",Y1420,IF($J$1="May",Y1421,IF($J$1="June",Y1422,IF($J$1="July",Y1423,IF($J$1="August",Y1424,IF($J$1="August",Y1424,IF($J$1="September",Y1425,IF($J$1="October",Y1426,IF($J$1="November",Y1427,IF($J$1="December",Y1428)))))))))))))</f>
        <v>0</v>
      </c>
      <c r="H1425" s="57"/>
      <c r="I1425" s="295" t="s">
        <v>79</v>
      </c>
      <c r="J1425" s="296"/>
      <c r="K1425" s="84">
        <f>K1423-K1424</f>
        <v>14500</v>
      </c>
      <c r="L1425" s="85"/>
      <c r="M1425" s="57"/>
      <c r="N1425" s="100"/>
      <c r="O1425" s="101" t="s">
        <v>72</v>
      </c>
      <c r="P1425" s="101"/>
      <c r="Q1425" s="101"/>
      <c r="R1425" s="101">
        <v>0</v>
      </c>
      <c r="S1425" s="105"/>
      <c r="T1425" s="101" t="s">
        <v>72</v>
      </c>
      <c r="U1425" s="177" t="str">
        <f>IF($J$1="September",Y1424,"")</f>
        <v/>
      </c>
      <c r="V1425" s="103"/>
      <c r="W1425" s="177" t="str">
        <f t="shared" si="255"/>
        <v/>
      </c>
      <c r="X1425" s="103"/>
      <c r="Y1425" s="177" t="str">
        <f t="shared" si="256"/>
        <v/>
      </c>
      <c r="Z1425" s="106"/>
    </row>
    <row r="1426" spans="1:26" s="55" customFormat="1" ht="21" customHeight="1" x14ac:dyDescent="0.25">
      <c r="A1426" s="56"/>
      <c r="B1426" s="57"/>
      <c r="C1426" s="57"/>
      <c r="D1426" s="57"/>
      <c r="E1426" s="57"/>
      <c r="F1426" s="57"/>
      <c r="G1426" s="57"/>
      <c r="H1426" s="57"/>
      <c r="I1426" s="57"/>
      <c r="J1426" s="57"/>
      <c r="K1426" s="57"/>
      <c r="L1426" s="73"/>
      <c r="M1426" s="57"/>
      <c r="N1426" s="100"/>
      <c r="O1426" s="101" t="s">
        <v>68</v>
      </c>
      <c r="P1426" s="101"/>
      <c r="Q1426" s="101"/>
      <c r="R1426" s="101" t="str">
        <f>IF(Q1426="","",R1425-Q1426)</f>
        <v/>
      </c>
      <c r="S1426" s="105"/>
      <c r="T1426" s="101" t="s">
        <v>68</v>
      </c>
      <c r="U1426" s="177" t="str">
        <f>IF($J$1="October",Y1425,"")</f>
        <v/>
      </c>
      <c r="V1426" s="103"/>
      <c r="W1426" s="177" t="str">
        <f t="shared" si="255"/>
        <v/>
      </c>
      <c r="X1426" s="103"/>
      <c r="Y1426" s="177" t="str">
        <f t="shared" si="256"/>
        <v/>
      </c>
      <c r="Z1426" s="106"/>
    </row>
    <row r="1427" spans="1:26" s="55" customFormat="1" ht="21" customHeight="1" x14ac:dyDescent="0.25">
      <c r="A1427" s="56"/>
      <c r="B1427" s="284" t="s">
        <v>116</v>
      </c>
      <c r="C1427" s="284"/>
      <c r="D1427" s="284"/>
      <c r="E1427" s="284"/>
      <c r="F1427" s="284"/>
      <c r="G1427" s="284"/>
      <c r="H1427" s="284"/>
      <c r="I1427" s="284"/>
      <c r="J1427" s="284"/>
      <c r="K1427" s="284"/>
      <c r="L1427" s="73"/>
      <c r="M1427" s="57"/>
      <c r="N1427" s="100"/>
      <c r="O1427" s="101" t="s">
        <v>73</v>
      </c>
      <c r="P1427" s="101"/>
      <c r="Q1427" s="101"/>
      <c r="R1427" s="101">
        <v>0</v>
      </c>
      <c r="S1427" s="105"/>
      <c r="T1427" s="101" t="s">
        <v>73</v>
      </c>
      <c r="U1427" s="177" t="str">
        <f>IF($J$1="November",Y1426,"")</f>
        <v/>
      </c>
      <c r="V1427" s="103"/>
      <c r="W1427" s="177" t="str">
        <f t="shared" si="255"/>
        <v/>
      </c>
      <c r="X1427" s="103"/>
      <c r="Y1427" s="177" t="str">
        <f t="shared" si="256"/>
        <v/>
      </c>
      <c r="Z1427" s="106"/>
    </row>
    <row r="1428" spans="1:26" s="55" customFormat="1" ht="21" customHeight="1" x14ac:dyDescent="0.25">
      <c r="A1428" s="56"/>
      <c r="B1428" s="284"/>
      <c r="C1428" s="284"/>
      <c r="D1428" s="284"/>
      <c r="E1428" s="284"/>
      <c r="F1428" s="284"/>
      <c r="G1428" s="284"/>
      <c r="H1428" s="284"/>
      <c r="I1428" s="284"/>
      <c r="J1428" s="284"/>
      <c r="K1428" s="284"/>
      <c r="L1428" s="73"/>
      <c r="M1428" s="57"/>
      <c r="N1428" s="100"/>
      <c r="O1428" s="101" t="s">
        <v>74</v>
      </c>
      <c r="P1428" s="101"/>
      <c r="Q1428" s="101"/>
      <c r="R1428" s="101" t="str">
        <f>IF(Q1428="","",R1427-Q1428)</f>
        <v/>
      </c>
      <c r="S1428" s="105"/>
      <c r="T1428" s="101" t="s">
        <v>74</v>
      </c>
      <c r="U1428" s="177" t="str">
        <f>IF($J$1="Dec",Y1427,"")</f>
        <v/>
      </c>
      <c r="V1428" s="103"/>
      <c r="W1428" s="177" t="str">
        <f t="shared" si="255"/>
        <v/>
      </c>
      <c r="X1428" s="103"/>
      <c r="Y1428" s="177" t="str">
        <f t="shared" si="256"/>
        <v/>
      </c>
      <c r="Z1428" s="106"/>
    </row>
    <row r="1429" spans="1:26" s="55" customFormat="1" ht="21" customHeight="1" thickBot="1" x14ac:dyDescent="0.3">
      <c r="A1429" s="86"/>
      <c r="B1429" s="87"/>
      <c r="C1429" s="87"/>
      <c r="D1429" s="87"/>
      <c r="E1429" s="87"/>
      <c r="F1429" s="87"/>
      <c r="G1429" s="87"/>
      <c r="H1429" s="87"/>
      <c r="I1429" s="87"/>
      <c r="J1429" s="87"/>
      <c r="K1429" s="87"/>
      <c r="L1429" s="88"/>
      <c r="N1429" s="107"/>
      <c r="O1429" s="108"/>
      <c r="P1429" s="108"/>
      <c r="Q1429" s="108"/>
      <c r="R1429" s="108"/>
      <c r="S1429" s="108"/>
      <c r="T1429" s="108"/>
      <c r="U1429" s="108"/>
      <c r="V1429" s="108"/>
      <c r="W1429" s="108"/>
      <c r="X1429" s="108"/>
      <c r="Y1429" s="108"/>
      <c r="Z1429" s="109"/>
    </row>
    <row r="1430" spans="1:26" ht="15" thickBot="1" x14ac:dyDescent="0.35"/>
    <row r="1431" spans="1:26" s="55" customFormat="1" ht="21" customHeight="1" x14ac:dyDescent="0.25">
      <c r="A1431" s="297" t="s">
        <v>56</v>
      </c>
      <c r="B1431" s="298"/>
      <c r="C1431" s="298"/>
      <c r="D1431" s="298"/>
      <c r="E1431" s="298"/>
      <c r="F1431" s="298"/>
      <c r="G1431" s="298"/>
      <c r="H1431" s="298"/>
      <c r="I1431" s="298"/>
      <c r="J1431" s="298"/>
      <c r="K1431" s="298"/>
      <c r="L1431" s="299"/>
      <c r="M1431" s="204"/>
      <c r="N1431" s="93"/>
      <c r="O1431" s="285" t="s">
        <v>58</v>
      </c>
      <c r="P1431" s="286"/>
      <c r="Q1431" s="286"/>
      <c r="R1431" s="287"/>
      <c r="S1431" s="94"/>
      <c r="T1431" s="285" t="s">
        <v>59</v>
      </c>
      <c r="U1431" s="286"/>
      <c r="V1431" s="286"/>
      <c r="W1431" s="286"/>
      <c r="X1431" s="286"/>
      <c r="Y1431" s="287"/>
      <c r="Z1431" s="95"/>
    </row>
    <row r="1432" spans="1:26" s="55" customFormat="1" ht="21" customHeight="1" x14ac:dyDescent="0.25">
      <c r="A1432" s="56"/>
      <c r="B1432" s="57"/>
      <c r="C1432" s="288" t="s">
        <v>114</v>
      </c>
      <c r="D1432" s="288"/>
      <c r="E1432" s="288"/>
      <c r="F1432" s="288"/>
      <c r="G1432" s="58" t="str">
        <f>$J$1</f>
        <v>June</v>
      </c>
      <c r="H1432" s="289">
        <f>$K$1</f>
        <v>2019</v>
      </c>
      <c r="I1432" s="289"/>
      <c r="J1432" s="57"/>
      <c r="K1432" s="59"/>
      <c r="L1432" s="60"/>
      <c r="M1432" s="59"/>
      <c r="N1432" s="96"/>
      <c r="O1432" s="97" t="s">
        <v>69</v>
      </c>
      <c r="P1432" s="97" t="s">
        <v>7</v>
      </c>
      <c r="Q1432" s="97" t="s">
        <v>6</v>
      </c>
      <c r="R1432" s="97" t="s">
        <v>70</v>
      </c>
      <c r="S1432" s="98"/>
      <c r="T1432" s="97" t="s">
        <v>69</v>
      </c>
      <c r="U1432" s="97" t="s">
        <v>71</v>
      </c>
      <c r="V1432" s="97" t="s">
        <v>29</v>
      </c>
      <c r="W1432" s="97" t="s">
        <v>28</v>
      </c>
      <c r="X1432" s="97" t="s">
        <v>30</v>
      </c>
      <c r="Y1432" s="97" t="s">
        <v>75</v>
      </c>
      <c r="Z1432" s="99"/>
    </row>
    <row r="1433" spans="1:26" s="55" customFormat="1" ht="21" customHeight="1" x14ac:dyDescent="0.25">
      <c r="A1433" s="56"/>
      <c r="B1433" s="57"/>
      <c r="C1433" s="57"/>
      <c r="D1433" s="62"/>
      <c r="E1433" s="62"/>
      <c r="F1433" s="62"/>
      <c r="G1433" s="62"/>
      <c r="H1433" s="62"/>
      <c r="I1433" s="57"/>
      <c r="J1433" s="63" t="s">
        <v>1</v>
      </c>
      <c r="K1433" s="64">
        <v>25000</v>
      </c>
      <c r="L1433" s="65"/>
      <c r="M1433" s="57"/>
      <c r="N1433" s="100"/>
      <c r="O1433" s="101" t="s">
        <v>61</v>
      </c>
      <c r="P1433" s="101"/>
      <c r="Q1433" s="101"/>
      <c r="R1433" s="101">
        <v>0</v>
      </c>
      <c r="S1433" s="102"/>
      <c r="T1433" s="101" t="s">
        <v>61</v>
      </c>
      <c r="U1433" s="103"/>
      <c r="V1433" s="103"/>
      <c r="W1433" s="103">
        <f>V1433+U1433</f>
        <v>0</v>
      </c>
      <c r="X1433" s="103"/>
      <c r="Y1433" s="103">
        <f>W1433-X1433</f>
        <v>0</v>
      </c>
      <c r="Z1433" s="99"/>
    </row>
    <row r="1434" spans="1:26" s="55" customFormat="1" ht="21" customHeight="1" x14ac:dyDescent="0.25">
      <c r="A1434" s="56"/>
      <c r="B1434" s="57" t="s">
        <v>0</v>
      </c>
      <c r="C1434" s="112" t="s">
        <v>188</v>
      </c>
      <c r="D1434" s="57"/>
      <c r="E1434" s="57"/>
      <c r="F1434" s="57"/>
      <c r="G1434" s="57"/>
      <c r="H1434" s="68"/>
      <c r="I1434" s="62"/>
      <c r="J1434" s="57"/>
      <c r="K1434" s="57"/>
      <c r="L1434" s="69"/>
      <c r="M1434" s="204"/>
      <c r="N1434" s="104"/>
      <c r="O1434" s="101" t="s">
        <v>87</v>
      </c>
      <c r="P1434" s="101"/>
      <c r="Q1434" s="101"/>
      <c r="R1434" s="101">
        <v>0</v>
      </c>
      <c r="S1434" s="105"/>
      <c r="T1434" s="101" t="s">
        <v>87</v>
      </c>
      <c r="U1434" s="177">
        <f>Y1433</f>
        <v>0</v>
      </c>
      <c r="V1434" s="103"/>
      <c r="W1434" s="177">
        <f>IF(U1434="","",U1434+V1434)</f>
        <v>0</v>
      </c>
      <c r="X1434" s="103"/>
      <c r="Y1434" s="177">
        <f>IF(W1434="","",W1434-X1434)</f>
        <v>0</v>
      </c>
      <c r="Z1434" s="106"/>
    </row>
    <row r="1435" spans="1:26" s="55" customFormat="1" ht="21" customHeight="1" x14ac:dyDescent="0.25">
      <c r="A1435" s="56"/>
      <c r="B1435" s="71" t="s">
        <v>57</v>
      </c>
      <c r="C1435" s="112"/>
      <c r="D1435" s="57"/>
      <c r="E1435" s="57"/>
      <c r="F1435" s="290" t="s">
        <v>59</v>
      </c>
      <c r="G1435" s="290"/>
      <c r="H1435" s="57"/>
      <c r="I1435" s="290" t="s">
        <v>60</v>
      </c>
      <c r="J1435" s="290"/>
      <c r="K1435" s="290"/>
      <c r="L1435" s="73"/>
      <c r="M1435" s="57"/>
      <c r="N1435" s="100"/>
      <c r="O1435" s="101" t="s">
        <v>62</v>
      </c>
      <c r="P1435" s="101"/>
      <c r="Q1435" s="101"/>
      <c r="R1435" s="101" t="str">
        <f>IF(Q1435="","",R1434-Q1435)</f>
        <v/>
      </c>
      <c r="S1435" s="105"/>
      <c r="T1435" s="101" t="s">
        <v>62</v>
      </c>
      <c r="U1435" s="177">
        <f>IF($J$1="April",Y1434,Y1434)</f>
        <v>0</v>
      </c>
      <c r="V1435" s="103"/>
      <c r="W1435" s="177">
        <f t="shared" ref="W1435:W1444" si="257">IF(U1435="","",U1435+V1435)</f>
        <v>0</v>
      </c>
      <c r="X1435" s="103"/>
      <c r="Y1435" s="177">
        <f t="shared" ref="Y1435:Y1444" si="258">IF(W1435="","",W1435-X1435)</f>
        <v>0</v>
      </c>
      <c r="Z1435" s="106"/>
    </row>
    <row r="1436" spans="1:26" s="55" customFormat="1" ht="21" customHeight="1" x14ac:dyDescent="0.25">
      <c r="A1436" s="56"/>
      <c r="B1436" s="57"/>
      <c r="C1436" s="57"/>
      <c r="D1436" s="57"/>
      <c r="E1436" s="57"/>
      <c r="F1436" s="57"/>
      <c r="G1436" s="57"/>
      <c r="H1436" s="74"/>
      <c r="L1436" s="61"/>
      <c r="M1436" s="57"/>
      <c r="N1436" s="100"/>
      <c r="O1436" s="101" t="s">
        <v>63</v>
      </c>
      <c r="P1436" s="101"/>
      <c r="Q1436" s="101"/>
      <c r="R1436" s="101">
        <v>0</v>
      </c>
      <c r="S1436" s="105"/>
      <c r="T1436" s="101" t="s">
        <v>63</v>
      </c>
      <c r="U1436" s="177">
        <f>IF($J$1="April",Y1435,Y1435)</f>
        <v>0</v>
      </c>
      <c r="V1436" s="103"/>
      <c r="W1436" s="177">
        <f t="shared" si="257"/>
        <v>0</v>
      </c>
      <c r="X1436" s="103"/>
      <c r="Y1436" s="177">
        <f t="shared" si="258"/>
        <v>0</v>
      </c>
      <c r="Z1436" s="106"/>
    </row>
    <row r="1437" spans="1:26" s="55" customFormat="1" ht="21" customHeight="1" x14ac:dyDescent="0.25">
      <c r="A1437" s="56"/>
      <c r="B1437" s="291" t="s">
        <v>58</v>
      </c>
      <c r="C1437" s="292"/>
      <c r="D1437" s="57"/>
      <c r="E1437" s="57"/>
      <c r="F1437" s="75" t="s">
        <v>80</v>
      </c>
      <c r="G1437" s="70">
        <f>IF($J$1="January",U1433,IF($J$1="February",U1434,IF($J$1="March",U1435,IF($J$1="April",U1436,IF($J$1="May",U1437,IF($J$1="June",U1438,IF($J$1="July",U1439,IF($J$1="August",U1440,IF($J$1="August",U1440,IF($J$1="September",U1441,IF($J$1="October",U1442,IF($J$1="November",U1443,IF($J$1="December",U1444)))))))))))))</f>
        <v>1500</v>
      </c>
      <c r="H1437" s="74"/>
      <c r="I1437" s="76">
        <v>14</v>
      </c>
      <c r="J1437" s="77" t="s">
        <v>77</v>
      </c>
      <c r="K1437" s="78">
        <f>K1433/$K$2*I1437</f>
        <v>11666.666666666668</v>
      </c>
      <c r="L1437" s="79"/>
      <c r="M1437" s="57"/>
      <c r="N1437" s="100"/>
      <c r="O1437" s="101" t="s">
        <v>64</v>
      </c>
      <c r="P1437" s="101">
        <f>31-15</f>
        <v>16</v>
      </c>
      <c r="Q1437" s="101">
        <v>15</v>
      </c>
      <c r="R1437" s="101">
        <v>0</v>
      </c>
      <c r="S1437" s="105"/>
      <c r="T1437" s="101" t="s">
        <v>64</v>
      </c>
      <c r="U1437" s="177">
        <f>IF($J$1="May",Y1436,Y1436)</f>
        <v>0</v>
      </c>
      <c r="V1437" s="103">
        <v>2000</v>
      </c>
      <c r="W1437" s="177">
        <f t="shared" si="257"/>
        <v>2000</v>
      </c>
      <c r="X1437" s="103">
        <v>500</v>
      </c>
      <c r="Y1437" s="177">
        <f t="shared" si="258"/>
        <v>1500</v>
      </c>
      <c r="Z1437" s="106"/>
    </row>
    <row r="1438" spans="1:26" s="55" customFormat="1" ht="21" customHeight="1" x14ac:dyDescent="0.25">
      <c r="A1438" s="56"/>
      <c r="B1438" s="66"/>
      <c r="C1438" s="66"/>
      <c r="D1438" s="57"/>
      <c r="E1438" s="57"/>
      <c r="F1438" s="75" t="s">
        <v>29</v>
      </c>
      <c r="G1438" s="70">
        <f>IF($J$1="January",V1433,IF($J$1="February",V1434,IF($J$1="March",V1435,IF($J$1="April",V1436,IF($J$1="May",V1437,IF($J$1="June",V1438,IF($J$1="July",V1439,IF($J$1="August",V1440,IF($J$1="August",V1440,IF($J$1="September",V1441,IF($J$1="October",V1442,IF($J$1="November",V1443,IF($J$1="December",V1444)))))))))))))</f>
        <v>0</v>
      </c>
      <c r="H1438" s="74"/>
      <c r="I1438" s="120"/>
      <c r="J1438" s="77" t="s">
        <v>78</v>
      </c>
      <c r="K1438" s="80">
        <f>K1433/$K$2/8*I1438</f>
        <v>0</v>
      </c>
      <c r="L1438" s="81"/>
      <c r="M1438" s="57"/>
      <c r="N1438" s="100"/>
      <c r="O1438" s="101" t="s">
        <v>65</v>
      </c>
      <c r="P1438" s="101">
        <v>14</v>
      </c>
      <c r="Q1438" s="101">
        <v>16</v>
      </c>
      <c r="R1438" s="101">
        <v>0</v>
      </c>
      <c r="S1438" s="105"/>
      <c r="T1438" s="101" t="s">
        <v>65</v>
      </c>
      <c r="U1438" s="177">
        <f>IF($J$1="May",Y1437,Y1437)</f>
        <v>1500</v>
      </c>
      <c r="V1438" s="103"/>
      <c r="W1438" s="177">
        <f t="shared" si="257"/>
        <v>1500</v>
      </c>
      <c r="X1438" s="103"/>
      <c r="Y1438" s="177">
        <f t="shared" si="258"/>
        <v>1500</v>
      </c>
      <c r="Z1438" s="106"/>
    </row>
    <row r="1439" spans="1:26" s="55" customFormat="1" ht="21" customHeight="1" x14ac:dyDescent="0.25">
      <c r="A1439" s="56"/>
      <c r="B1439" s="75" t="s">
        <v>7</v>
      </c>
      <c r="C1439" s="66">
        <f>IF($J$1="January",P1433,IF($J$1="February",P1434,IF($J$1="March",P1435,IF($J$1="April",P1436,IF($J$1="May",P1437,IF($J$1="June",P1438,IF($J$1="July",P1439,IF($J$1="August",P1440,IF($J$1="August",P1440,IF($J$1="September",P1441,IF($J$1="October",P1442,IF($J$1="November",P1443,IF($J$1="December",P1444)))))))))))))</f>
        <v>14</v>
      </c>
      <c r="D1439" s="57"/>
      <c r="E1439" s="57"/>
      <c r="F1439" s="75" t="s">
        <v>81</v>
      </c>
      <c r="G1439" s="70">
        <f>IF($J$1="January",W1433,IF($J$1="February",W1434,IF($J$1="March",W1435,IF($J$1="April",W1436,IF($J$1="May",W1437,IF($J$1="June",W1438,IF($J$1="July",W1439,IF($J$1="August",W1440,IF($J$1="August",W1440,IF($J$1="September",W1441,IF($J$1="October",W1442,IF($J$1="November",W1443,IF($J$1="December",W1444)))))))))))))</f>
        <v>1500</v>
      </c>
      <c r="H1439" s="74"/>
      <c r="I1439" s="293" t="s">
        <v>85</v>
      </c>
      <c r="J1439" s="294"/>
      <c r="K1439" s="80">
        <f>K1437+K1438</f>
        <v>11666.666666666668</v>
      </c>
      <c r="L1439" s="81"/>
      <c r="M1439" s="57"/>
      <c r="N1439" s="100"/>
      <c r="O1439" s="101" t="s">
        <v>66</v>
      </c>
      <c r="P1439" s="101"/>
      <c r="Q1439" s="101"/>
      <c r="R1439" s="101">
        <v>0</v>
      </c>
      <c r="S1439" s="105"/>
      <c r="T1439" s="101" t="s">
        <v>66</v>
      </c>
      <c r="U1439" s="177" t="str">
        <f>IF($J$1="July",Y1438,"")</f>
        <v/>
      </c>
      <c r="V1439" s="103"/>
      <c r="W1439" s="177" t="str">
        <f t="shared" si="257"/>
        <v/>
      </c>
      <c r="X1439" s="103"/>
      <c r="Y1439" s="177" t="str">
        <f t="shared" si="258"/>
        <v/>
      </c>
      <c r="Z1439" s="106"/>
    </row>
    <row r="1440" spans="1:26" s="55" customFormat="1" ht="21" customHeight="1" x14ac:dyDescent="0.25">
      <c r="A1440" s="56"/>
      <c r="B1440" s="75" t="s">
        <v>6</v>
      </c>
      <c r="C1440" s="66">
        <f>IF($J$1="January",Q1433,IF($J$1="February",Q1434,IF($J$1="March",Q1435,IF($J$1="April",Q1436,IF($J$1="May",Q1437,IF($J$1="June",Q1438,IF($J$1="July",Q1439,IF($J$1="August",Q1440,IF($J$1="August",Q1440,IF($J$1="September",Q1441,IF($J$1="October",Q1442,IF($J$1="November",Q1443,IF($J$1="December",Q1444)))))))))))))</f>
        <v>16</v>
      </c>
      <c r="D1440" s="57"/>
      <c r="E1440" s="57"/>
      <c r="F1440" s="75" t="s">
        <v>30</v>
      </c>
      <c r="G1440" s="70">
        <f>IF($J$1="January",X1433,IF($J$1="February",X1434,IF($J$1="March",X1435,IF($J$1="April",X1436,IF($J$1="May",X1437,IF($J$1="June",X1438,IF($J$1="July",X1439,IF($J$1="August",X1440,IF($J$1="August",X1440,IF($J$1="September",X1441,IF($J$1="October",X1442,IF($J$1="November",X1443,IF($J$1="December",X1444)))))))))))))</f>
        <v>0</v>
      </c>
      <c r="H1440" s="74"/>
      <c r="I1440" s="293" t="s">
        <v>86</v>
      </c>
      <c r="J1440" s="294"/>
      <c r="K1440" s="70">
        <f>G1440</f>
        <v>0</v>
      </c>
      <c r="L1440" s="82"/>
      <c r="M1440" s="57"/>
      <c r="N1440" s="100"/>
      <c r="O1440" s="101" t="s">
        <v>67</v>
      </c>
      <c r="P1440" s="101"/>
      <c r="Q1440" s="101"/>
      <c r="R1440" s="101">
        <v>0</v>
      </c>
      <c r="S1440" s="105"/>
      <c r="T1440" s="101" t="s">
        <v>67</v>
      </c>
      <c r="U1440" s="177" t="str">
        <f>IF($J$1="September",Y1439,"")</f>
        <v/>
      </c>
      <c r="V1440" s="103"/>
      <c r="W1440" s="177" t="str">
        <f t="shared" si="257"/>
        <v/>
      </c>
      <c r="X1440" s="103"/>
      <c r="Y1440" s="177" t="str">
        <f t="shared" si="258"/>
        <v/>
      </c>
      <c r="Z1440" s="106"/>
    </row>
    <row r="1441" spans="1:26" s="55" customFormat="1" ht="21" customHeight="1" x14ac:dyDescent="0.25">
      <c r="A1441" s="56"/>
      <c r="B1441" s="83" t="s">
        <v>84</v>
      </c>
      <c r="C1441" s="66">
        <f>IF($J$1="January",R1433,IF($J$1="February",R1434,IF($J$1="March",R1435,IF($J$1="April",R1436,IF($J$1="May",R1437,IF($J$1="June",R1438,IF($J$1="July",R1439,IF($J$1="August",R1440,IF($J$1="August",R1440,IF($J$1="September",R1441,IF($J$1="October",R1442,IF($J$1="November",R1443,IF($J$1="December",R1444)))))))))))))</f>
        <v>0</v>
      </c>
      <c r="D1441" s="57"/>
      <c r="E1441" s="57"/>
      <c r="F1441" s="75" t="s">
        <v>83</v>
      </c>
      <c r="G1441" s="70">
        <f>IF($J$1="January",Y1433,IF($J$1="February",Y1434,IF($J$1="March",Y1435,IF($J$1="April",Y1436,IF($J$1="May",Y1437,IF($J$1="June",Y1438,IF($J$1="July",Y1439,IF($J$1="August",Y1440,IF($J$1="August",Y1440,IF($J$1="September",Y1441,IF($J$1="October",Y1442,IF($J$1="November",Y1443,IF($J$1="December",Y1444)))))))))))))</f>
        <v>1500</v>
      </c>
      <c r="H1441" s="57"/>
      <c r="I1441" s="295" t="s">
        <v>79</v>
      </c>
      <c r="J1441" s="296"/>
      <c r="K1441" s="84">
        <f>K1439-K1440</f>
        <v>11666.666666666668</v>
      </c>
      <c r="L1441" s="85"/>
      <c r="M1441" s="57"/>
      <c r="N1441" s="100"/>
      <c r="O1441" s="101" t="s">
        <v>72</v>
      </c>
      <c r="P1441" s="101"/>
      <c r="Q1441" s="101"/>
      <c r="R1441" s="101">
        <v>0</v>
      </c>
      <c r="S1441" s="105"/>
      <c r="T1441" s="101" t="s">
        <v>72</v>
      </c>
      <c r="U1441" s="177" t="str">
        <f>IF($J$1="September",Y1440,"")</f>
        <v/>
      </c>
      <c r="V1441" s="103"/>
      <c r="W1441" s="177" t="str">
        <f t="shared" si="257"/>
        <v/>
      </c>
      <c r="X1441" s="103"/>
      <c r="Y1441" s="177" t="str">
        <f t="shared" si="258"/>
        <v/>
      </c>
      <c r="Z1441" s="106"/>
    </row>
    <row r="1442" spans="1:26" s="55" customFormat="1" ht="21" customHeight="1" x14ac:dyDescent="0.25">
      <c r="A1442" s="56"/>
      <c r="B1442" s="57"/>
      <c r="C1442" s="57"/>
      <c r="D1442" s="57"/>
      <c r="E1442" s="57"/>
      <c r="F1442" s="57"/>
      <c r="G1442" s="57"/>
      <c r="H1442" s="57"/>
      <c r="I1442" s="57"/>
      <c r="J1442" s="57"/>
      <c r="K1442" s="57"/>
      <c r="L1442" s="73"/>
      <c r="M1442" s="57"/>
      <c r="N1442" s="100"/>
      <c r="O1442" s="101" t="s">
        <v>68</v>
      </c>
      <c r="P1442" s="101"/>
      <c r="Q1442" s="101"/>
      <c r="R1442" s="101" t="str">
        <f>IF(Q1442="","",R1441-Q1442)</f>
        <v/>
      </c>
      <c r="S1442" s="105"/>
      <c r="T1442" s="101" t="s">
        <v>68</v>
      </c>
      <c r="U1442" s="177" t="str">
        <f>IF($J$1="October",Y1441,"")</f>
        <v/>
      </c>
      <c r="V1442" s="103"/>
      <c r="W1442" s="177" t="str">
        <f t="shared" si="257"/>
        <v/>
      </c>
      <c r="X1442" s="103"/>
      <c r="Y1442" s="177" t="str">
        <f t="shared" si="258"/>
        <v/>
      </c>
      <c r="Z1442" s="106"/>
    </row>
    <row r="1443" spans="1:26" s="55" customFormat="1" ht="21" customHeight="1" x14ac:dyDescent="0.25">
      <c r="A1443" s="56"/>
      <c r="B1443" s="284" t="s">
        <v>116</v>
      </c>
      <c r="C1443" s="284"/>
      <c r="D1443" s="284"/>
      <c r="E1443" s="284"/>
      <c r="F1443" s="284"/>
      <c r="G1443" s="284"/>
      <c r="H1443" s="284"/>
      <c r="I1443" s="284"/>
      <c r="J1443" s="284"/>
      <c r="K1443" s="284"/>
      <c r="L1443" s="73"/>
      <c r="M1443" s="57"/>
      <c r="N1443" s="100"/>
      <c r="O1443" s="101" t="s">
        <v>73</v>
      </c>
      <c r="P1443" s="101"/>
      <c r="Q1443" s="101"/>
      <c r="R1443" s="101">
        <v>0</v>
      </c>
      <c r="S1443" s="105"/>
      <c r="T1443" s="101" t="s">
        <v>73</v>
      </c>
      <c r="U1443" s="177" t="str">
        <f>IF($J$1="November",Y1442,"")</f>
        <v/>
      </c>
      <c r="V1443" s="103"/>
      <c r="W1443" s="177" t="str">
        <f t="shared" si="257"/>
        <v/>
      </c>
      <c r="X1443" s="103"/>
      <c r="Y1443" s="177" t="str">
        <f t="shared" si="258"/>
        <v/>
      </c>
      <c r="Z1443" s="106"/>
    </row>
    <row r="1444" spans="1:26" s="55" customFormat="1" ht="21" customHeight="1" x14ac:dyDescent="0.25">
      <c r="A1444" s="56"/>
      <c r="B1444" s="284"/>
      <c r="C1444" s="284"/>
      <c r="D1444" s="284"/>
      <c r="E1444" s="284"/>
      <c r="F1444" s="284"/>
      <c r="G1444" s="284"/>
      <c r="H1444" s="284"/>
      <c r="I1444" s="284"/>
      <c r="J1444" s="284"/>
      <c r="K1444" s="284"/>
      <c r="L1444" s="73"/>
      <c r="M1444" s="57"/>
      <c r="N1444" s="100"/>
      <c r="O1444" s="101" t="s">
        <v>74</v>
      </c>
      <c r="P1444" s="101"/>
      <c r="Q1444" s="101"/>
      <c r="R1444" s="101">
        <v>0</v>
      </c>
      <c r="S1444" s="105"/>
      <c r="T1444" s="101" t="s">
        <v>74</v>
      </c>
      <c r="U1444" s="177" t="str">
        <f>IF($J$1="Dec",Y1443,"")</f>
        <v/>
      </c>
      <c r="V1444" s="103"/>
      <c r="W1444" s="177" t="str">
        <f t="shared" si="257"/>
        <v/>
      </c>
      <c r="X1444" s="103"/>
      <c r="Y1444" s="177" t="str">
        <f t="shared" si="258"/>
        <v/>
      </c>
      <c r="Z1444" s="106"/>
    </row>
    <row r="1445" spans="1:26" s="55" customFormat="1" ht="21" customHeight="1" thickBot="1" x14ac:dyDescent="0.3">
      <c r="A1445" s="86"/>
      <c r="B1445" s="87"/>
      <c r="C1445" s="87"/>
      <c r="D1445" s="87"/>
      <c r="E1445" s="87"/>
      <c r="F1445" s="87"/>
      <c r="G1445" s="87"/>
      <c r="H1445" s="87"/>
      <c r="I1445" s="87"/>
      <c r="J1445" s="87"/>
      <c r="K1445" s="87"/>
      <c r="L1445" s="88"/>
      <c r="N1445" s="107"/>
      <c r="O1445" s="108"/>
      <c r="P1445" s="108"/>
      <c r="Q1445" s="108"/>
      <c r="R1445" s="108"/>
      <c r="S1445" s="108"/>
      <c r="T1445" s="108"/>
      <c r="U1445" s="108"/>
      <c r="V1445" s="108"/>
      <c r="W1445" s="108"/>
      <c r="X1445" s="108"/>
      <c r="Y1445" s="108"/>
      <c r="Z1445" s="109"/>
    </row>
    <row r="1446" spans="1:26" ht="15" thickBot="1" x14ac:dyDescent="0.35"/>
    <row r="1447" spans="1:26" s="55" customFormat="1" ht="21" customHeight="1" x14ac:dyDescent="0.25">
      <c r="A1447" s="300" t="s">
        <v>56</v>
      </c>
      <c r="B1447" s="301"/>
      <c r="C1447" s="301"/>
      <c r="D1447" s="301"/>
      <c r="E1447" s="301"/>
      <c r="F1447" s="301"/>
      <c r="G1447" s="301"/>
      <c r="H1447" s="301"/>
      <c r="I1447" s="301"/>
      <c r="J1447" s="301"/>
      <c r="K1447" s="301"/>
      <c r="L1447" s="302"/>
      <c r="M1447" s="204"/>
      <c r="N1447" s="93"/>
      <c r="O1447" s="285" t="s">
        <v>58</v>
      </c>
      <c r="P1447" s="286"/>
      <c r="Q1447" s="286"/>
      <c r="R1447" s="287"/>
      <c r="S1447" s="94"/>
      <c r="T1447" s="285" t="s">
        <v>59</v>
      </c>
      <c r="U1447" s="286"/>
      <c r="V1447" s="286"/>
      <c r="W1447" s="286"/>
      <c r="X1447" s="286"/>
      <c r="Y1447" s="287"/>
      <c r="Z1447" s="95"/>
    </row>
    <row r="1448" spans="1:26" s="55" customFormat="1" ht="21" customHeight="1" x14ac:dyDescent="0.25">
      <c r="A1448" s="56"/>
      <c r="B1448" s="57"/>
      <c r="C1448" s="288" t="s">
        <v>114</v>
      </c>
      <c r="D1448" s="288"/>
      <c r="E1448" s="288"/>
      <c r="F1448" s="288"/>
      <c r="G1448" s="58" t="str">
        <f>$J$1</f>
        <v>June</v>
      </c>
      <c r="H1448" s="289">
        <f>$K$1</f>
        <v>2019</v>
      </c>
      <c r="I1448" s="289"/>
      <c r="J1448" s="57"/>
      <c r="K1448" s="59"/>
      <c r="L1448" s="60"/>
      <c r="M1448" s="59"/>
      <c r="N1448" s="96"/>
      <c r="O1448" s="97" t="s">
        <v>69</v>
      </c>
      <c r="P1448" s="97" t="s">
        <v>7</v>
      </c>
      <c r="Q1448" s="97" t="s">
        <v>6</v>
      </c>
      <c r="R1448" s="97" t="s">
        <v>70</v>
      </c>
      <c r="S1448" s="98"/>
      <c r="T1448" s="97" t="s">
        <v>69</v>
      </c>
      <c r="U1448" s="97" t="s">
        <v>71</v>
      </c>
      <c r="V1448" s="97" t="s">
        <v>29</v>
      </c>
      <c r="W1448" s="97" t="s">
        <v>28</v>
      </c>
      <c r="X1448" s="97" t="s">
        <v>30</v>
      </c>
      <c r="Y1448" s="97" t="s">
        <v>75</v>
      </c>
      <c r="Z1448" s="99"/>
    </row>
    <row r="1449" spans="1:26" s="55" customFormat="1" ht="21" customHeight="1" x14ac:dyDescent="0.25">
      <c r="A1449" s="56"/>
      <c r="B1449" s="57"/>
      <c r="C1449" s="57"/>
      <c r="D1449" s="62"/>
      <c r="E1449" s="62"/>
      <c r="F1449" s="62"/>
      <c r="G1449" s="62"/>
      <c r="H1449" s="62"/>
      <c r="I1449" s="57"/>
      <c r="J1449" s="63" t="s">
        <v>1</v>
      </c>
      <c r="K1449" s="64"/>
      <c r="L1449" s="65"/>
      <c r="M1449" s="57"/>
      <c r="N1449" s="100"/>
      <c r="O1449" s="101" t="s">
        <v>61</v>
      </c>
      <c r="P1449" s="101"/>
      <c r="Q1449" s="101"/>
      <c r="R1449" s="101">
        <v>0</v>
      </c>
      <c r="S1449" s="102"/>
      <c r="T1449" s="101" t="s">
        <v>61</v>
      </c>
      <c r="U1449" s="103"/>
      <c r="V1449" s="103"/>
      <c r="W1449" s="103">
        <f>V1449+U1449</f>
        <v>0</v>
      </c>
      <c r="X1449" s="103"/>
      <c r="Y1449" s="103">
        <f>W1449-X1449</f>
        <v>0</v>
      </c>
      <c r="Z1449" s="99"/>
    </row>
    <row r="1450" spans="1:26" s="55" customFormat="1" ht="21" customHeight="1" x14ac:dyDescent="0.25">
      <c r="A1450" s="56"/>
      <c r="B1450" s="57" t="s">
        <v>0</v>
      </c>
      <c r="C1450" s="112"/>
      <c r="D1450" s="57"/>
      <c r="E1450" s="57"/>
      <c r="F1450" s="57"/>
      <c r="G1450" s="57"/>
      <c r="H1450" s="68"/>
      <c r="I1450" s="62"/>
      <c r="J1450" s="57"/>
      <c r="K1450" s="57"/>
      <c r="L1450" s="69"/>
      <c r="M1450" s="204"/>
      <c r="N1450" s="104"/>
      <c r="O1450" s="101" t="s">
        <v>87</v>
      </c>
      <c r="P1450" s="101"/>
      <c r="Q1450" s="101"/>
      <c r="R1450" s="101">
        <v>0</v>
      </c>
      <c r="S1450" s="105"/>
      <c r="T1450" s="101" t="s">
        <v>87</v>
      </c>
      <c r="U1450" s="177">
        <f>Y1449</f>
        <v>0</v>
      </c>
      <c r="V1450" s="103"/>
      <c r="W1450" s="177">
        <f>IF(U1450="","",U1450+V1450)</f>
        <v>0</v>
      </c>
      <c r="X1450" s="103"/>
      <c r="Y1450" s="177">
        <f>IF(W1450="","",W1450-X1450)</f>
        <v>0</v>
      </c>
      <c r="Z1450" s="106"/>
    </row>
    <row r="1451" spans="1:26" s="55" customFormat="1" ht="21" customHeight="1" x14ac:dyDescent="0.25">
      <c r="A1451" s="56"/>
      <c r="B1451" s="71" t="s">
        <v>57</v>
      </c>
      <c r="C1451" s="112"/>
      <c r="D1451" s="57"/>
      <c r="E1451" s="57"/>
      <c r="F1451" s="290" t="s">
        <v>59</v>
      </c>
      <c r="G1451" s="290"/>
      <c r="H1451" s="57"/>
      <c r="I1451" s="290" t="s">
        <v>60</v>
      </c>
      <c r="J1451" s="290"/>
      <c r="K1451" s="290"/>
      <c r="L1451" s="73"/>
      <c r="M1451" s="57"/>
      <c r="N1451" s="100"/>
      <c r="O1451" s="101" t="s">
        <v>62</v>
      </c>
      <c r="P1451" s="101"/>
      <c r="Q1451" s="101"/>
      <c r="R1451" s="101">
        <v>0</v>
      </c>
      <c r="S1451" s="105"/>
      <c r="T1451" s="101" t="s">
        <v>62</v>
      </c>
      <c r="U1451" s="177">
        <f>IF($J$1="April",Y1450,Y1450)</f>
        <v>0</v>
      </c>
      <c r="V1451" s="103"/>
      <c r="W1451" s="177">
        <f t="shared" ref="W1451:W1460" si="259">IF(U1451="","",U1451+V1451)</f>
        <v>0</v>
      </c>
      <c r="X1451" s="103"/>
      <c r="Y1451" s="177">
        <f t="shared" ref="Y1451:Y1460" si="260">IF(W1451="","",W1451-X1451)</f>
        <v>0</v>
      </c>
      <c r="Z1451" s="106"/>
    </row>
    <row r="1452" spans="1:26" s="55" customFormat="1" ht="21" customHeight="1" x14ac:dyDescent="0.25">
      <c r="A1452" s="56"/>
      <c r="B1452" s="57"/>
      <c r="C1452" s="57"/>
      <c r="D1452" s="57"/>
      <c r="E1452" s="57"/>
      <c r="F1452" s="57"/>
      <c r="G1452" s="57"/>
      <c r="H1452" s="74"/>
      <c r="L1452" s="61"/>
      <c r="M1452" s="57"/>
      <c r="N1452" s="100"/>
      <c r="O1452" s="101" t="s">
        <v>63</v>
      </c>
      <c r="P1452" s="101"/>
      <c r="Q1452" s="101"/>
      <c r="R1452" s="101">
        <v>0</v>
      </c>
      <c r="S1452" s="105"/>
      <c r="T1452" s="101" t="s">
        <v>63</v>
      </c>
      <c r="U1452" s="177">
        <f>IF($J$1="April",Y1451,Y1451)</f>
        <v>0</v>
      </c>
      <c r="V1452" s="103"/>
      <c r="W1452" s="177">
        <f t="shared" si="259"/>
        <v>0</v>
      </c>
      <c r="X1452" s="103"/>
      <c r="Y1452" s="177">
        <f t="shared" si="260"/>
        <v>0</v>
      </c>
      <c r="Z1452" s="106"/>
    </row>
    <row r="1453" spans="1:26" s="55" customFormat="1" ht="21" customHeight="1" x14ac:dyDescent="0.25">
      <c r="A1453" s="56"/>
      <c r="B1453" s="291" t="s">
        <v>58</v>
      </c>
      <c r="C1453" s="292"/>
      <c r="D1453" s="57"/>
      <c r="E1453" s="57"/>
      <c r="F1453" s="75" t="s">
        <v>80</v>
      </c>
      <c r="G1453" s="70">
        <f>IF($J$1="January",U1449,IF($J$1="February",U1450,IF($J$1="March",U1451,IF($J$1="April",U1452,IF($J$1="May",U1453,IF($J$1="June",U1454,IF($J$1="July",U1455,IF($J$1="August",U1456,IF($J$1="August",U1456,IF($J$1="September",U1457,IF($J$1="October",U1458,IF($J$1="November",U1459,IF($J$1="December",U1460)))))))))))))</f>
        <v>0</v>
      </c>
      <c r="H1453" s="74"/>
      <c r="I1453" s="76">
        <f>IF(C1457&gt;0,$K$2,C1455)</f>
        <v>0</v>
      </c>
      <c r="J1453" s="77" t="s">
        <v>77</v>
      </c>
      <c r="K1453" s="78">
        <f>K1449/$K$2*I1453</f>
        <v>0</v>
      </c>
      <c r="L1453" s="79"/>
      <c r="M1453" s="57"/>
      <c r="N1453" s="100"/>
      <c r="O1453" s="101" t="s">
        <v>64</v>
      </c>
      <c r="P1453" s="101"/>
      <c r="Q1453" s="101"/>
      <c r="R1453" s="101">
        <v>0</v>
      </c>
      <c r="S1453" s="105"/>
      <c r="T1453" s="101" t="s">
        <v>64</v>
      </c>
      <c r="U1453" s="177">
        <f>IF($J$1="May",Y1452,Y1452)</f>
        <v>0</v>
      </c>
      <c r="V1453" s="103"/>
      <c r="W1453" s="177">
        <f t="shared" si="259"/>
        <v>0</v>
      </c>
      <c r="X1453" s="103"/>
      <c r="Y1453" s="177">
        <f t="shared" si="260"/>
        <v>0</v>
      </c>
      <c r="Z1453" s="106"/>
    </row>
    <row r="1454" spans="1:26" s="55" customFormat="1" ht="21" customHeight="1" x14ac:dyDescent="0.25">
      <c r="A1454" s="56"/>
      <c r="B1454" s="66"/>
      <c r="C1454" s="66"/>
      <c r="D1454" s="57"/>
      <c r="E1454" s="57"/>
      <c r="F1454" s="75" t="s">
        <v>29</v>
      </c>
      <c r="G1454" s="70">
        <f>IF($J$1="January",V1449,IF($J$1="February",V1450,IF($J$1="March",V1451,IF($J$1="April",V1452,IF($J$1="May",V1453,IF($J$1="June",V1454,IF($J$1="July",V1455,IF($J$1="August",V1456,IF($J$1="August",V1456,IF($J$1="September",V1457,IF($J$1="October",V1458,IF($J$1="November",V1459,IF($J$1="December",V1460)))))))))))))</f>
        <v>0</v>
      </c>
      <c r="H1454" s="74"/>
      <c r="I1454" s="120"/>
      <c r="J1454" s="77" t="s">
        <v>78</v>
      </c>
      <c r="K1454" s="80">
        <f>K1449/$K$2/8*I1454</f>
        <v>0</v>
      </c>
      <c r="L1454" s="81"/>
      <c r="M1454" s="57"/>
      <c r="N1454" s="100"/>
      <c r="O1454" s="101" t="s">
        <v>65</v>
      </c>
      <c r="P1454" s="101"/>
      <c r="Q1454" s="101"/>
      <c r="R1454" s="101">
        <v>0</v>
      </c>
      <c r="S1454" s="105"/>
      <c r="T1454" s="101" t="s">
        <v>65</v>
      </c>
      <c r="U1454" s="177">
        <f>IF($J$1="May",Y1453,Y1453)</f>
        <v>0</v>
      </c>
      <c r="V1454" s="103"/>
      <c r="W1454" s="177">
        <f t="shared" si="259"/>
        <v>0</v>
      </c>
      <c r="X1454" s="103"/>
      <c r="Y1454" s="177">
        <f t="shared" si="260"/>
        <v>0</v>
      </c>
      <c r="Z1454" s="106"/>
    </row>
    <row r="1455" spans="1:26" s="55" customFormat="1" ht="21" customHeight="1" x14ac:dyDescent="0.25">
      <c r="A1455" s="56"/>
      <c r="B1455" s="75" t="s">
        <v>7</v>
      </c>
      <c r="C1455" s="66">
        <f>IF($J$1="January",P1449,IF($J$1="February",P1450,IF($J$1="March",P1451,IF($J$1="April",P1452,IF($J$1="May",P1453,IF($J$1="June",P1454,IF($J$1="July",P1455,IF($J$1="August",P1456,IF($J$1="August",P1456,IF($J$1="September",P1457,IF($J$1="October",P1458,IF($J$1="November",P1459,IF($J$1="December",P1460)))))))))))))</f>
        <v>0</v>
      </c>
      <c r="D1455" s="57"/>
      <c r="E1455" s="57"/>
      <c r="F1455" s="75" t="s">
        <v>81</v>
      </c>
      <c r="G1455" s="70">
        <f>IF($J$1="January",W1449,IF($J$1="February",W1450,IF($J$1="March",W1451,IF($J$1="April",W1452,IF($J$1="May",W1453,IF($J$1="June",W1454,IF($J$1="July",W1455,IF($J$1="August",W1456,IF($J$1="August",W1456,IF($J$1="September",W1457,IF($J$1="October",W1458,IF($J$1="November",W1459,IF($J$1="December",W1460)))))))))))))</f>
        <v>0</v>
      </c>
      <c r="H1455" s="74"/>
      <c r="I1455" s="293" t="s">
        <v>85</v>
      </c>
      <c r="J1455" s="294"/>
      <c r="K1455" s="80">
        <f>K1453+K1454</f>
        <v>0</v>
      </c>
      <c r="L1455" s="81"/>
      <c r="M1455" s="57"/>
      <c r="N1455" s="100"/>
      <c r="O1455" s="101" t="s">
        <v>66</v>
      </c>
      <c r="P1455" s="101"/>
      <c r="Q1455" s="101"/>
      <c r="R1455" s="101">
        <v>0</v>
      </c>
      <c r="S1455" s="105"/>
      <c r="T1455" s="101" t="s">
        <v>66</v>
      </c>
      <c r="U1455" s="177" t="str">
        <f>IF($J$1="July",Y1454,"")</f>
        <v/>
      </c>
      <c r="V1455" s="103"/>
      <c r="W1455" s="177" t="str">
        <f t="shared" si="259"/>
        <v/>
      </c>
      <c r="X1455" s="103"/>
      <c r="Y1455" s="177" t="str">
        <f t="shared" si="260"/>
        <v/>
      </c>
      <c r="Z1455" s="106"/>
    </row>
    <row r="1456" spans="1:26" s="55" customFormat="1" ht="21" customHeight="1" x14ac:dyDescent="0.25">
      <c r="A1456" s="56"/>
      <c r="B1456" s="75" t="s">
        <v>6</v>
      </c>
      <c r="C1456" s="66">
        <f>IF($J$1="January",Q1449,IF($J$1="February",Q1450,IF($J$1="March",Q1451,IF($J$1="April",Q1452,IF($J$1="May",Q1453,IF($J$1="June",Q1454,IF($J$1="July",Q1455,IF($J$1="August",Q1456,IF($J$1="August",Q1456,IF($J$1="September",Q1457,IF($J$1="October",Q1458,IF($J$1="November",Q1459,IF($J$1="December",Q1460)))))))))))))</f>
        <v>0</v>
      </c>
      <c r="D1456" s="57"/>
      <c r="E1456" s="57"/>
      <c r="F1456" s="75" t="s">
        <v>30</v>
      </c>
      <c r="G1456" s="70">
        <f>IF($J$1="January",X1449,IF($J$1="February",X1450,IF($J$1="March",X1451,IF($J$1="April",X1452,IF($J$1="May",X1453,IF($J$1="June",X1454,IF($J$1="July",X1455,IF($J$1="August",X1456,IF($J$1="August",X1456,IF($J$1="September",X1457,IF($J$1="October",X1458,IF($J$1="November",X1459,IF($J$1="December",X1460)))))))))))))</f>
        <v>0</v>
      </c>
      <c r="H1456" s="74"/>
      <c r="I1456" s="293" t="s">
        <v>86</v>
      </c>
      <c r="J1456" s="294"/>
      <c r="K1456" s="70">
        <f>G1456</f>
        <v>0</v>
      </c>
      <c r="L1456" s="82"/>
      <c r="M1456" s="57"/>
      <c r="N1456" s="100"/>
      <c r="O1456" s="101" t="s">
        <v>67</v>
      </c>
      <c r="P1456" s="101"/>
      <c r="Q1456" s="101"/>
      <c r="R1456" s="101">
        <v>0</v>
      </c>
      <c r="S1456" s="105"/>
      <c r="T1456" s="101" t="s">
        <v>67</v>
      </c>
      <c r="U1456" s="177" t="str">
        <f>IF($J$1="September",Y1455,"")</f>
        <v/>
      </c>
      <c r="V1456" s="103"/>
      <c r="W1456" s="177" t="str">
        <f t="shared" si="259"/>
        <v/>
      </c>
      <c r="X1456" s="103"/>
      <c r="Y1456" s="177" t="str">
        <f t="shared" si="260"/>
        <v/>
      </c>
      <c r="Z1456" s="106"/>
    </row>
    <row r="1457" spans="1:26" s="55" customFormat="1" ht="21" customHeight="1" x14ac:dyDescent="0.25">
      <c r="A1457" s="56"/>
      <c r="B1457" s="83" t="s">
        <v>84</v>
      </c>
      <c r="C1457" s="66">
        <f>IF($J$1="January",R1449,IF($J$1="February",R1450,IF($J$1="March",R1451,IF($J$1="April",R1452,IF($J$1="May",R1453,IF($J$1="June",R1454,IF($J$1="July",R1455,IF($J$1="August",R1456,IF($J$1="August",R1456,IF($J$1="September",R1457,IF($J$1="October",R1458,IF($J$1="November",R1459,IF($J$1="December",R1460)))))))))))))</f>
        <v>0</v>
      </c>
      <c r="D1457" s="57"/>
      <c r="E1457" s="57"/>
      <c r="F1457" s="75" t="s">
        <v>83</v>
      </c>
      <c r="G1457" s="70">
        <f>IF($J$1="January",Y1449,IF($J$1="February",Y1450,IF($J$1="March",Y1451,IF($J$1="April",Y1452,IF($J$1="May",Y1453,IF($J$1="June",Y1454,IF($J$1="July",Y1455,IF($J$1="August",Y1456,IF($J$1="August",Y1456,IF($J$1="September",Y1457,IF($J$1="October",Y1458,IF($J$1="November",Y1459,IF($J$1="December",Y1460)))))))))))))</f>
        <v>0</v>
      </c>
      <c r="H1457" s="57"/>
      <c r="I1457" s="295" t="s">
        <v>79</v>
      </c>
      <c r="J1457" s="296"/>
      <c r="K1457" s="84">
        <f>K1455-K1456</f>
        <v>0</v>
      </c>
      <c r="L1457" s="85"/>
      <c r="M1457" s="57"/>
      <c r="N1457" s="100"/>
      <c r="O1457" s="101" t="s">
        <v>72</v>
      </c>
      <c r="P1457" s="101"/>
      <c r="Q1457" s="101"/>
      <c r="R1457" s="101">
        <v>0</v>
      </c>
      <c r="S1457" s="105"/>
      <c r="T1457" s="101" t="s">
        <v>72</v>
      </c>
      <c r="U1457" s="177" t="str">
        <f>IF($J$1="September",Y1456,"")</f>
        <v/>
      </c>
      <c r="V1457" s="103"/>
      <c r="W1457" s="177" t="str">
        <f t="shared" si="259"/>
        <v/>
      </c>
      <c r="X1457" s="103"/>
      <c r="Y1457" s="177" t="str">
        <f t="shared" si="260"/>
        <v/>
      </c>
      <c r="Z1457" s="106"/>
    </row>
    <row r="1458" spans="1:26" s="55" customFormat="1" ht="21" customHeight="1" x14ac:dyDescent="0.25">
      <c r="A1458" s="56"/>
      <c r="B1458" s="57"/>
      <c r="C1458" s="57"/>
      <c r="D1458" s="57"/>
      <c r="E1458" s="57"/>
      <c r="F1458" s="57"/>
      <c r="G1458" s="57"/>
      <c r="H1458" s="57"/>
      <c r="I1458" s="57"/>
      <c r="J1458" s="57"/>
      <c r="K1458" s="57"/>
      <c r="L1458" s="73"/>
      <c r="M1458" s="57"/>
      <c r="N1458" s="100"/>
      <c r="O1458" s="101" t="s">
        <v>68</v>
      </c>
      <c r="P1458" s="101"/>
      <c r="Q1458" s="101"/>
      <c r="R1458" s="101" t="str">
        <f>IF(Q1458="","",R1457-Q1458)</f>
        <v/>
      </c>
      <c r="S1458" s="105"/>
      <c r="T1458" s="101" t="s">
        <v>68</v>
      </c>
      <c r="U1458" s="177" t="str">
        <f>IF($J$1="October",Y1457,"")</f>
        <v/>
      </c>
      <c r="V1458" s="103"/>
      <c r="W1458" s="177" t="str">
        <f t="shared" si="259"/>
        <v/>
      </c>
      <c r="X1458" s="103"/>
      <c r="Y1458" s="177" t="str">
        <f t="shared" si="260"/>
        <v/>
      </c>
      <c r="Z1458" s="106"/>
    </row>
    <row r="1459" spans="1:26" s="55" customFormat="1" ht="21" customHeight="1" x14ac:dyDescent="0.25">
      <c r="A1459" s="56"/>
      <c r="B1459" s="284" t="s">
        <v>116</v>
      </c>
      <c r="C1459" s="284"/>
      <c r="D1459" s="284"/>
      <c r="E1459" s="284"/>
      <c r="F1459" s="284"/>
      <c r="G1459" s="284"/>
      <c r="H1459" s="284"/>
      <c r="I1459" s="284"/>
      <c r="J1459" s="284"/>
      <c r="K1459" s="284"/>
      <c r="L1459" s="73"/>
      <c r="M1459" s="57"/>
      <c r="N1459" s="100"/>
      <c r="O1459" s="101" t="s">
        <v>73</v>
      </c>
      <c r="P1459" s="101"/>
      <c r="Q1459" s="101"/>
      <c r="R1459" s="101">
        <v>0</v>
      </c>
      <c r="S1459" s="105"/>
      <c r="T1459" s="101" t="s">
        <v>73</v>
      </c>
      <c r="U1459" s="177" t="str">
        <f>IF($J$1="November",Y1458,"")</f>
        <v/>
      </c>
      <c r="V1459" s="103"/>
      <c r="W1459" s="177" t="str">
        <f t="shared" si="259"/>
        <v/>
      </c>
      <c r="X1459" s="103"/>
      <c r="Y1459" s="177" t="str">
        <f t="shared" si="260"/>
        <v/>
      </c>
      <c r="Z1459" s="106"/>
    </row>
    <row r="1460" spans="1:26" s="55" customFormat="1" ht="21" customHeight="1" x14ac:dyDescent="0.25">
      <c r="A1460" s="56"/>
      <c r="B1460" s="284"/>
      <c r="C1460" s="284"/>
      <c r="D1460" s="284"/>
      <c r="E1460" s="284"/>
      <c r="F1460" s="284"/>
      <c r="G1460" s="284"/>
      <c r="H1460" s="284"/>
      <c r="I1460" s="284"/>
      <c r="J1460" s="284"/>
      <c r="K1460" s="284"/>
      <c r="L1460" s="73"/>
      <c r="M1460" s="57"/>
      <c r="N1460" s="100"/>
      <c r="O1460" s="101" t="s">
        <v>74</v>
      </c>
      <c r="P1460" s="101"/>
      <c r="Q1460" s="101"/>
      <c r="R1460" s="101">
        <v>0</v>
      </c>
      <c r="S1460" s="105"/>
      <c r="T1460" s="101" t="s">
        <v>74</v>
      </c>
      <c r="U1460" s="177" t="str">
        <f>IF($J$1="Dec",Y1459,"")</f>
        <v/>
      </c>
      <c r="V1460" s="103"/>
      <c r="W1460" s="177" t="str">
        <f t="shared" si="259"/>
        <v/>
      </c>
      <c r="X1460" s="103"/>
      <c r="Y1460" s="177" t="str">
        <f t="shared" si="260"/>
        <v/>
      </c>
      <c r="Z1460" s="106"/>
    </row>
    <row r="1461" spans="1:26" s="55" customFormat="1" ht="21" customHeight="1" thickBot="1" x14ac:dyDescent="0.3">
      <c r="A1461" s="86"/>
      <c r="B1461" s="87"/>
      <c r="C1461" s="87"/>
      <c r="D1461" s="87"/>
      <c r="E1461" s="87"/>
      <c r="F1461" s="87"/>
      <c r="G1461" s="87"/>
      <c r="H1461" s="87"/>
      <c r="I1461" s="87"/>
      <c r="J1461" s="87"/>
      <c r="K1461" s="87"/>
      <c r="L1461" s="88"/>
      <c r="N1461" s="107"/>
      <c r="O1461" s="108"/>
      <c r="P1461" s="108"/>
      <c r="Q1461" s="108"/>
      <c r="R1461" s="108"/>
      <c r="S1461" s="108"/>
      <c r="T1461" s="108"/>
      <c r="U1461" s="108"/>
      <c r="V1461" s="108"/>
      <c r="W1461" s="108"/>
      <c r="X1461" s="108"/>
      <c r="Y1461" s="108"/>
      <c r="Z1461" s="109"/>
    </row>
    <row r="1462" spans="1:26" ht="15" thickBot="1" x14ac:dyDescent="0.35"/>
    <row r="1463" spans="1:26" s="55" customFormat="1" ht="21" customHeight="1" x14ac:dyDescent="0.25">
      <c r="A1463" s="329" t="s">
        <v>56</v>
      </c>
      <c r="B1463" s="330"/>
      <c r="C1463" s="330"/>
      <c r="D1463" s="330"/>
      <c r="E1463" s="330"/>
      <c r="F1463" s="330"/>
      <c r="G1463" s="330"/>
      <c r="H1463" s="330"/>
      <c r="I1463" s="330"/>
      <c r="J1463" s="330"/>
      <c r="K1463" s="330"/>
      <c r="L1463" s="331"/>
      <c r="M1463" s="204"/>
      <c r="N1463" s="93"/>
      <c r="O1463" s="285" t="s">
        <v>58</v>
      </c>
      <c r="P1463" s="286"/>
      <c r="Q1463" s="286"/>
      <c r="R1463" s="287"/>
      <c r="S1463" s="94"/>
      <c r="T1463" s="285" t="s">
        <v>59</v>
      </c>
      <c r="U1463" s="286"/>
      <c r="V1463" s="286"/>
      <c r="W1463" s="286"/>
      <c r="X1463" s="286"/>
      <c r="Y1463" s="287"/>
      <c r="Z1463" s="95"/>
    </row>
    <row r="1464" spans="1:26" s="55" customFormat="1" ht="21" customHeight="1" x14ac:dyDescent="0.25">
      <c r="A1464" s="56"/>
      <c r="B1464" s="57"/>
      <c r="C1464" s="288" t="s">
        <v>114</v>
      </c>
      <c r="D1464" s="288"/>
      <c r="E1464" s="288"/>
      <c r="F1464" s="288"/>
      <c r="G1464" s="58" t="str">
        <f>$J$1</f>
        <v>June</v>
      </c>
      <c r="H1464" s="289">
        <f>$K$1</f>
        <v>2019</v>
      </c>
      <c r="I1464" s="289"/>
      <c r="J1464" s="57"/>
      <c r="K1464" s="59"/>
      <c r="L1464" s="60"/>
      <c r="M1464" s="59"/>
      <c r="N1464" s="96"/>
      <c r="O1464" s="97" t="s">
        <v>69</v>
      </c>
      <c r="P1464" s="97" t="s">
        <v>7</v>
      </c>
      <c r="Q1464" s="97" t="s">
        <v>6</v>
      </c>
      <c r="R1464" s="97" t="s">
        <v>70</v>
      </c>
      <c r="S1464" s="98"/>
      <c r="T1464" s="97" t="s">
        <v>69</v>
      </c>
      <c r="U1464" s="97" t="s">
        <v>71</v>
      </c>
      <c r="V1464" s="97" t="s">
        <v>29</v>
      </c>
      <c r="W1464" s="97" t="s">
        <v>28</v>
      </c>
      <c r="X1464" s="97" t="s">
        <v>30</v>
      </c>
      <c r="Y1464" s="97" t="s">
        <v>75</v>
      </c>
      <c r="Z1464" s="99"/>
    </row>
    <row r="1465" spans="1:26" s="55" customFormat="1" ht="21" customHeight="1" x14ac:dyDescent="0.25">
      <c r="A1465" s="56"/>
      <c r="B1465" s="57"/>
      <c r="C1465" s="57"/>
      <c r="D1465" s="62"/>
      <c r="E1465" s="62"/>
      <c r="F1465" s="62"/>
      <c r="G1465" s="62"/>
      <c r="H1465" s="62"/>
      <c r="I1465" s="57"/>
      <c r="J1465" s="63" t="s">
        <v>1</v>
      </c>
      <c r="K1465" s="64">
        <v>18000</v>
      </c>
      <c r="L1465" s="65"/>
      <c r="M1465" s="57"/>
      <c r="N1465" s="100"/>
      <c r="O1465" s="101" t="s">
        <v>61</v>
      </c>
      <c r="P1465" s="101"/>
      <c r="Q1465" s="101"/>
      <c r="R1465" s="101">
        <v>0</v>
      </c>
      <c r="S1465" s="102"/>
      <c r="T1465" s="101" t="s">
        <v>61</v>
      </c>
      <c r="U1465" s="103"/>
      <c r="V1465" s="103"/>
      <c r="W1465" s="103">
        <f>V1465+U1465</f>
        <v>0</v>
      </c>
      <c r="X1465" s="103"/>
      <c r="Y1465" s="103">
        <f>W1465-X1465</f>
        <v>0</v>
      </c>
      <c r="Z1465" s="99"/>
    </row>
    <row r="1466" spans="1:26" s="55" customFormat="1" ht="21" customHeight="1" x14ac:dyDescent="0.25">
      <c r="A1466" s="56"/>
      <c r="B1466" s="57" t="s">
        <v>0</v>
      </c>
      <c r="C1466" s="112" t="s">
        <v>191</v>
      </c>
      <c r="D1466" s="57"/>
      <c r="E1466" s="57"/>
      <c r="F1466" s="57"/>
      <c r="G1466" s="57"/>
      <c r="H1466" s="68"/>
      <c r="I1466" s="62"/>
      <c r="J1466" s="57"/>
      <c r="K1466" s="57"/>
      <c r="L1466" s="69"/>
      <c r="M1466" s="204"/>
      <c r="N1466" s="104"/>
      <c r="O1466" s="101" t="s">
        <v>87</v>
      </c>
      <c r="P1466" s="101"/>
      <c r="Q1466" s="101"/>
      <c r="R1466" s="101">
        <v>0</v>
      </c>
      <c r="S1466" s="105"/>
      <c r="T1466" s="101" t="s">
        <v>87</v>
      </c>
      <c r="U1466" s="177">
        <f>Y1465</f>
        <v>0</v>
      </c>
      <c r="V1466" s="103"/>
      <c r="W1466" s="177">
        <f>IF(U1466="","",U1466+V1466)</f>
        <v>0</v>
      </c>
      <c r="X1466" s="103"/>
      <c r="Y1466" s="177">
        <f>IF(W1466="","",W1466-X1466)</f>
        <v>0</v>
      </c>
      <c r="Z1466" s="106"/>
    </row>
    <row r="1467" spans="1:26" s="55" customFormat="1" ht="21" customHeight="1" x14ac:dyDescent="0.25">
      <c r="A1467" s="56"/>
      <c r="B1467" s="71" t="s">
        <v>57</v>
      </c>
      <c r="C1467" s="112"/>
      <c r="D1467" s="57"/>
      <c r="E1467" s="57"/>
      <c r="F1467" s="290" t="s">
        <v>59</v>
      </c>
      <c r="G1467" s="290"/>
      <c r="H1467" s="57"/>
      <c r="I1467" s="290" t="s">
        <v>60</v>
      </c>
      <c r="J1467" s="290"/>
      <c r="K1467" s="290"/>
      <c r="L1467" s="73"/>
      <c r="M1467" s="57"/>
      <c r="N1467" s="100"/>
      <c r="O1467" s="101" t="s">
        <v>62</v>
      </c>
      <c r="P1467" s="101"/>
      <c r="Q1467" s="101"/>
      <c r="R1467" s="101" t="str">
        <f>IF(Q1467="","",R1466-Q1467)</f>
        <v/>
      </c>
      <c r="S1467" s="105"/>
      <c r="T1467" s="101" t="s">
        <v>62</v>
      </c>
      <c r="U1467" s="177">
        <f>Y1466</f>
        <v>0</v>
      </c>
      <c r="V1467" s="103"/>
      <c r="W1467" s="177">
        <f t="shared" ref="W1467:W1476" si="261">IF(U1467="","",U1467+V1467)</f>
        <v>0</v>
      </c>
      <c r="X1467" s="103"/>
      <c r="Y1467" s="177">
        <f t="shared" ref="Y1467:Y1476" si="262">IF(W1467="","",W1467-X1467)</f>
        <v>0</v>
      </c>
      <c r="Z1467" s="106"/>
    </row>
    <row r="1468" spans="1:26" s="55" customFormat="1" ht="21" customHeight="1" x14ac:dyDescent="0.25">
      <c r="A1468" s="56"/>
      <c r="B1468" s="57"/>
      <c r="C1468" s="57"/>
      <c r="D1468" s="57"/>
      <c r="E1468" s="57"/>
      <c r="F1468" s="57"/>
      <c r="G1468" s="57"/>
      <c r="H1468" s="74"/>
      <c r="L1468" s="61"/>
      <c r="M1468" s="57"/>
      <c r="N1468" s="100"/>
      <c r="O1468" s="101" t="s">
        <v>63</v>
      </c>
      <c r="P1468" s="101"/>
      <c r="Q1468" s="101"/>
      <c r="R1468" s="101">
        <v>0</v>
      </c>
      <c r="S1468" s="105"/>
      <c r="T1468" s="101" t="s">
        <v>63</v>
      </c>
      <c r="U1468" s="177">
        <f>Y1467</f>
        <v>0</v>
      </c>
      <c r="V1468" s="103"/>
      <c r="W1468" s="177">
        <f t="shared" si="261"/>
        <v>0</v>
      </c>
      <c r="X1468" s="103"/>
      <c r="Y1468" s="177">
        <f t="shared" si="262"/>
        <v>0</v>
      </c>
      <c r="Z1468" s="106"/>
    </row>
    <row r="1469" spans="1:26" s="55" customFormat="1" ht="21" customHeight="1" x14ac:dyDescent="0.25">
      <c r="A1469" s="56"/>
      <c r="B1469" s="291" t="s">
        <v>58</v>
      </c>
      <c r="C1469" s="292"/>
      <c r="D1469" s="57"/>
      <c r="E1469" s="57"/>
      <c r="F1469" s="75" t="s">
        <v>80</v>
      </c>
      <c r="G1469" s="70">
        <f>IF($J$1="January",U1465,IF($J$1="February",U1466,IF($J$1="March",U1467,IF($J$1="April",U1468,IF($J$1="May",U1469,IF($J$1="June",U1470,IF($J$1="July",U1471,IF($J$1="August",U1472,IF($J$1="August",U1472,IF($J$1="September",U1473,IF($J$1="October",U1474,IF($J$1="November",U1475,IF($J$1="December",U1476)))))))))))))</f>
        <v>0</v>
      </c>
      <c r="H1469" s="74"/>
      <c r="I1469" s="76">
        <f>IF(C1473&gt;0,$K$2,C1471)</f>
        <v>21</v>
      </c>
      <c r="J1469" s="77" t="s">
        <v>77</v>
      </c>
      <c r="K1469" s="78">
        <f>K1465/$K$2*I1469</f>
        <v>12600</v>
      </c>
      <c r="L1469" s="79"/>
      <c r="M1469" s="57"/>
      <c r="N1469" s="100"/>
      <c r="O1469" s="101" t="s">
        <v>64</v>
      </c>
      <c r="P1469" s="101"/>
      <c r="Q1469" s="101"/>
      <c r="R1469" s="101">
        <v>0</v>
      </c>
      <c r="S1469" s="105"/>
      <c r="T1469" s="101" t="s">
        <v>64</v>
      </c>
      <c r="U1469" s="177">
        <f>IF($J$1="May",Y1468,0)</f>
        <v>0</v>
      </c>
      <c r="V1469" s="103"/>
      <c r="W1469" s="177">
        <f t="shared" si="261"/>
        <v>0</v>
      </c>
      <c r="X1469" s="103"/>
      <c r="Y1469" s="177">
        <f t="shared" si="262"/>
        <v>0</v>
      </c>
      <c r="Z1469" s="106"/>
    </row>
    <row r="1470" spans="1:26" s="55" customFormat="1" ht="21" customHeight="1" x14ac:dyDescent="0.25">
      <c r="A1470" s="56"/>
      <c r="B1470" s="66"/>
      <c r="C1470" s="66"/>
      <c r="D1470" s="57"/>
      <c r="E1470" s="57"/>
      <c r="F1470" s="75" t="s">
        <v>29</v>
      </c>
      <c r="G1470" s="70">
        <f>IF($J$1="January",V1465,IF($J$1="February",V1466,IF($J$1="March",V1467,IF($J$1="April",V1468,IF($J$1="May",V1469,IF($J$1="June",V1470,IF($J$1="July",V1471,IF($J$1="August",V1472,IF($J$1="August",V1472,IF($J$1="September",V1473,IF($J$1="October",V1474,IF($J$1="November",V1475,IF($J$1="December",V1476)))))))))))))</f>
        <v>0</v>
      </c>
      <c r="H1470" s="74"/>
      <c r="I1470" s="120">
        <v>54</v>
      </c>
      <c r="J1470" s="77" t="s">
        <v>78</v>
      </c>
      <c r="K1470" s="80">
        <f>K1465/$K$2/8*I1470</f>
        <v>4050</v>
      </c>
      <c r="L1470" s="81"/>
      <c r="M1470" s="57"/>
      <c r="N1470" s="100"/>
      <c r="O1470" s="101" t="s">
        <v>65</v>
      </c>
      <c r="P1470" s="101">
        <v>21</v>
      </c>
      <c r="Q1470" s="101">
        <v>9</v>
      </c>
      <c r="R1470" s="101">
        <v>0</v>
      </c>
      <c r="S1470" s="105"/>
      <c r="T1470" s="101" t="s">
        <v>65</v>
      </c>
      <c r="U1470" s="177"/>
      <c r="V1470" s="103"/>
      <c r="W1470" s="177" t="str">
        <f t="shared" si="261"/>
        <v/>
      </c>
      <c r="X1470" s="103"/>
      <c r="Y1470" s="177" t="str">
        <f t="shared" si="262"/>
        <v/>
      </c>
      <c r="Z1470" s="106"/>
    </row>
    <row r="1471" spans="1:26" s="55" customFormat="1" ht="21" customHeight="1" x14ac:dyDescent="0.25">
      <c r="A1471" s="56"/>
      <c r="B1471" s="75" t="s">
        <v>7</v>
      </c>
      <c r="C1471" s="66">
        <f>IF($J$1="January",P1465,IF($J$1="February",P1466,IF($J$1="March",P1467,IF($J$1="April",P1468,IF($J$1="May",P1469,IF($J$1="June",P1470,IF($J$1="July",P1471,IF($J$1="August",P1472,IF($J$1="August",P1472,IF($J$1="September",P1473,IF($J$1="October",P1474,IF($J$1="November",P1475,IF($J$1="December",P1476)))))))))))))</f>
        <v>21</v>
      </c>
      <c r="D1471" s="57"/>
      <c r="E1471" s="57"/>
      <c r="F1471" s="75" t="s">
        <v>81</v>
      </c>
      <c r="G1471" s="70" t="str">
        <f>IF($J$1="January",W1465,IF($J$1="February",W1466,IF($J$1="March",W1467,IF($J$1="April",W1468,IF($J$1="May",W1469,IF($J$1="June",W1470,IF($J$1="July",W1471,IF($J$1="August",W1472,IF($J$1="August",W1472,IF($J$1="September",W1473,IF($J$1="October",W1474,IF($J$1="November",W1475,IF($J$1="December",W1476)))))))))))))</f>
        <v/>
      </c>
      <c r="H1471" s="74"/>
      <c r="I1471" s="293" t="s">
        <v>85</v>
      </c>
      <c r="J1471" s="294"/>
      <c r="K1471" s="80">
        <f>K1469+K1470</f>
        <v>16650</v>
      </c>
      <c r="L1471" s="81"/>
      <c r="M1471" s="57"/>
      <c r="N1471" s="100"/>
      <c r="O1471" s="101" t="s">
        <v>66</v>
      </c>
      <c r="P1471" s="101"/>
      <c r="Q1471" s="101"/>
      <c r="R1471" s="101">
        <v>0</v>
      </c>
      <c r="S1471" s="105"/>
      <c r="T1471" s="101" t="s">
        <v>66</v>
      </c>
      <c r="U1471" s="177" t="str">
        <f>IF($J$1="July",Y1470,"")</f>
        <v/>
      </c>
      <c r="V1471" s="103"/>
      <c r="W1471" s="177" t="str">
        <f t="shared" si="261"/>
        <v/>
      </c>
      <c r="X1471" s="103"/>
      <c r="Y1471" s="177" t="str">
        <f t="shared" si="262"/>
        <v/>
      </c>
      <c r="Z1471" s="106"/>
    </row>
    <row r="1472" spans="1:26" s="55" customFormat="1" ht="21" customHeight="1" x14ac:dyDescent="0.25">
      <c r="A1472" s="56"/>
      <c r="B1472" s="75" t="s">
        <v>6</v>
      </c>
      <c r="C1472" s="66">
        <f>IF($J$1="January",Q1465,IF($J$1="February",Q1466,IF($J$1="March",Q1467,IF($J$1="April",Q1468,IF($J$1="May",Q1469,IF($J$1="June",Q1470,IF($J$1="July",Q1471,IF($J$1="August",Q1472,IF($J$1="August",Q1472,IF($J$1="September",Q1473,IF($J$1="October",Q1474,IF($J$1="November",Q1475,IF($J$1="December",Q1476)))))))))))))</f>
        <v>9</v>
      </c>
      <c r="D1472" s="57"/>
      <c r="E1472" s="57"/>
      <c r="F1472" s="75" t="s">
        <v>30</v>
      </c>
      <c r="G1472" s="70">
        <f>IF($J$1="January",X1465,IF($J$1="February",X1466,IF($J$1="March",X1467,IF($J$1="April",X1468,IF($J$1="May",X1469,IF($J$1="June",X1470,IF($J$1="July",X1471,IF($J$1="August",X1472,IF($J$1="August",X1472,IF($J$1="September",X1473,IF($J$1="October",X1474,IF($J$1="November",X1475,IF($J$1="December",X1476)))))))))))))</f>
        <v>0</v>
      </c>
      <c r="H1472" s="74"/>
      <c r="I1472" s="293" t="s">
        <v>86</v>
      </c>
      <c r="J1472" s="294"/>
      <c r="K1472" s="70">
        <f>G1472</f>
        <v>0</v>
      </c>
      <c r="L1472" s="82"/>
      <c r="M1472" s="57"/>
      <c r="N1472" s="100"/>
      <c r="O1472" s="101" t="s">
        <v>67</v>
      </c>
      <c r="P1472" s="101"/>
      <c r="Q1472" s="101"/>
      <c r="R1472" s="101">
        <v>0</v>
      </c>
      <c r="S1472" s="105"/>
      <c r="T1472" s="101" t="s">
        <v>67</v>
      </c>
      <c r="U1472" s="177" t="str">
        <f>IF($J$1="September",Y1471,"")</f>
        <v/>
      </c>
      <c r="V1472" s="103"/>
      <c r="W1472" s="177" t="str">
        <f t="shared" si="261"/>
        <v/>
      </c>
      <c r="X1472" s="103"/>
      <c r="Y1472" s="177" t="str">
        <f t="shared" si="262"/>
        <v/>
      </c>
      <c r="Z1472" s="106"/>
    </row>
    <row r="1473" spans="1:26" s="55" customFormat="1" ht="21" customHeight="1" x14ac:dyDescent="0.25">
      <c r="A1473" s="56"/>
      <c r="B1473" s="83" t="s">
        <v>84</v>
      </c>
      <c r="C1473" s="66">
        <f>IF($J$1="January",R1465,IF($J$1="February",R1466,IF($J$1="March",R1467,IF($J$1="April",R1468,IF($J$1="May",R1469,IF($J$1="June",R1470,IF($J$1="July",R1471,IF($J$1="August",R1472,IF($J$1="August",R1472,IF($J$1="September",R1473,IF($J$1="October",R1474,IF($J$1="November",R1475,IF($J$1="December",R1476)))))))))))))</f>
        <v>0</v>
      </c>
      <c r="D1473" s="57"/>
      <c r="E1473" s="57"/>
      <c r="F1473" s="75" t="s">
        <v>83</v>
      </c>
      <c r="G1473" s="70" t="str">
        <f>IF($J$1="January",Y1465,IF($J$1="February",Y1466,IF($J$1="March",Y1467,IF($J$1="April",Y1468,IF($J$1="May",Y1469,IF($J$1="June",Y1470,IF($J$1="July",Y1471,IF($J$1="August",Y1472,IF($J$1="August",Y1472,IF($J$1="September",Y1473,IF($J$1="October",Y1474,IF($J$1="November",Y1475,IF($J$1="December",Y1476)))))))))))))</f>
        <v/>
      </c>
      <c r="H1473" s="57"/>
      <c r="I1473" s="295" t="s">
        <v>79</v>
      </c>
      <c r="J1473" s="296"/>
      <c r="K1473" s="84">
        <f>K1471-K1472</f>
        <v>16650</v>
      </c>
      <c r="L1473" s="85"/>
      <c r="M1473" s="57"/>
      <c r="N1473" s="100"/>
      <c r="O1473" s="101" t="s">
        <v>72</v>
      </c>
      <c r="P1473" s="101"/>
      <c r="Q1473" s="101"/>
      <c r="R1473" s="101">
        <v>0</v>
      </c>
      <c r="S1473" s="105"/>
      <c r="T1473" s="101" t="s">
        <v>72</v>
      </c>
      <c r="U1473" s="177" t="str">
        <f>IF($J$1="September",Y1472,"")</f>
        <v/>
      </c>
      <c r="V1473" s="103"/>
      <c r="W1473" s="177" t="str">
        <f t="shared" si="261"/>
        <v/>
      </c>
      <c r="X1473" s="103"/>
      <c r="Y1473" s="177" t="str">
        <f t="shared" si="262"/>
        <v/>
      </c>
      <c r="Z1473" s="106"/>
    </row>
    <row r="1474" spans="1:26" s="55" customFormat="1" ht="21" customHeight="1" x14ac:dyDescent="0.25">
      <c r="A1474" s="56"/>
      <c r="B1474" s="57"/>
      <c r="C1474" s="57"/>
      <c r="D1474" s="57"/>
      <c r="E1474" s="57"/>
      <c r="F1474" s="57"/>
      <c r="G1474" s="57"/>
      <c r="H1474" s="57"/>
      <c r="I1474" s="57"/>
      <c r="J1474" s="57"/>
      <c r="K1474" s="57"/>
      <c r="L1474" s="73"/>
      <c r="M1474" s="57"/>
      <c r="N1474" s="100"/>
      <c r="O1474" s="101" t="s">
        <v>68</v>
      </c>
      <c r="P1474" s="101"/>
      <c r="Q1474" s="101"/>
      <c r="R1474" s="101">
        <v>0</v>
      </c>
      <c r="S1474" s="105"/>
      <c r="T1474" s="101" t="s">
        <v>68</v>
      </c>
      <c r="U1474" s="177" t="str">
        <f>IF($J$1="October",Y1473,"")</f>
        <v/>
      </c>
      <c r="V1474" s="103"/>
      <c r="W1474" s="177" t="str">
        <f t="shared" si="261"/>
        <v/>
      </c>
      <c r="X1474" s="103"/>
      <c r="Y1474" s="177" t="str">
        <f t="shared" si="262"/>
        <v/>
      </c>
      <c r="Z1474" s="106"/>
    </row>
    <row r="1475" spans="1:26" s="55" customFormat="1" ht="21" customHeight="1" x14ac:dyDescent="0.25">
      <c r="A1475" s="56"/>
      <c r="B1475" s="284" t="s">
        <v>116</v>
      </c>
      <c r="C1475" s="284"/>
      <c r="D1475" s="284"/>
      <c r="E1475" s="284"/>
      <c r="F1475" s="284"/>
      <c r="G1475" s="284"/>
      <c r="H1475" s="284"/>
      <c r="I1475" s="284"/>
      <c r="J1475" s="284"/>
      <c r="K1475" s="284"/>
      <c r="L1475" s="73"/>
      <c r="M1475" s="57"/>
      <c r="N1475" s="100"/>
      <c r="O1475" s="101" t="s">
        <v>73</v>
      </c>
      <c r="P1475" s="101"/>
      <c r="Q1475" s="101"/>
      <c r="R1475" s="101" t="str">
        <f>IF(Q1475="","",R1474-Q1475)</f>
        <v/>
      </c>
      <c r="S1475" s="105"/>
      <c r="T1475" s="101" t="s">
        <v>73</v>
      </c>
      <c r="U1475" s="177" t="str">
        <f>IF($J$1="November",Y1474,"")</f>
        <v/>
      </c>
      <c r="V1475" s="103"/>
      <c r="W1475" s="177" t="str">
        <f t="shared" si="261"/>
        <v/>
      </c>
      <c r="X1475" s="103"/>
      <c r="Y1475" s="177" t="str">
        <f t="shared" si="262"/>
        <v/>
      </c>
      <c r="Z1475" s="106"/>
    </row>
    <row r="1476" spans="1:26" s="55" customFormat="1" ht="21" customHeight="1" x14ac:dyDescent="0.25">
      <c r="A1476" s="56"/>
      <c r="B1476" s="284"/>
      <c r="C1476" s="284"/>
      <c r="D1476" s="284"/>
      <c r="E1476" s="284"/>
      <c r="F1476" s="284"/>
      <c r="G1476" s="284"/>
      <c r="H1476" s="284"/>
      <c r="I1476" s="284"/>
      <c r="J1476" s="284"/>
      <c r="K1476" s="284"/>
      <c r="L1476" s="73"/>
      <c r="M1476" s="57"/>
      <c r="N1476" s="100"/>
      <c r="O1476" s="101" t="s">
        <v>74</v>
      </c>
      <c r="P1476" s="101"/>
      <c r="Q1476" s="101"/>
      <c r="R1476" s="101">
        <v>0</v>
      </c>
      <c r="S1476" s="105"/>
      <c r="T1476" s="101" t="s">
        <v>74</v>
      </c>
      <c r="U1476" s="177" t="str">
        <f>IF($J$1="Dec",Y1475,"")</f>
        <v/>
      </c>
      <c r="V1476" s="103"/>
      <c r="W1476" s="177" t="str">
        <f t="shared" si="261"/>
        <v/>
      </c>
      <c r="X1476" s="103"/>
      <c r="Y1476" s="177" t="str">
        <f t="shared" si="262"/>
        <v/>
      </c>
      <c r="Z1476" s="106"/>
    </row>
    <row r="1477" spans="1:26" s="55" customFormat="1" ht="21" customHeight="1" thickBot="1" x14ac:dyDescent="0.3">
      <c r="A1477" s="86"/>
      <c r="B1477" s="87"/>
      <c r="C1477" s="87"/>
      <c r="D1477" s="87"/>
      <c r="E1477" s="87"/>
      <c r="F1477" s="87"/>
      <c r="G1477" s="87"/>
      <c r="H1477" s="87"/>
      <c r="I1477" s="87"/>
      <c r="J1477" s="87"/>
      <c r="K1477" s="87"/>
      <c r="L1477" s="88"/>
      <c r="N1477" s="107"/>
      <c r="O1477" s="108"/>
      <c r="P1477" s="108"/>
      <c r="Q1477" s="108"/>
      <c r="R1477" s="108"/>
      <c r="S1477" s="108"/>
      <c r="T1477" s="108"/>
      <c r="U1477" s="108"/>
      <c r="V1477" s="108"/>
      <c r="W1477" s="108"/>
      <c r="X1477" s="108"/>
      <c r="Y1477" s="108"/>
      <c r="Z1477" s="109"/>
    </row>
  </sheetData>
  <mergeCells count="1105">
    <mergeCell ref="I1457:J1457"/>
    <mergeCell ref="B1459:K1460"/>
    <mergeCell ref="A1463:L1463"/>
    <mergeCell ref="O1463:R1463"/>
    <mergeCell ref="T1463:Y1463"/>
    <mergeCell ref="C1464:F1464"/>
    <mergeCell ref="H1464:I1464"/>
    <mergeCell ref="F1467:G1467"/>
    <mergeCell ref="I1467:K1467"/>
    <mergeCell ref="B1469:C1469"/>
    <mergeCell ref="I1471:J1471"/>
    <mergeCell ref="I1472:J1472"/>
    <mergeCell ref="I1473:J1473"/>
    <mergeCell ref="B1475:K1476"/>
    <mergeCell ref="F1435:G1435"/>
    <mergeCell ref="I1435:K1435"/>
    <mergeCell ref="B1437:C1437"/>
    <mergeCell ref="I1439:J1439"/>
    <mergeCell ref="I1440:J1440"/>
    <mergeCell ref="I1441:J1441"/>
    <mergeCell ref="B1443:K1444"/>
    <mergeCell ref="A1447:L1447"/>
    <mergeCell ref="O1447:R1447"/>
    <mergeCell ref="T1447:Y1447"/>
    <mergeCell ref="C1448:F1448"/>
    <mergeCell ref="H1448:I1448"/>
    <mergeCell ref="F1451:G1451"/>
    <mergeCell ref="I1451:K1451"/>
    <mergeCell ref="B1453:C1453"/>
    <mergeCell ref="I1455:J1455"/>
    <mergeCell ref="O1271:R1271"/>
    <mergeCell ref="C1272:F1272"/>
    <mergeCell ref="H1272:I1272"/>
    <mergeCell ref="I1456:J1456"/>
    <mergeCell ref="A1415:L1415"/>
    <mergeCell ref="O1415:R1415"/>
    <mergeCell ref="T1415:Y1415"/>
    <mergeCell ref="C1416:F1416"/>
    <mergeCell ref="H1416:I1416"/>
    <mergeCell ref="F1419:G1419"/>
    <mergeCell ref="I1419:K1419"/>
    <mergeCell ref="B1421:C1421"/>
    <mergeCell ref="I1423:J1423"/>
    <mergeCell ref="I1424:J1424"/>
    <mergeCell ref="I1425:J1425"/>
    <mergeCell ref="B1427:K1428"/>
    <mergeCell ref="A1431:L1431"/>
    <mergeCell ref="O1431:R1431"/>
    <mergeCell ref="T1431:Y1431"/>
    <mergeCell ref="C1432:F1432"/>
    <mergeCell ref="H1432:I1432"/>
    <mergeCell ref="F1275:G1275"/>
    <mergeCell ref="I1275:K1275"/>
    <mergeCell ref="B1277:C1277"/>
    <mergeCell ref="I1279:J1279"/>
    <mergeCell ref="B1293:C1293"/>
    <mergeCell ref="I1295:J1295"/>
    <mergeCell ref="I1296:J1296"/>
    <mergeCell ref="I1297:J1297"/>
    <mergeCell ref="B1299:K1300"/>
    <mergeCell ref="I1280:J1280"/>
    <mergeCell ref="I1281:J1281"/>
    <mergeCell ref="T1190:Y1190"/>
    <mergeCell ref="C1191:F1191"/>
    <mergeCell ref="H1191:I1191"/>
    <mergeCell ref="F1194:G1194"/>
    <mergeCell ref="I1194:K1194"/>
    <mergeCell ref="B524:C524"/>
    <mergeCell ref="B562:K563"/>
    <mergeCell ref="H519:I519"/>
    <mergeCell ref="B1283:K1284"/>
    <mergeCell ref="A1287:L1287"/>
    <mergeCell ref="B1229:C1229"/>
    <mergeCell ref="I1231:J1231"/>
    <mergeCell ref="I1232:J1232"/>
    <mergeCell ref="I1233:J1233"/>
    <mergeCell ref="B1235:K1236"/>
    <mergeCell ref="I431:J431"/>
    <mergeCell ref="I432:J432"/>
    <mergeCell ref="B434:K435"/>
    <mergeCell ref="I1216:J1216"/>
    <mergeCell ref="I1217:J1217"/>
    <mergeCell ref="B1219:K1220"/>
    <mergeCell ref="A1223:L1223"/>
    <mergeCell ref="I1264:J1264"/>
    <mergeCell ref="I1265:J1265"/>
    <mergeCell ref="B1267:K1268"/>
    <mergeCell ref="A1255:L1255"/>
    <mergeCell ref="A582:L582"/>
    <mergeCell ref="C599:F599"/>
    <mergeCell ref="H599:I599"/>
    <mergeCell ref="A598:L598"/>
    <mergeCell ref="F602:G602"/>
    <mergeCell ref="I602:K602"/>
    <mergeCell ref="H1256:I1256"/>
    <mergeCell ref="F1259:G1259"/>
    <mergeCell ref="I1259:K1259"/>
    <mergeCell ref="B1261:C1261"/>
    <mergeCell ref="I1263:J1263"/>
    <mergeCell ref="A1190:L1190"/>
    <mergeCell ref="I511:J511"/>
    <mergeCell ref="I512:J512"/>
    <mergeCell ref="C1079:F1079"/>
    <mergeCell ref="H1079:I1079"/>
    <mergeCell ref="I926:J926"/>
    <mergeCell ref="I927:J927"/>
    <mergeCell ref="C535:F535"/>
    <mergeCell ref="H535:I535"/>
    <mergeCell ref="F538:G538"/>
    <mergeCell ref="I538:K538"/>
    <mergeCell ref="B540:C540"/>
    <mergeCell ref="I528:J528"/>
    <mergeCell ref="C519:F519"/>
    <mergeCell ref="I1086:J1086"/>
    <mergeCell ref="B604:C604"/>
    <mergeCell ref="I622:J622"/>
    <mergeCell ref="I623:J623"/>
    <mergeCell ref="I672:J672"/>
    <mergeCell ref="B674:K675"/>
    <mergeCell ref="A694:L694"/>
    <mergeCell ref="B722:K723"/>
    <mergeCell ref="C711:F711"/>
    <mergeCell ref="H711:I711"/>
    <mergeCell ref="I986:K986"/>
    <mergeCell ref="B988:C988"/>
    <mergeCell ref="I736:J736"/>
    <mergeCell ref="O454:R454"/>
    <mergeCell ref="T454:Y454"/>
    <mergeCell ref="C455:F455"/>
    <mergeCell ref="T1223:Y1223"/>
    <mergeCell ref="C1224:F1224"/>
    <mergeCell ref="H1224:I1224"/>
    <mergeCell ref="F1227:G1227"/>
    <mergeCell ref="I1227:K1227"/>
    <mergeCell ref="A1207:L1207"/>
    <mergeCell ref="O1207:R1207"/>
    <mergeCell ref="T1207:Y1207"/>
    <mergeCell ref="C1208:F1208"/>
    <mergeCell ref="H1208:I1208"/>
    <mergeCell ref="F1211:G1211"/>
    <mergeCell ref="I1211:K1211"/>
    <mergeCell ref="B1213:C1213"/>
    <mergeCell ref="I1215:J1215"/>
    <mergeCell ref="B1196:C1196"/>
    <mergeCell ref="I1198:J1198"/>
    <mergeCell ref="I1199:J1199"/>
    <mergeCell ref="I1200:J1200"/>
    <mergeCell ref="B1202:K1203"/>
    <mergeCell ref="O1190:R1190"/>
    <mergeCell ref="O1223:R1223"/>
    <mergeCell ref="I1137:J1137"/>
    <mergeCell ref="I1138:J1138"/>
    <mergeCell ref="I474:K474"/>
    <mergeCell ref="I462:J462"/>
    <mergeCell ref="I463:J463"/>
    <mergeCell ref="I464:J464"/>
    <mergeCell ref="B466:K467"/>
    <mergeCell ref="B482:K483"/>
    <mergeCell ref="A422:L422"/>
    <mergeCell ref="O422:R422"/>
    <mergeCell ref="T422:Y422"/>
    <mergeCell ref="C423:F423"/>
    <mergeCell ref="H423:I423"/>
    <mergeCell ref="F426:G426"/>
    <mergeCell ref="I426:K426"/>
    <mergeCell ref="B428:C428"/>
    <mergeCell ref="I430:J430"/>
    <mergeCell ref="I1088:J1088"/>
    <mergeCell ref="I1070:J1070"/>
    <mergeCell ref="I1071:J1071"/>
    <mergeCell ref="I1072:J1072"/>
    <mergeCell ref="C1063:F1063"/>
    <mergeCell ref="H1063:I1063"/>
    <mergeCell ref="F1066:G1066"/>
    <mergeCell ref="I1066:K1066"/>
    <mergeCell ref="I510:J510"/>
    <mergeCell ref="F458:G458"/>
    <mergeCell ref="B476:C476"/>
    <mergeCell ref="A470:L470"/>
    <mergeCell ref="B546:K547"/>
    <mergeCell ref="F570:G570"/>
    <mergeCell ref="I570:K570"/>
    <mergeCell ref="A550:L550"/>
    <mergeCell ref="O550:R550"/>
    <mergeCell ref="T550:Y550"/>
    <mergeCell ref="I542:J542"/>
    <mergeCell ref="I543:J543"/>
    <mergeCell ref="I544:J544"/>
    <mergeCell ref="F522:G522"/>
    <mergeCell ref="I522:K522"/>
    <mergeCell ref="O6:R6"/>
    <mergeCell ref="T6:Y6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F10:G10"/>
    <mergeCell ref="A6:L6"/>
    <mergeCell ref="A22:L22"/>
    <mergeCell ref="B18:K18"/>
    <mergeCell ref="T38:Y38"/>
    <mergeCell ref="C39:F39"/>
    <mergeCell ref="H39:I39"/>
    <mergeCell ref="I42:K42"/>
    <mergeCell ref="B44:C44"/>
    <mergeCell ref="F42:G42"/>
    <mergeCell ref="B66:K67"/>
    <mergeCell ref="I96:J96"/>
    <mergeCell ref="C87:F87"/>
    <mergeCell ref="H87:I87"/>
    <mergeCell ref="F90:G90"/>
    <mergeCell ref="I90:K90"/>
    <mergeCell ref="B92:C92"/>
    <mergeCell ref="A86:L86"/>
    <mergeCell ref="B82:K83"/>
    <mergeCell ref="B98:K99"/>
    <mergeCell ref="C55:F55"/>
    <mergeCell ref="H55:I55"/>
    <mergeCell ref="B76:C76"/>
    <mergeCell ref="I94:J94"/>
    <mergeCell ref="I95:J95"/>
    <mergeCell ref="F58:G58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O102:R102"/>
    <mergeCell ref="T102:Y102"/>
    <mergeCell ref="C103:F103"/>
    <mergeCell ref="H103:I103"/>
    <mergeCell ref="F106:G106"/>
    <mergeCell ref="I106:K106"/>
    <mergeCell ref="O54:R54"/>
    <mergeCell ref="T54:Y54"/>
    <mergeCell ref="O86:R86"/>
    <mergeCell ref="T86:Y86"/>
    <mergeCell ref="A54:L54"/>
    <mergeCell ref="I63:J63"/>
    <mergeCell ref="I46:J46"/>
    <mergeCell ref="I47:J47"/>
    <mergeCell ref="I48:J48"/>
    <mergeCell ref="B50:K51"/>
    <mergeCell ref="I206:J206"/>
    <mergeCell ref="A118:L118"/>
    <mergeCell ref="O118:R118"/>
    <mergeCell ref="T118:Y118"/>
    <mergeCell ref="B124:C124"/>
    <mergeCell ref="B114:K115"/>
    <mergeCell ref="I64:J64"/>
    <mergeCell ref="I176:J176"/>
    <mergeCell ref="B178:K179"/>
    <mergeCell ref="B108:C108"/>
    <mergeCell ref="I110:J110"/>
    <mergeCell ref="I111:J111"/>
    <mergeCell ref="I112:J112"/>
    <mergeCell ref="A102:L102"/>
    <mergeCell ref="I159:J159"/>
    <mergeCell ref="I160:J160"/>
    <mergeCell ref="B140:C140"/>
    <mergeCell ref="A134:L134"/>
    <mergeCell ref="O134:R134"/>
    <mergeCell ref="T134:Y134"/>
    <mergeCell ref="C135:F135"/>
    <mergeCell ref="H135:I135"/>
    <mergeCell ref="I142:J142"/>
    <mergeCell ref="I143:J143"/>
    <mergeCell ref="I144:J144"/>
    <mergeCell ref="F138:G138"/>
    <mergeCell ref="I138:K138"/>
    <mergeCell ref="I158:J158"/>
    <mergeCell ref="I190:J190"/>
    <mergeCell ref="I191:J191"/>
    <mergeCell ref="I192:J192"/>
    <mergeCell ref="A166:L166"/>
    <mergeCell ref="O166:R166"/>
    <mergeCell ref="B162:K163"/>
    <mergeCell ref="T166:Y166"/>
    <mergeCell ref="C167:F167"/>
    <mergeCell ref="H167:I167"/>
    <mergeCell ref="F170:G170"/>
    <mergeCell ref="I170:K170"/>
    <mergeCell ref="B172:C172"/>
    <mergeCell ref="I174:J174"/>
    <mergeCell ref="I175:J175"/>
    <mergeCell ref="A182:L182"/>
    <mergeCell ref="O182:R182"/>
    <mergeCell ref="T182:Y182"/>
    <mergeCell ref="C183:F183"/>
    <mergeCell ref="H183:I183"/>
    <mergeCell ref="F186:G186"/>
    <mergeCell ref="A150:L150"/>
    <mergeCell ref="O150:R150"/>
    <mergeCell ref="T150:Y150"/>
    <mergeCell ref="C151:F151"/>
    <mergeCell ref="H151:I151"/>
    <mergeCell ref="F154:G154"/>
    <mergeCell ref="I154:K154"/>
    <mergeCell ref="B156:C156"/>
    <mergeCell ref="O470:R470"/>
    <mergeCell ref="T470:Y470"/>
    <mergeCell ref="O230:R230"/>
    <mergeCell ref="T230:Y230"/>
    <mergeCell ref="I202:K202"/>
    <mergeCell ref="I238:J238"/>
    <mergeCell ref="I239:J239"/>
    <mergeCell ref="I240:J240"/>
    <mergeCell ref="O198:R198"/>
    <mergeCell ref="T198:Y198"/>
    <mergeCell ref="O262:R262"/>
    <mergeCell ref="B274:K275"/>
    <mergeCell ref="T262:Y262"/>
    <mergeCell ref="A246:L246"/>
    <mergeCell ref="I208:J208"/>
    <mergeCell ref="C199:F199"/>
    <mergeCell ref="H199:I199"/>
    <mergeCell ref="F202:G202"/>
    <mergeCell ref="B204:C204"/>
    <mergeCell ref="A198:L198"/>
    <mergeCell ref="I186:K186"/>
    <mergeCell ref="B188:C188"/>
    <mergeCell ref="I207:J207"/>
    <mergeCell ref="A342:L342"/>
    <mergeCell ref="O502:R502"/>
    <mergeCell ref="T502:Y502"/>
    <mergeCell ref="O534:R534"/>
    <mergeCell ref="T534:Y534"/>
    <mergeCell ref="B530:K531"/>
    <mergeCell ref="I526:J526"/>
    <mergeCell ref="I527:J527"/>
    <mergeCell ref="A518:L518"/>
    <mergeCell ref="O518:R518"/>
    <mergeCell ref="A502:L502"/>
    <mergeCell ref="A534:L534"/>
    <mergeCell ref="I558:J558"/>
    <mergeCell ref="I559:J559"/>
    <mergeCell ref="O566:R566"/>
    <mergeCell ref="T566:Y566"/>
    <mergeCell ref="C567:F567"/>
    <mergeCell ref="H567:I567"/>
    <mergeCell ref="C503:F503"/>
    <mergeCell ref="F506:G506"/>
    <mergeCell ref="I506:K506"/>
    <mergeCell ref="B508:C508"/>
    <mergeCell ref="T518:Y518"/>
    <mergeCell ref="O582:R582"/>
    <mergeCell ref="T582:Y582"/>
    <mergeCell ref="I574:J574"/>
    <mergeCell ref="I575:J575"/>
    <mergeCell ref="I576:J576"/>
    <mergeCell ref="B578:K579"/>
    <mergeCell ref="B594:K595"/>
    <mergeCell ref="I560:J560"/>
    <mergeCell ref="C551:F551"/>
    <mergeCell ref="H551:I551"/>
    <mergeCell ref="F554:G554"/>
    <mergeCell ref="I554:K554"/>
    <mergeCell ref="B556:C556"/>
    <mergeCell ref="C583:F583"/>
    <mergeCell ref="H583:I583"/>
    <mergeCell ref="F586:G586"/>
    <mergeCell ref="I586:K586"/>
    <mergeCell ref="B588:C588"/>
    <mergeCell ref="I590:J590"/>
    <mergeCell ref="I591:J591"/>
    <mergeCell ref="B572:C572"/>
    <mergeCell ref="A566:L566"/>
    <mergeCell ref="O694:R694"/>
    <mergeCell ref="T694:Y694"/>
    <mergeCell ref="T630:Y630"/>
    <mergeCell ref="T662:Y662"/>
    <mergeCell ref="O598:R598"/>
    <mergeCell ref="T598:Y598"/>
    <mergeCell ref="A614:L614"/>
    <mergeCell ref="O614:R614"/>
    <mergeCell ref="T614:Y614"/>
    <mergeCell ref="I606:J606"/>
    <mergeCell ref="I607:J607"/>
    <mergeCell ref="I608:J608"/>
    <mergeCell ref="C615:F615"/>
    <mergeCell ref="H615:I615"/>
    <mergeCell ref="B652:C652"/>
    <mergeCell ref="B610:K611"/>
    <mergeCell ref="B626:K627"/>
    <mergeCell ref="I654:J654"/>
    <mergeCell ref="I655:J655"/>
    <mergeCell ref="I656:J656"/>
    <mergeCell ref="F666:G666"/>
    <mergeCell ref="A662:L662"/>
    <mergeCell ref="C663:F663"/>
    <mergeCell ref="O246:R246"/>
    <mergeCell ref="T246:Y246"/>
    <mergeCell ref="C695:F695"/>
    <mergeCell ref="H695:I695"/>
    <mergeCell ref="A678:L678"/>
    <mergeCell ref="O678:R678"/>
    <mergeCell ref="T678:Y678"/>
    <mergeCell ref="B258:K259"/>
    <mergeCell ref="F250:G250"/>
    <mergeCell ref="I250:K250"/>
    <mergeCell ref="B252:C252"/>
    <mergeCell ref="I254:J254"/>
    <mergeCell ref="H663:I663"/>
    <mergeCell ref="O630:R630"/>
    <mergeCell ref="O662:R662"/>
    <mergeCell ref="A646:L646"/>
    <mergeCell ref="O646:R646"/>
    <mergeCell ref="T646:Y646"/>
    <mergeCell ref="I638:J638"/>
    <mergeCell ref="B642:K643"/>
    <mergeCell ref="B658:K659"/>
    <mergeCell ref="C647:F647"/>
    <mergeCell ref="I496:J496"/>
    <mergeCell ref="I458:K458"/>
    <mergeCell ref="B460:C460"/>
    <mergeCell ref="H455:I455"/>
    <mergeCell ref="F330:G330"/>
    <mergeCell ref="I330:K330"/>
    <mergeCell ref="B332:C332"/>
    <mergeCell ref="A326:L326"/>
    <mergeCell ref="O326:R326"/>
    <mergeCell ref="T326:Y326"/>
    <mergeCell ref="B364:C364"/>
    <mergeCell ref="I366:J366"/>
    <mergeCell ref="I367:J367"/>
    <mergeCell ref="I368:J368"/>
    <mergeCell ref="B370:K371"/>
    <mergeCell ref="A374:L374"/>
    <mergeCell ref="O374:R374"/>
    <mergeCell ref="T374:Y374"/>
    <mergeCell ref="C375:F375"/>
    <mergeCell ref="H375:I375"/>
    <mergeCell ref="F378:G378"/>
    <mergeCell ref="I378:K378"/>
    <mergeCell ref="O342:R342"/>
    <mergeCell ref="T342:Y342"/>
    <mergeCell ref="C343:F343"/>
    <mergeCell ref="H343:I343"/>
    <mergeCell ref="F346:G346"/>
    <mergeCell ref="I346:K346"/>
    <mergeCell ref="B348:C348"/>
    <mergeCell ref="I350:J350"/>
    <mergeCell ref="I351:J351"/>
    <mergeCell ref="I352:J352"/>
    <mergeCell ref="B354:K355"/>
    <mergeCell ref="I334:J334"/>
    <mergeCell ref="I335:J335"/>
    <mergeCell ref="I336:J336"/>
    <mergeCell ref="B338:K339"/>
    <mergeCell ref="B770:K771"/>
    <mergeCell ref="B786:K787"/>
    <mergeCell ref="I766:J766"/>
    <mergeCell ref="I767:J767"/>
    <mergeCell ref="I768:J768"/>
    <mergeCell ref="C759:F759"/>
    <mergeCell ref="H759:I759"/>
    <mergeCell ref="F762:G762"/>
    <mergeCell ref="I762:K762"/>
    <mergeCell ref="B764:C764"/>
    <mergeCell ref="C775:F775"/>
    <mergeCell ref="H775:I775"/>
    <mergeCell ref="F778:G778"/>
    <mergeCell ref="I778:K778"/>
    <mergeCell ref="B780:C780"/>
    <mergeCell ref="A774:L774"/>
    <mergeCell ref="I735:J735"/>
    <mergeCell ref="A726:L726"/>
    <mergeCell ref="I718:J718"/>
    <mergeCell ref="I719:J719"/>
    <mergeCell ref="I720:J720"/>
    <mergeCell ref="B738:K739"/>
    <mergeCell ref="I666:K666"/>
    <mergeCell ref="B668:C668"/>
    <mergeCell ref="B754:K755"/>
    <mergeCell ref="B380:C380"/>
    <mergeCell ref="I382:J382"/>
    <mergeCell ref="I383:J383"/>
    <mergeCell ref="B418:K419"/>
    <mergeCell ref="I398:J398"/>
    <mergeCell ref="I399:J399"/>
    <mergeCell ref="T774:Y774"/>
    <mergeCell ref="A790:L790"/>
    <mergeCell ref="O790:R790"/>
    <mergeCell ref="T790:Y790"/>
    <mergeCell ref="I782:J782"/>
    <mergeCell ref="I783:J783"/>
    <mergeCell ref="I784:J784"/>
    <mergeCell ref="I798:J798"/>
    <mergeCell ref="I799:J799"/>
    <mergeCell ref="O742:R742"/>
    <mergeCell ref="T742:Y742"/>
    <mergeCell ref="O710:R710"/>
    <mergeCell ref="T710:Y710"/>
    <mergeCell ref="O726:R726"/>
    <mergeCell ref="T726:Y726"/>
    <mergeCell ref="I734:J734"/>
    <mergeCell ref="A758:L758"/>
    <mergeCell ref="O758:R758"/>
    <mergeCell ref="T758:Y758"/>
    <mergeCell ref="O774:R774"/>
    <mergeCell ref="I751:J751"/>
    <mergeCell ref="I752:J752"/>
    <mergeCell ref="C743:F743"/>
    <mergeCell ref="H743:I743"/>
    <mergeCell ref="F746:G746"/>
    <mergeCell ref="I746:K746"/>
    <mergeCell ref="B748:C748"/>
    <mergeCell ref="I730:K730"/>
    <mergeCell ref="B732:C732"/>
    <mergeCell ref="C727:F727"/>
    <mergeCell ref="H727:I727"/>
    <mergeCell ref="F730:G730"/>
    <mergeCell ref="B706:K707"/>
    <mergeCell ref="I670:J670"/>
    <mergeCell ref="I671:J671"/>
    <mergeCell ref="I800:J800"/>
    <mergeCell ref="C791:F791"/>
    <mergeCell ref="H791:I791"/>
    <mergeCell ref="F794:G794"/>
    <mergeCell ref="I794:K794"/>
    <mergeCell ref="B796:C796"/>
    <mergeCell ref="C807:F807"/>
    <mergeCell ref="H807:I807"/>
    <mergeCell ref="B802:K803"/>
    <mergeCell ref="F714:G714"/>
    <mergeCell ref="I714:K714"/>
    <mergeCell ref="B716:C716"/>
    <mergeCell ref="A710:L710"/>
    <mergeCell ref="F698:G698"/>
    <mergeCell ref="I698:K698"/>
    <mergeCell ref="B700:C700"/>
    <mergeCell ref="A742:L742"/>
    <mergeCell ref="I750:J750"/>
    <mergeCell ref="I702:J702"/>
    <mergeCell ref="I703:J703"/>
    <mergeCell ref="I704:J704"/>
    <mergeCell ref="A806:L806"/>
    <mergeCell ref="T838:Y838"/>
    <mergeCell ref="I830:J830"/>
    <mergeCell ref="I831:J831"/>
    <mergeCell ref="I832:J832"/>
    <mergeCell ref="A1142:L1142"/>
    <mergeCell ref="O1142:R1142"/>
    <mergeCell ref="T1142:Y1142"/>
    <mergeCell ref="I814:J814"/>
    <mergeCell ref="I815:J815"/>
    <mergeCell ref="I816:J816"/>
    <mergeCell ref="B818:K819"/>
    <mergeCell ref="O854:R854"/>
    <mergeCell ref="T854:Y854"/>
    <mergeCell ref="O870:R870"/>
    <mergeCell ref="T870:Y870"/>
    <mergeCell ref="H871:I871"/>
    <mergeCell ref="F874:G874"/>
    <mergeCell ref="I874:K874"/>
    <mergeCell ref="B876:C876"/>
    <mergeCell ref="C887:F887"/>
    <mergeCell ref="H887:I887"/>
    <mergeCell ref="B882:K883"/>
    <mergeCell ref="O1110:R1110"/>
    <mergeCell ref="T1110:Y1110"/>
    <mergeCell ref="A1110:L1110"/>
    <mergeCell ref="O918:R918"/>
    <mergeCell ref="T918:Y918"/>
    <mergeCell ref="C919:F919"/>
    <mergeCell ref="H919:I919"/>
    <mergeCell ref="F922:G922"/>
    <mergeCell ref="H935:I935"/>
    <mergeCell ref="F986:G986"/>
    <mergeCell ref="O806:R806"/>
    <mergeCell ref="T806:Y806"/>
    <mergeCell ref="F858:G858"/>
    <mergeCell ref="I858:K858"/>
    <mergeCell ref="B860:C860"/>
    <mergeCell ref="A854:L854"/>
    <mergeCell ref="A870:L870"/>
    <mergeCell ref="I862:J862"/>
    <mergeCell ref="I863:J863"/>
    <mergeCell ref="I864:J864"/>
    <mergeCell ref="B866:K867"/>
    <mergeCell ref="I878:J878"/>
    <mergeCell ref="I879:J879"/>
    <mergeCell ref="B834:K835"/>
    <mergeCell ref="C823:F823"/>
    <mergeCell ref="H823:I823"/>
    <mergeCell ref="I847:J847"/>
    <mergeCell ref="I848:J848"/>
    <mergeCell ref="C839:F839"/>
    <mergeCell ref="H839:I839"/>
    <mergeCell ref="F842:G842"/>
    <mergeCell ref="I842:K842"/>
    <mergeCell ref="B844:C844"/>
    <mergeCell ref="I846:J846"/>
    <mergeCell ref="F826:G826"/>
    <mergeCell ref="I826:K826"/>
    <mergeCell ref="B828:C828"/>
    <mergeCell ref="A822:L822"/>
    <mergeCell ref="C871:F871"/>
    <mergeCell ref="O822:R822"/>
    <mergeCell ref="T822:Y822"/>
    <mergeCell ref="O838:R838"/>
    <mergeCell ref="B972:C972"/>
    <mergeCell ref="A966:L966"/>
    <mergeCell ref="I938:K938"/>
    <mergeCell ref="B914:K915"/>
    <mergeCell ref="A918:L918"/>
    <mergeCell ref="I928:J928"/>
    <mergeCell ref="B930:K931"/>
    <mergeCell ref="B940:C940"/>
    <mergeCell ref="F810:G810"/>
    <mergeCell ref="I810:K810"/>
    <mergeCell ref="B812:C812"/>
    <mergeCell ref="I880:J880"/>
    <mergeCell ref="A838:L838"/>
    <mergeCell ref="I922:K922"/>
    <mergeCell ref="B924:C924"/>
    <mergeCell ref="I942:J942"/>
    <mergeCell ref="I943:J943"/>
    <mergeCell ref="I944:J944"/>
    <mergeCell ref="B946:K947"/>
    <mergeCell ref="A902:L902"/>
    <mergeCell ref="I894:J894"/>
    <mergeCell ref="I895:J895"/>
    <mergeCell ref="I970:K970"/>
    <mergeCell ref="I1082:K1082"/>
    <mergeCell ref="B1084:C1084"/>
    <mergeCell ref="A1078:L1078"/>
    <mergeCell ref="B1068:C1068"/>
    <mergeCell ref="I1056:J1056"/>
    <mergeCell ref="A1062:L1062"/>
    <mergeCell ref="B850:K851"/>
    <mergeCell ref="T966:Y966"/>
    <mergeCell ref="T1046:Y1046"/>
    <mergeCell ref="F890:G890"/>
    <mergeCell ref="I890:K890"/>
    <mergeCell ref="B892:C892"/>
    <mergeCell ref="A886:L886"/>
    <mergeCell ref="I910:J910"/>
    <mergeCell ref="I911:J911"/>
    <mergeCell ref="I912:J912"/>
    <mergeCell ref="C903:F903"/>
    <mergeCell ref="H903:I903"/>
    <mergeCell ref="F906:G906"/>
    <mergeCell ref="I906:K906"/>
    <mergeCell ref="B908:C908"/>
    <mergeCell ref="C935:F935"/>
    <mergeCell ref="I896:J896"/>
    <mergeCell ref="I992:J992"/>
    <mergeCell ref="B994:K995"/>
    <mergeCell ref="B898:K899"/>
    <mergeCell ref="A982:L982"/>
    <mergeCell ref="I974:J974"/>
    <mergeCell ref="I975:J975"/>
    <mergeCell ref="C983:F983"/>
    <mergeCell ref="H983:I983"/>
    <mergeCell ref="F970:G970"/>
    <mergeCell ref="A278:L278"/>
    <mergeCell ref="I1167:J1167"/>
    <mergeCell ref="I1168:J1168"/>
    <mergeCell ref="I1006:J1006"/>
    <mergeCell ref="I1007:J1007"/>
    <mergeCell ref="I1008:J1008"/>
    <mergeCell ref="I1002:K1002"/>
    <mergeCell ref="H1159:I1159"/>
    <mergeCell ref="B1010:K1011"/>
    <mergeCell ref="F1002:G1002"/>
    <mergeCell ref="B1020:C1020"/>
    <mergeCell ref="F298:G298"/>
    <mergeCell ref="I298:K298"/>
    <mergeCell ref="B300:C300"/>
    <mergeCell ref="A294:L294"/>
    <mergeCell ref="F314:G314"/>
    <mergeCell ref="I314:K314"/>
    <mergeCell ref="B316:C316"/>
    <mergeCell ref="I318:J318"/>
    <mergeCell ref="C999:F999"/>
    <mergeCell ref="H999:I999"/>
    <mergeCell ref="A998:L998"/>
    <mergeCell ref="I990:J990"/>
    <mergeCell ref="I991:J991"/>
    <mergeCell ref="I286:J286"/>
    <mergeCell ref="I287:J287"/>
    <mergeCell ref="I288:J288"/>
    <mergeCell ref="C279:F279"/>
    <mergeCell ref="B962:K963"/>
    <mergeCell ref="F938:G938"/>
    <mergeCell ref="B1154:K1155"/>
    <mergeCell ref="I1150:J1150"/>
    <mergeCell ref="A38:L38"/>
    <mergeCell ref="O38:R38"/>
    <mergeCell ref="I1055:J1055"/>
    <mergeCell ref="A1046:L1046"/>
    <mergeCell ref="O1046:R1046"/>
    <mergeCell ref="O214:R214"/>
    <mergeCell ref="B690:K691"/>
    <mergeCell ref="I686:J686"/>
    <mergeCell ref="I687:J687"/>
    <mergeCell ref="I688:J688"/>
    <mergeCell ref="C679:F679"/>
    <mergeCell ref="H679:I679"/>
    <mergeCell ref="F682:G682"/>
    <mergeCell ref="B1004:C1004"/>
    <mergeCell ref="I958:J958"/>
    <mergeCell ref="I959:J959"/>
    <mergeCell ref="I960:J960"/>
    <mergeCell ref="C951:F951"/>
    <mergeCell ref="H951:I951"/>
    <mergeCell ref="F954:G954"/>
    <mergeCell ref="B130:K131"/>
    <mergeCell ref="I126:J126"/>
    <mergeCell ref="I127:J127"/>
    <mergeCell ref="I128:J128"/>
    <mergeCell ref="C119:F119"/>
    <mergeCell ref="H119:I119"/>
    <mergeCell ref="F122:G122"/>
    <mergeCell ref="I122:K122"/>
    <mergeCell ref="C1047:F1047"/>
    <mergeCell ref="H1047:I1047"/>
    <mergeCell ref="O438:R438"/>
    <mergeCell ref="C855:F855"/>
    <mergeCell ref="B146:K147"/>
    <mergeCell ref="T294:Y294"/>
    <mergeCell ref="C295:F295"/>
    <mergeCell ref="H295:I295"/>
    <mergeCell ref="A1014:L1014"/>
    <mergeCell ref="O1014:R1014"/>
    <mergeCell ref="T1014:Y1014"/>
    <mergeCell ref="I302:J302"/>
    <mergeCell ref="I303:J303"/>
    <mergeCell ref="I304:J304"/>
    <mergeCell ref="O1078:R1078"/>
    <mergeCell ref="T1078:Y1078"/>
    <mergeCell ref="O1062:R1062"/>
    <mergeCell ref="T1062:Y1062"/>
    <mergeCell ref="O294:R294"/>
    <mergeCell ref="O1030:R1030"/>
    <mergeCell ref="I624:J624"/>
    <mergeCell ref="C631:F631"/>
    <mergeCell ref="H631:I631"/>
    <mergeCell ref="I592:J592"/>
    <mergeCell ref="O934:R934"/>
    <mergeCell ref="T934:Y934"/>
    <mergeCell ref="O950:R950"/>
    <mergeCell ref="T950:Y950"/>
    <mergeCell ref="O886:R886"/>
    <mergeCell ref="T886:Y886"/>
    <mergeCell ref="O902:R902"/>
    <mergeCell ref="T902:Y902"/>
    <mergeCell ref="B498:K499"/>
    <mergeCell ref="B514:K515"/>
    <mergeCell ref="I494:J494"/>
    <mergeCell ref="I495:J495"/>
    <mergeCell ref="C1175:F1175"/>
    <mergeCell ref="H1175:I1175"/>
    <mergeCell ref="F1178:G1178"/>
    <mergeCell ref="I1178:K1178"/>
    <mergeCell ref="B1170:K1171"/>
    <mergeCell ref="I1087:J1087"/>
    <mergeCell ref="B1148:C1148"/>
    <mergeCell ref="H1015:I1015"/>
    <mergeCell ref="F1018:G1018"/>
    <mergeCell ref="I1018:K1018"/>
    <mergeCell ref="T214:Y214"/>
    <mergeCell ref="C215:F215"/>
    <mergeCell ref="H215:I215"/>
    <mergeCell ref="F218:G218"/>
    <mergeCell ref="I218:K218"/>
    <mergeCell ref="C1015:F1015"/>
    <mergeCell ref="A438:L438"/>
    <mergeCell ref="A214:L214"/>
    <mergeCell ref="O998:R998"/>
    <mergeCell ref="T998:Y998"/>
    <mergeCell ref="O982:R982"/>
    <mergeCell ref="T982:Y982"/>
    <mergeCell ref="O278:R278"/>
    <mergeCell ref="T278:Y278"/>
    <mergeCell ref="I976:J976"/>
    <mergeCell ref="B978:K979"/>
    <mergeCell ref="I954:K954"/>
    <mergeCell ref="B956:C956"/>
    <mergeCell ref="C967:F967"/>
    <mergeCell ref="H967:I967"/>
    <mergeCell ref="O966:R966"/>
    <mergeCell ref="I1022:J1022"/>
    <mergeCell ref="I1151:J1151"/>
    <mergeCell ref="I1152:J1152"/>
    <mergeCell ref="C1143:F1143"/>
    <mergeCell ref="H1143:I1143"/>
    <mergeCell ref="H647:I647"/>
    <mergeCell ref="F650:G650"/>
    <mergeCell ref="I650:K650"/>
    <mergeCell ref="F634:G634"/>
    <mergeCell ref="I634:K634"/>
    <mergeCell ref="B636:C636"/>
    <mergeCell ref="A630:L630"/>
    <mergeCell ref="F618:G618"/>
    <mergeCell ref="I618:K618"/>
    <mergeCell ref="B620:C620"/>
    <mergeCell ref="I639:J639"/>
    <mergeCell ref="I640:J640"/>
    <mergeCell ref="C1031:F1031"/>
    <mergeCell ref="H1031:I1031"/>
    <mergeCell ref="F1034:G1034"/>
    <mergeCell ref="I1034:K1034"/>
    <mergeCell ref="B1036:C1036"/>
    <mergeCell ref="F1050:G1050"/>
    <mergeCell ref="I1050:K1050"/>
    <mergeCell ref="B1052:C1052"/>
    <mergeCell ref="I1054:J1054"/>
    <mergeCell ref="A1030:L1030"/>
    <mergeCell ref="I1023:J1023"/>
    <mergeCell ref="I1024:J1024"/>
    <mergeCell ref="F1082:G1082"/>
    <mergeCell ref="H855:I855"/>
    <mergeCell ref="A934:L934"/>
    <mergeCell ref="A950:L950"/>
    <mergeCell ref="B242:K243"/>
    <mergeCell ref="A230:L230"/>
    <mergeCell ref="C247:F247"/>
    <mergeCell ref="H247:I247"/>
    <mergeCell ref="F266:G266"/>
    <mergeCell ref="I266:K266"/>
    <mergeCell ref="B268:C268"/>
    <mergeCell ref="C231:F231"/>
    <mergeCell ref="H231:I231"/>
    <mergeCell ref="F234:G234"/>
    <mergeCell ref="I320:J320"/>
    <mergeCell ref="B322:K323"/>
    <mergeCell ref="F442:G442"/>
    <mergeCell ref="I442:K442"/>
    <mergeCell ref="B444:C444"/>
    <mergeCell ref="I446:J446"/>
    <mergeCell ref="A262:L262"/>
    <mergeCell ref="H279:I279"/>
    <mergeCell ref="F282:G282"/>
    <mergeCell ref="I282:K282"/>
    <mergeCell ref="B284:C284"/>
    <mergeCell ref="I255:J255"/>
    <mergeCell ref="I256:J256"/>
    <mergeCell ref="B290:K291"/>
    <mergeCell ref="C327:F327"/>
    <mergeCell ref="H327:I327"/>
    <mergeCell ref="F410:G410"/>
    <mergeCell ref="I410:K410"/>
    <mergeCell ref="B412:C412"/>
    <mergeCell ref="I414:J414"/>
    <mergeCell ref="I415:J415"/>
    <mergeCell ref="I416:J416"/>
    <mergeCell ref="I1182:J1182"/>
    <mergeCell ref="T1030:Y1030"/>
    <mergeCell ref="A1174:L1174"/>
    <mergeCell ref="O1174:R1174"/>
    <mergeCell ref="T1174:Y1174"/>
    <mergeCell ref="I1038:J1038"/>
    <mergeCell ref="I1039:J1039"/>
    <mergeCell ref="I1040:J1040"/>
    <mergeCell ref="B194:K195"/>
    <mergeCell ref="B1122:K1123"/>
    <mergeCell ref="A310:L310"/>
    <mergeCell ref="C1111:F1111"/>
    <mergeCell ref="H1111:I1111"/>
    <mergeCell ref="F1114:G1114"/>
    <mergeCell ref="I1114:K1114"/>
    <mergeCell ref="B1116:C1116"/>
    <mergeCell ref="I1118:J1118"/>
    <mergeCell ref="I1119:J1119"/>
    <mergeCell ref="I1120:J1120"/>
    <mergeCell ref="I682:K682"/>
    <mergeCell ref="B684:C684"/>
    <mergeCell ref="B210:K211"/>
    <mergeCell ref="B306:K307"/>
    <mergeCell ref="B1026:K1027"/>
    <mergeCell ref="B1042:K1043"/>
    <mergeCell ref="B1058:K1059"/>
    <mergeCell ref="B1074:K1075"/>
    <mergeCell ref="B1090:K1091"/>
    <mergeCell ref="F1130:G1130"/>
    <mergeCell ref="I1130:K1130"/>
    <mergeCell ref="I1102:J1102"/>
    <mergeCell ref="O310:R310"/>
    <mergeCell ref="I1183:J1183"/>
    <mergeCell ref="F1146:G1146"/>
    <mergeCell ref="I1146:K1146"/>
    <mergeCell ref="O1158:R1158"/>
    <mergeCell ref="T1158:Y1158"/>
    <mergeCell ref="I1166:J1166"/>
    <mergeCell ref="I1103:J1103"/>
    <mergeCell ref="I1104:J1104"/>
    <mergeCell ref="B1106:K1107"/>
    <mergeCell ref="A358:L358"/>
    <mergeCell ref="O358:R358"/>
    <mergeCell ref="T358:Y358"/>
    <mergeCell ref="C359:F359"/>
    <mergeCell ref="H359:I359"/>
    <mergeCell ref="F362:G362"/>
    <mergeCell ref="I362:K362"/>
    <mergeCell ref="B1186:K1187"/>
    <mergeCell ref="B450:K451"/>
    <mergeCell ref="I1135:J1135"/>
    <mergeCell ref="I1136:J1136"/>
    <mergeCell ref="A1126:L1126"/>
    <mergeCell ref="O1126:R1126"/>
    <mergeCell ref="T1126:Y1126"/>
    <mergeCell ref="C1127:F1127"/>
    <mergeCell ref="H1127:I1127"/>
    <mergeCell ref="I1184:J1184"/>
    <mergeCell ref="F1162:G1162"/>
    <mergeCell ref="I1162:K1162"/>
    <mergeCell ref="B1164:C1164"/>
    <mergeCell ref="A1158:L1158"/>
    <mergeCell ref="C1159:F1159"/>
    <mergeCell ref="B1180:C1180"/>
    <mergeCell ref="T310:Y310"/>
    <mergeCell ref="C311:F311"/>
    <mergeCell ref="H311:I311"/>
    <mergeCell ref="B1132:C1132"/>
    <mergeCell ref="I1134:J1134"/>
    <mergeCell ref="I234:K234"/>
    <mergeCell ref="B236:C236"/>
    <mergeCell ref="I319:J319"/>
    <mergeCell ref="I447:J447"/>
    <mergeCell ref="I448:J448"/>
    <mergeCell ref="B220:C220"/>
    <mergeCell ref="I222:J222"/>
    <mergeCell ref="I223:J223"/>
    <mergeCell ref="I224:J224"/>
    <mergeCell ref="B226:K227"/>
    <mergeCell ref="I270:J270"/>
    <mergeCell ref="I271:J271"/>
    <mergeCell ref="I272:J272"/>
    <mergeCell ref="C263:F263"/>
    <mergeCell ref="H263:I263"/>
    <mergeCell ref="A1094:L1094"/>
    <mergeCell ref="O1094:R1094"/>
    <mergeCell ref="T1094:Y1094"/>
    <mergeCell ref="C1095:F1095"/>
    <mergeCell ref="H1095:I1095"/>
    <mergeCell ref="F1098:G1098"/>
    <mergeCell ref="I1098:K1098"/>
    <mergeCell ref="B1100:C1100"/>
    <mergeCell ref="T438:Y438"/>
    <mergeCell ref="C439:F439"/>
    <mergeCell ref="H439:I439"/>
    <mergeCell ref="I400:J400"/>
    <mergeCell ref="B402:K403"/>
    <mergeCell ref="A406:L406"/>
    <mergeCell ref="I384:J384"/>
    <mergeCell ref="O406:R406"/>
    <mergeCell ref="T406:Y406"/>
    <mergeCell ref="C407:F407"/>
    <mergeCell ref="H407:I407"/>
    <mergeCell ref="B386:K387"/>
    <mergeCell ref="A390:L390"/>
    <mergeCell ref="O390:R390"/>
    <mergeCell ref="T390:Y390"/>
    <mergeCell ref="C391:F391"/>
    <mergeCell ref="H391:I391"/>
    <mergeCell ref="F394:G394"/>
    <mergeCell ref="I394:K394"/>
    <mergeCell ref="B396:C396"/>
    <mergeCell ref="H503:I503"/>
    <mergeCell ref="A454:L454"/>
    <mergeCell ref="C471:F471"/>
    <mergeCell ref="H471:I471"/>
    <mergeCell ref="C487:F487"/>
    <mergeCell ref="H487:I487"/>
    <mergeCell ref="B492:C492"/>
    <mergeCell ref="I478:J478"/>
    <mergeCell ref="I479:J479"/>
    <mergeCell ref="I480:J480"/>
    <mergeCell ref="A486:L486"/>
    <mergeCell ref="O486:R486"/>
    <mergeCell ref="T486:Y486"/>
    <mergeCell ref="F490:G490"/>
    <mergeCell ref="I490:K490"/>
    <mergeCell ref="F474:G474"/>
    <mergeCell ref="A1303:L1303"/>
    <mergeCell ref="O1303:R1303"/>
    <mergeCell ref="T1303:Y1303"/>
    <mergeCell ref="C1304:F1304"/>
    <mergeCell ref="H1304:I1304"/>
    <mergeCell ref="F1307:G1307"/>
    <mergeCell ref="I1307:K1307"/>
    <mergeCell ref="B1309:C1309"/>
    <mergeCell ref="I1311:J1311"/>
    <mergeCell ref="I1248:J1248"/>
    <mergeCell ref="I1249:J1249"/>
    <mergeCell ref="B1251:K1252"/>
    <mergeCell ref="A1239:L1239"/>
    <mergeCell ref="O1239:R1239"/>
    <mergeCell ref="T1239:Y1239"/>
    <mergeCell ref="C1240:F1240"/>
    <mergeCell ref="H1240:I1240"/>
    <mergeCell ref="F1243:G1243"/>
    <mergeCell ref="I1243:K1243"/>
    <mergeCell ref="B1245:C1245"/>
    <mergeCell ref="I1247:J1247"/>
    <mergeCell ref="O1287:R1287"/>
    <mergeCell ref="T1287:Y1287"/>
    <mergeCell ref="C1288:F1288"/>
    <mergeCell ref="H1288:I1288"/>
    <mergeCell ref="F1291:G1291"/>
    <mergeCell ref="I1291:K1291"/>
    <mergeCell ref="A1271:L1271"/>
    <mergeCell ref="T1271:Y1271"/>
    <mergeCell ref="O1255:R1255"/>
    <mergeCell ref="T1255:Y1255"/>
    <mergeCell ref="C1256:F1256"/>
    <mergeCell ref="B1325:C1325"/>
    <mergeCell ref="I1327:J1327"/>
    <mergeCell ref="I1328:J1328"/>
    <mergeCell ref="I1329:J1329"/>
    <mergeCell ref="B1331:K1332"/>
    <mergeCell ref="A1335:L1335"/>
    <mergeCell ref="O1335:R1335"/>
    <mergeCell ref="T1335:Y1335"/>
    <mergeCell ref="C1336:F1336"/>
    <mergeCell ref="H1336:I1336"/>
    <mergeCell ref="I1312:J1312"/>
    <mergeCell ref="I1313:J1313"/>
    <mergeCell ref="B1315:K1316"/>
    <mergeCell ref="A1319:L1319"/>
    <mergeCell ref="O1319:R1319"/>
    <mergeCell ref="T1319:Y1319"/>
    <mergeCell ref="C1320:F1320"/>
    <mergeCell ref="H1320:I1320"/>
    <mergeCell ref="F1323:G1323"/>
    <mergeCell ref="I1323:K1323"/>
    <mergeCell ref="T1351:Y1351"/>
    <mergeCell ref="C1352:F1352"/>
    <mergeCell ref="H1352:I1352"/>
    <mergeCell ref="F1355:G1355"/>
    <mergeCell ref="I1355:K1355"/>
    <mergeCell ref="B1357:C1357"/>
    <mergeCell ref="I1359:J1359"/>
    <mergeCell ref="I1360:J1360"/>
    <mergeCell ref="I1361:J1361"/>
    <mergeCell ref="F1339:G1339"/>
    <mergeCell ref="I1339:K1339"/>
    <mergeCell ref="B1341:C1341"/>
    <mergeCell ref="I1343:J1343"/>
    <mergeCell ref="I1344:J1344"/>
    <mergeCell ref="I1345:J1345"/>
    <mergeCell ref="B1347:K1348"/>
    <mergeCell ref="A1351:L1351"/>
    <mergeCell ref="O1351:R1351"/>
    <mergeCell ref="I1375:J1375"/>
    <mergeCell ref="I1376:J1376"/>
    <mergeCell ref="I1377:J1377"/>
    <mergeCell ref="B1379:K1380"/>
    <mergeCell ref="A1383:L1383"/>
    <mergeCell ref="O1383:R1383"/>
    <mergeCell ref="T1383:Y1383"/>
    <mergeCell ref="C1384:F1384"/>
    <mergeCell ref="H1384:I1384"/>
    <mergeCell ref="B1363:K1364"/>
    <mergeCell ref="A1367:L1367"/>
    <mergeCell ref="O1367:R1367"/>
    <mergeCell ref="T1367:Y1367"/>
    <mergeCell ref="C1368:F1368"/>
    <mergeCell ref="H1368:I1368"/>
    <mergeCell ref="F1371:G1371"/>
    <mergeCell ref="I1371:K1371"/>
    <mergeCell ref="B1373:C1373"/>
    <mergeCell ref="B1411:K1412"/>
    <mergeCell ref="T1399:Y1399"/>
    <mergeCell ref="C1400:F1400"/>
    <mergeCell ref="H1400:I1400"/>
    <mergeCell ref="F1403:G1403"/>
    <mergeCell ref="I1403:K1403"/>
    <mergeCell ref="B1405:C1405"/>
    <mergeCell ref="I1407:J1407"/>
    <mergeCell ref="I1408:J1408"/>
    <mergeCell ref="I1409:J1409"/>
    <mergeCell ref="F1387:G1387"/>
    <mergeCell ref="I1387:K1387"/>
    <mergeCell ref="B1389:C1389"/>
    <mergeCell ref="I1391:J1391"/>
    <mergeCell ref="I1392:J1392"/>
    <mergeCell ref="I1393:J1393"/>
    <mergeCell ref="B1395:K1396"/>
    <mergeCell ref="A1399:L1399"/>
    <mergeCell ref="O1399:R1399"/>
  </mergeCells>
  <phoneticPr fontId="4" type="noConversion"/>
  <printOptions horizontalCentered="1"/>
  <pageMargins left="2.25" right="0" top="0" bottom="0" header="0.5" footer="0.5"/>
  <pageSetup paperSize="27" scale="76" fitToHeight="0" orientation="landscape" r:id="rId1"/>
  <headerFooter alignWithMargins="0"/>
  <rowBreaks count="88" manualBreakCount="88">
    <brk id="68" max="25" man="1"/>
    <brk id="84" max="25" man="1"/>
    <brk id="100" max="25" man="1"/>
    <brk id="116" max="25" man="1"/>
    <brk id="133" max="25" man="1"/>
    <brk id="148" max="25" man="1"/>
    <brk id="164" max="25" man="1"/>
    <brk id="181" max="25" man="1"/>
    <brk id="196" max="25" man="1"/>
    <brk id="212" max="25" man="1"/>
    <brk id="229" max="25" man="1"/>
    <brk id="244" max="25" man="1"/>
    <brk id="261" max="25" man="1"/>
    <brk id="277" max="25" man="1"/>
    <brk id="292" max="25" man="1"/>
    <brk id="309" max="25" man="1"/>
    <brk id="324" max="25" man="1"/>
    <brk id="340" max="25" man="1"/>
    <brk id="356" max="25" man="1"/>
    <brk id="373" max="25" man="1"/>
    <brk id="389" max="25" man="1"/>
    <brk id="404" max="25" man="1"/>
    <brk id="420" max="25" man="1"/>
    <brk id="436" max="25" man="1"/>
    <brk id="452" max="25" man="1"/>
    <brk id="469" max="25" man="1"/>
    <brk id="484" max="25" man="1"/>
    <brk id="501" max="25" man="1"/>
    <brk id="516" max="25" man="1"/>
    <brk id="533" max="25" man="1"/>
    <brk id="548" max="25" man="1"/>
    <brk id="565" max="25" man="1"/>
    <brk id="580" max="25" man="1"/>
    <brk id="596" max="25" man="1"/>
    <brk id="612" max="25" man="1"/>
    <brk id="628" max="25" man="1"/>
    <brk id="645" max="25" man="1"/>
    <brk id="660" max="25" man="1"/>
    <brk id="676" max="25" man="1"/>
    <brk id="692" max="25" man="1"/>
    <brk id="708" max="25" man="1"/>
    <brk id="725" max="25" man="1"/>
    <brk id="741" max="25" man="1"/>
    <brk id="756" max="25" man="1"/>
    <brk id="772" max="25" man="1"/>
    <brk id="788" max="25" man="1"/>
    <brk id="804" max="25" man="1"/>
    <brk id="820" max="25" man="1"/>
    <brk id="836" max="25" man="1"/>
    <brk id="852" max="25" man="1"/>
    <brk id="869" max="25" man="1"/>
    <brk id="884" max="25" man="1"/>
    <brk id="901" max="25" man="1"/>
    <brk id="917" max="25" man="1"/>
    <brk id="932" max="25" man="1"/>
    <brk id="948" max="25" man="1"/>
    <brk id="964" max="25" man="1"/>
    <brk id="980" max="25" man="1"/>
    <brk id="997" max="25" man="1"/>
    <brk id="1012" max="25" man="1"/>
    <brk id="1028" max="25" man="1"/>
    <brk id="1044" max="25" man="1"/>
    <brk id="1060" max="25" man="1"/>
    <brk id="1077" max="25" man="1"/>
    <brk id="1093" max="25" man="1"/>
    <brk id="1108" max="25" man="1"/>
    <brk id="1125" max="25" man="1"/>
    <brk id="1140" max="25" man="1"/>
    <brk id="1156" max="25" man="1"/>
    <brk id="1172" max="25" man="1"/>
    <brk id="1188" max="25" man="1"/>
    <brk id="1204" max="25" man="1"/>
    <brk id="1221" max="25" man="1"/>
    <brk id="1237" max="25" man="1"/>
    <brk id="1253" max="25" man="1"/>
    <brk id="1270" max="25" man="1"/>
    <brk id="1285" max="25" man="1"/>
    <brk id="1301" max="25" man="1"/>
    <brk id="1317" max="25" man="1"/>
    <brk id="1333" max="25" man="1"/>
    <brk id="1349" max="25" man="1"/>
    <brk id="1365" max="25" man="1"/>
    <brk id="1381" max="25" man="1"/>
    <brk id="1397" max="25" man="1"/>
    <brk id="1413" max="25" man="1"/>
    <brk id="1429" max="25" man="1"/>
    <brk id="1445" max="25" man="1"/>
    <brk id="1461" max="25" man="1"/>
  </rowBreaks>
  <colBreaks count="1" manualBreakCount="1">
    <brk id="12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18"/>
  <sheetViews>
    <sheetView workbookViewId="0">
      <selection activeCell="D7" sqref="D7"/>
    </sheetView>
  </sheetViews>
  <sheetFormatPr defaultRowHeight="13.2" x14ac:dyDescent="0.25"/>
  <cols>
    <col min="3" max="3" width="18.33203125" customWidth="1"/>
    <col min="4" max="4" width="12.44140625" style="2" bestFit="1" customWidth="1"/>
    <col min="5" max="5" width="13.109375" style="2" customWidth="1"/>
    <col min="6" max="6" width="9.33203125" bestFit="1" customWidth="1"/>
  </cols>
  <sheetData>
    <row r="5" spans="3:6" ht="17.399999999999999" x14ac:dyDescent="0.3">
      <c r="C5" s="332" t="s">
        <v>153</v>
      </c>
      <c r="D5" s="332"/>
      <c r="E5" s="332"/>
      <c r="F5" s="332"/>
    </row>
    <row r="6" spans="3:6" x14ac:dyDescent="0.25">
      <c r="C6" s="213" t="s">
        <v>154</v>
      </c>
      <c r="D6" s="214" t="s">
        <v>163</v>
      </c>
      <c r="E6" s="214" t="s">
        <v>164</v>
      </c>
      <c r="F6" s="213" t="s">
        <v>165</v>
      </c>
    </row>
    <row r="7" spans="3:6" x14ac:dyDescent="0.25">
      <c r="C7" s="215" t="s">
        <v>155</v>
      </c>
      <c r="D7" s="210">
        <f>'[1]Salary Sheets'!$Q$4+'[1]Salary Sheets'!$Q$5</f>
        <v>100000</v>
      </c>
      <c r="E7" s="210">
        <f>'Salary Sheets'!Q4+'Salary Sheets'!Q5</f>
        <v>100000</v>
      </c>
      <c r="F7" s="212"/>
    </row>
    <row r="8" spans="3:6" x14ac:dyDescent="0.25">
      <c r="C8" s="215" t="s">
        <v>50</v>
      </c>
      <c r="D8" s="210">
        <f>'[1]Salary Sheets'!$Q$11</f>
        <v>30000</v>
      </c>
      <c r="E8" s="210">
        <f>'Salary Sheets'!Q11</f>
        <v>30000</v>
      </c>
      <c r="F8" s="212"/>
    </row>
    <row r="9" spans="3:6" x14ac:dyDescent="0.25">
      <c r="C9" s="215" t="s">
        <v>48</v>
      </c>
      <c r="D9" s="210">
        <f>'[1]Salary Sheets'!$Q$20</f>
        <v>114066.99999999999</v>
      </c>
      <c r="E9" s="210">
        <f>'Salary Sheets'!Q18</f>
        <v>91400</v>
      </c>
      <c r="F9" s="212"/>
    </row>
    <row r="10" spans="3:6" x14ac:dyDescent="0.25">
      <c r="C10" s="215" t="s">
        <v>156</v>
      </c>
      <c r="D10" s="210">
        <f>'[1]Salary Sheets'!$Q$29</f>
        <v>163929.64583333334</v>
      </c>
      <c r="E10" s="210">
        <f>'Salary Sheets'!Q28</f>
        <v>173726.75000000003</v>
      </c>
      <c r="F10" s="212"/>
    </row>
    <row r="11" spans="3:6" x14ac:dyDescent="0.25">
      <c r="C11" s="215" t="s">
        <v>157</v>
      </c>
      <c r="D11" s="210">
        <f>'[1]Salary Sheets'!$Q$39</f>
        <v>208551.83333333334</v>
      </c>
      <c r="E11" s="210">
        <f>'Salary Sheets'!Q37</f>
        <v>187618.16666666666</v>
      </c>
      <c r="F11" s="212"/>
    </row>
    <row r="12" spans="3:6" x14ac:dyDescent="0.25">
      <c r="C12" s="215" t="s">
        <v>49</v>
      </c>
      <c r="D12" s="210">
        <f>'[1]Salary Sheets'!$Q$55</f>
        <v>241110.16666666669</v>
      </c>
      <c r="E12" s="210">
        <f>'Salary Sheets'!Q55</f>
        <v>256681.49999999997</v>
      </c>
      <c r="F12" s="212"/>
    </row>
    <row r="13" spans="3:6" x14ac:dyDescent="0.25">
      <c r="C13" s="215" t="s">
        <v>158</v>
      </c>
      <c r="D13" s="210">
        <f>'[1]Salary Sheets'!$Q$63</f>
        <v>86643.333333333328</v>
      </c>
      <c r="E13" s="210">
        <f>'Salary Sheets'!Q64</f>
        <v>117585.08333333333</v>
      </c>
      <c r="F13" s="212"/>
    </row>
    <row r="14" spans="3:6" x14ac:dyDescent="0.25">
      <c r="C14" s="215" t="s">
        <v>159</v>
      </c>
      <c r="D14" s="210">
        <f>'[1]Salary Sheets'!$Q$70</f>
        <v>90014.916666666672</v>
      </c>
      <c r="E14" s="210" t="e">
        <f>'Salary Sheets'!#REF!</f>
        <v>#REF!</v>
      </c>
      <c r="F14" s="212"/>
    </row>
    <row r="15" spans="3:6" x14ac:dyDescent="0.25">
      <c r="C15" s="215" t="s">
        <v>160</v>
      </c>
      <c r="D15" s="210">
        <f>'[1]Salary Sheets'!$Q$79</f>
        <v>98866.583333333343</v>
      </c>
      <c r="E15" s="210">
        <f>'Salary Sheets'!Q71</f>
        <v>79654.166666666672</v>
      </c>
      <c r="F15" s="212"/>
    </row>
    <row r="16" spans="3:6" x14ac:dyDescent="0.25">
      <c r="C16" s="215" t="s">
        <v>161</v>
      </c>
      <c r="D16" s="210">
        <f>'[1]Salary Sheets'!$Q$90</f>
        <v>168335.54166666669</v>
      </c>
      <c r="E16" s="210">
        <f>'Salary Sheets'!Q80</f>
        <v>90582.837500000009</v>
      </c>
      <c r="F16" s="212"/>
    </row>
    <row r="17" spans="3:6" x14ac:dyDescent="0.25">
      <c r="C17" s="215" t="s">
        <v>162</v>
      </c>
      <c r="D17" s="210">
        <f>'[1]Salary Sheets'!$Q$107</f>
        <v>193967.41071428571</v>
      </c>
      <c r="E17" s="210">
        <f>'Salary Sheets'!Q92</f>
        <v>181088.54166666666</v>
      </c>
      <c r="F17" s="212"/>
    </row>
    <row r="18" spans="3:6" ht="15.6" x14ac:dyDescent="0.3">
      <c r="C18" s="217" t="s">
        <v>166</v>
      </c>
      <c r="D18" s="14">
        <f>SUM(D7:D17)</f>
        <v>1495486.4315476192</v>
      </c>
      <c r="E18" s="14" t="e">
        <f>SUM(E7:E17)</f>
        <v>#REF!</v>
      </c>
      <c r="F18" s="216" t="e">
        <f>E18-D18</f>
        <v>#REF!</v>
      </c>
    </row>
  </sheetData>
  <mergeCells count="1">
    <mergeCell ref="C5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Salary Sheets</vt:lpstr>
      <vt:lpstr>Salary Record</vt:lpstr>
      <vt:lpstr>Salary Difference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cc</cp:lastModifiedBy>
  <cp:lastPrinted>2019-07-10T04:48:33Z</cp:lastPrinted>
  <dcterms:created xsi:type="dcterms:W3CDTF">2007-01-04T05:01:09Z</dcterms:created>
  <dcterms:modified xsi:type="dcterms:W3CDTF">2019-07-10T13:07:10Z</dcterms:modified>
</cp:coreProperties>
</file>