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Pioneer\PES\Office salaries\"/>
    </mc:Choice>
  </mc:AlternateContent>
  <xr:revisionPtr revIDLastSave="0" documentId="13_ncr:1_{00F6CB8C-4C06-4D8F-9B93-9530F4E90494}" xr6:coauthVersionLast="47" xr6:coauthVersionMax="47" xr10:uidLastSave="{00000000-0000-0000-0000-000000000000}"/>
  <bookViews>
    <workbookView xWindow="-120" yWindow="-120" windowWidth="29040" windowHeight="15840" tabRatio="824" activeTab="1" xr2:uid="{00000000-000D-0000-FFFF-FFFF00000000}"/>
  </bookViews>
  <sheets>
    <sheet name="Salary Sheets" sheetId="1" r:id="rId1"/>
    <sheet name="Salary Record" sheetId="8" r:id="rId2"/>
    <sheet name="Salary summary" sheetId="12" r:id="rId3"/>
    <sheet name="Salary increment" sheetId="13" r:id="rId4"/>
  </sheets>
  <externalReferences>
    <externalReference r:id="rId5"/>
  </externalReferences>
  <definedNames>
    <definedName name="_xlnm._FilterDatabase" localSheetId="3" hidden="1">'Salary increment'!$A$2:$E$2</definedName>
    <definedName name="_xlnm._FilterDatabase" localSheetId="0" hidden="1">'Salary Sheets'!$A$3:$Z$92</definedName>
    <definedName name="_xlnm.Print_Area" localSheetId="1">'Salary Record'!$A$441:$L$503</definedName>
    <definedName name="_xlnm.Print_Area" localSheetId="0">'Salary Sheets'!$A$1:$Q$77</definedName>
    <definedName name="_xlnm.Print_Titles" localSheetId="0">'Salary Sheets'!$3:$3</definedName>
  </definedNames>
  <calcPr calcId="181029"/>
  <fileRecoveryPr autoRecover="0"/>
</workbook>
</file>

<file path=xl/calcChain.xml><?xml version="1.0" encoding="utf-8"?>
<calcChain xmlns="http://schemas.openxmlformats.org/spreadsheetml/2006/main">
  <c r="K74" i="8" l="1"/>
  <c r="W41" i="1"/>
  <c r="Y667" i="8" l="1"/>
  <c r="U668" i="8" s="1"/>
  <c r="W668" i="8" s="1"/>
  <c r="Y668" i="8" s="1"/>
  <c r="U669" i="8" s="1"/>
  <c r="W669" i="8" s="1"/>
  <c r="Y669" i="8" s="1"/>
  <c r="U670" i="8" s="1"/>
  <c r="W670" i="8" s="1"/>
  <c r="Y670" i="8" s="1"/>
  <c r="W667" i="8"/>
  <c r="K203" i="8"/>
  <c r="E21" i="13"/>
  <c r="G8" i="8"/>
  <c r="H8" i="8"/>
  <c r="R9" i="8"/>
  <c r="R10" i="8" s="1"/>
  <c r="R11" i="8" s="1"/>
  <c r="R12" i="8" s="1"/>
  <c r="C17" i="8" s="1"/>
  <c r="W9" i="8"/>
  <c r="Y9" i="8" s="1"/>
  <c r="U10" i="8"/>
  <c r="W10" i="8" s="1"/>
  <c r="Y10" i="8" s="1"/>
  <c r="U11" i="8"/>
  <c r="W11" i="8" s="1"/>
  <c r="Y11" i="8" s="1"/>
  <c r="U12" i="8" s="1"/>
  <c r="I13" i="8"/>
  <c r="K13" i="8" s="1"/>
  <c r="R13" i="8"/>
  <c r="U13" i="8"/>
  <c r="W13" i="8" s="1"/>
  <c r="Y13" i="8" s="1"/>
  <c r="G14" i="8"/>
  <c r="K14" i="8"/>
  <c r="R14" i="8"/>
  <c r="U14" i="8"/>
  <c r="W14" i="8" s="1"/>
  <c r="Y14" i="8" s="1"/>
  <c r="C15" i="8"/>
  <c r="R15" i="8"/>
  <c r="U15" i="8"/>
  <c r="W15" i="8" s="1"/>
  <c r="Y15" i="8" s="1"/>
  <c r="C16" i="8"/>
  <c r="G16" i="8"/>
  <c r="K16" i="8" s="1"/>
  <c r="U16" i="8"/>
  <c r="W16" i="8" s="1"/>
  <c r="Y16" i="8" s="1"/>
  <c r="U17" i="8"/>
  <c r="W17" i="8" s="1"/>
  <c r="Y17" i="8" s="1"/>
  <c r="U18" i="8"/>
  <c r="W18" i="8" s="1"/>
  <c r="Y18" i="8" s="1"/>
  <c r="U19" i="8"/>
  <c r="W19" i="8" s="1"/>
  <c r="Y19" i="8" s="1"/>
  <c r="R20" i="8"/>
  <c r="U20" i="8"/>
  <c r="W20" i="8" s="1"/>
  <c r="Y20" i="8" s="1"/>
  <c r="G24" i="8"/>
  <c r="H24" i="8"/>
  <c r="W25" i="8"/>
  <c r="Y25" i="8" s="1"/>
  <c r="U26" i="8" s="1"/>
  <c r="W26" i="8" s="1"/>
  <c r="Y26" i="8" s="1"/>
  <c r="R27" i="8"/>
  <c r="W27" i="8"/>
  <c r="Y27" i="8" s="1"/>
  <c r="R28" i="8"/>
  <c r="C33" i="8" s="1"/>
  <c r="W28" i="8"/>
  <c r="Y28" i="8" s="1"/>
  <c r="G29" i="8"/>
  <c r="R29" i="8"/>
  <c r="G30" i="8"/>
  <c r="K30" i="8"/>
  <c r="K31" i="8" s="1"/>
  <c r="R30" i="8"/>
  <c r="C31" i="8"/>
  <c r="R31" i="8"/>
  <c r="W31" i="8"/>
  <c r="Y31" i="8" s="1"/>
  <c r="C32" i="8"/>
  <c r="G32" i="8"/>
  <c r="R32" i="8"/>
  <c r="W32" i="8"/>
  <c r="Y32" i="8" s="1"/>
  <c r="R33" i="8"/>
  <c r="W33" i="8"/>
  <c r="Y33" i="8" s="1"/>
  <c r="R34" i="8"/>
  <c r="W34" i="8"/>
  <c r="Y34" i="8" s="1"/>
  <c r="R35" i="8"/>
  <c r="W35" i="8"/>
  <c r="Y35" i="8" s="1"/>
  <c r="R36" i="8"/>
  <c r="W36" i="8"/>
  <c r="Y36" i="8" s="1"/>
  <c r="G31" i="8" l="1"/>
  <c r="K15" i="8"/>
  <c r="K17" i="8" s="1"/>
  <c r="U29" i="8"/>
  <c r="W29" i="8" s="1"/>
  <c r="Y29" i="8" s="1"/>
  <c r="U30" i="8" s="1"/>
  <c r="W30" i="8" s="1"/>
  <c r="Y30" i="8" s="1"/>
  <c r="G33" i="8"/>
  <c r="G13" i="8"/>
  <c r="W12" i="8"/>
  <c r="K331" i="8"/>
  <c r="X143" i="8"/>
  <c r="G15" i="8" l="1"/>
  <c r="Y12" i="8"/>
  <c r="G17" i="8" s="1"/>
  <c r="E6" i="13"/>
  <c r="E5" i="13"/>
  <c r="E4" i="13"/>
  <c r="E3" i="13"/>
  <c r="E20" i="13" l="1"/>
  <c r="E19" i="13"/>
  <c r="V238" i="8"/>
  <c r="V254" i="8"/>
  <c r="U623" i="8"/>
  <c r="U127" i="8"/>
  <c r="U511" i="8"/>
  <c r="U543" i="8"/>
  <c r="U223" i="8"/>
  <c r="U319" i="8"/>
  <c r="U415" i="8"/>
  <c r="U399" i="8"/>
  <c r="K91" i="8"/>
  <c r="E18" i="13" l="1"/>
  <c r="E17" i="13"/>
  <c r="E16" i="13"/>
  <c r="E15" i="13"/>
  <c r="E8" i="13"/>
  <c r="E9" i="13"/>
  <c r="E10" i="13"/>
  <c r="E11" i="13"/>
  <c r="E12" i="13"/>
  <c r="E13" i="13"/>
  <c r="E14" i="13"/>
  <c r="E7" i="13"/>
  <c r="K459" i="8"/>
  <c r="K491" i="8"/>
  <c r="K443" i="8"/>
  <c r="P76" i="8" l="1"/>
  <c r="K139" i="8"/>
  <c r="P477" i="8"/>
  <c r="V141" i="8"/>
  <c r="B68" i="1" l="1"/>
  <c r="V221" i="8"/>
  <c r="V253" i="8"/>
  <c r="V285" i="8"/>
  <c r="K58" i="8"/>
  <c r="W60" i="1"/>
  <c r="W62" i="1" s="1"/>
  <c r="E114" i="1"/>
  <c r="E115" i="1" s="1"/>
  <c r="K571" i="8"/>
  <c r="K235" i="8"/>
  <c r="V252" i="8" l="1"/>
  <c r="V140" i="8"/>
  <c r="K251" i="8"/>
  <c r="K219" i="8"/>
  <c r="K714" i="8"/>
  <c r="K602" i="8"/>
  <c r="R109" i="8" l="1"/>
  <c r="R111" i="8"/>
  <c r="R112" i="8"/>
  <c r="R113" i="8"/>
  <c r="R114" i="8"/>
  <c r="R115" i="8"/>
  <c r="R116" i="8"/>
  <c r="R117" i="8"/>
  <c r="R118" i="8"/>
  <c r="R399" i="8"/>
  <c r="R400" i="8"/>
  <c r="R401" i="8"/>
  <c r="R402" i="8"/>
  <c r="R403" i="8"/>
  <c r="R404" i="8"/>
  <c r="R405" i="8"/>
  <c r="R406" i="8"/>
  <c r="R478" i="8"/>
  <c r="R479" i="8"/>
  <c r="R480" i="8"/>
  <c r="R481" i="8"/>
  <c r="R482" i="8"/>
  <c r="R483" i="8"/>
  <c r="R484" i="8"/>
  <c r="R485" i="8"/>
  <c r="R486" i="8"/>
  <c r="R476" i="8"/>
  <c r="R367" i="8"/>
  <c r="R368" i="8"/>
  <c r="R369" i="8"/>
  <c r="R370" i="8"/>
  <c r="R371" i="8"/>
  <c r="R372" i="8"/>
  <c r="R373" i="8"/>
  <c r="R374" i="8"/>
  <c r="R351" i="8"/>
  <c r="R352" i="8"/>
  <c r="R353" i="8"/>
  <c r="R354" i="8"/>
  <c r="R355" i="8"/>
  <c r="R356" i="8"/>
  <c r="R357" i="8"/>
  <c r="R358" i="8"/>
  <c r="R335" i="8"/>
  <c r="R336" i="8"/>
  <c r="R337" i="8"/>
  <c r="R338" i="8"/>
  <c r="R339" i="8"/>
  <c r="R340" i="8"/>
  <c r="R341" i="8"/>
  <c r="R342" i="8"/>
  <c r="R278" i="8"/>
  <c r="R275" i="8"/>
  <c r="R276" i="8"/>
  <c r="R277" i="8"/>
  <c r="R271" i="8"/>
  <c r="R272" i="8"/>
  <c r="R273" i="8"/>
  <c r="R274" i="8"/>
  <c r="R267" i="8"/>
  <c r="R268" i="8" s="1"/>
  <c r="R269" i="8" s="1"/>
  <c r="R270" i="8" s="1"/>
  <c r="R718" i="8"/>
  <c r="R719" i="8"/>
  <c r="R720" i="8"/>
  <c r="R721" i="8"/>
  <c r="R722" i="8"/>
  <c r="R723" i="8"/>
  <c r="R724" i="8"/>
  <c r="R725" i="8"/>
  <c r="R717" i="8"/>
  <c r="V42" i="8"/>
  <c r="V139" i="8" l="1"/>
  <c r="V251" i="8"/>
  <c r="W283" i="8"/>
  <c r="R219" i="8"/>
  <c r="R220" i="8" s="1"/>
  <c r="R221" i="8" s="1"/>
  <c r="R222" i="8" s="1"/>
  <c r="R223" i="8" s="1"/>
  <c r="R224" i="8" s="1"/>
  <c r="R225" i="8" s="1"/>
  <c r="R226" i="8" s="1"/>
  <c r="R227" i="8" s="1"/>
  <c r="R228" i="8" s="1"/>
  <c r="R229" i="8" s="1"/>
  <c r="R230" i="8" s="1"/>
  <c r="R347" i="8"/>
  <c r="R348" i="8" s="1"/>
  <c r="R349" i="8" s="1"/>
  <c r="R350" i="8" s="1"/>
  <c r="R331" i="8"/>
  <c r="R187" i="8"/>
  <c r="R602" i="8"/>
  <c r="R171" i="8"/>
  <c r="W235" i="8" l="1"/>
  <c r="W155" i="8" l="1"/>
  <c r="Y155" i="8" s="1"/>
  <c r="U156" i="8" s="1"/>
  <c r="W156" i="8" s="1"/>
  <c r="Y156" i="8" s="1"/>
  <c r="U157" i="8" s="1"/>
  <c r="W157" i="8" s="1"/>
  <c r="Y157" i="8" s="1"/>
  <c r="U158" i="8" s="1"/>
  <c r="W158" i="8" s="1"/>
  <c r="Y158" i="8" s="1"/>
  <c r="U159" i="8" s="1"/>
  <c r="W159" i="8" s="1"/>
  <c r="Y159" i="8" s="1"/>
  <c r="U160" i="8" s="1"/>
  <c r="W160" i="8" s="1"/>
  <c r="Y160" i="8" s="1"/>
  <c r="U161" i="8" s="1"/>
  <c r="W161" i="8" s="1"/>
  <c r="Y161" i="8" s="1"/>
  <c r="U162" i="8" s="1"/>
  <c r="W162" i="8" s="1"/>
  <c r="Y162" i="8" s="1"/>
  <c r="U163" i="8" s="1"/>
  <c r="W163" i="8" s="1"/>
  <c r="Y163" i="8" s="1"/>
  <c r="U164" i="8" s="1"/>
  <c r="W164" i="8" s="1"/>
  <c r="Y164" i="8" s="1"/>
  <c r="U165" i="8" s="1"/>
  <c r="W165" i="8" s="1"/>
  <c r="Y165" i="8" s="1"/>
  <c r="U166" i="8" s="1"/>
  <c r="W166" i="8" s="1"/>
  <c r="Y166" i="8" s="1"/>
  <c r="K523" i="8"/>
  <c r="K555" i="8"/>
  <c r="K539" i="8"/>
  <c r="K507" i="8"/>
  <c r="K288" i="8" l="1"/>
  <c r="K267" i="8" l="1"/>
  <c r="H25" i="1" l="1"/>
  <c r="B57" i="1" l="1"/>
  <c r="B56" i="1" l="1"/>
  <c r="R214" i="8" l="1"/>
  <c r="R212" i="8"/>
  <c r="R213" i="8" s="1"/>
  <c r="R203" i="8"/>
  <c r="R204" i="8" s="1"/>
  <c r="R205" i="8" s="1"/>
  <c r="R206" i="8" s="1"/>
  <c r="R207" i="8" s="1"/>
  <c r="R208" i="8" s="1"/>
  <c r="R209" i="8" s="1"/>
  <c r="R210" i="8" s="1"/>
  <c r="R211" i="8" s="1"/>
  <c r="R422" i="8"/>
  <c r="R411" i="8"/>
  <c r="R412" i="8" s="1"/>
  <c r="R413" i="8" s="1"/>
  <c r="R414" i="8" s="1"/>
  <c r="R415" i="8" s="1"/>
  <c r="R416" i="8" s="1"/>
  <c r="R417" i="8" s="1"/>
  <c r="R418" i="8" s="1"/>
  <c r="R419" i="8" s="1"/>
  <c r="R420" i="8" s="1"/>
  <c r="R421" i="8" s="1"/>
  <c r="R395" i="8"/>
  <c r="R396" i="8" s="1"/>
  <c r="R397" i="8" s="1"/>
  <c r="R398" i="8" s="1"/>
  <c r="R363" i="8"/>
  <c r="R364" i="8" s="1"/>
  <c r="R365" i="8" s="1"/>
  <c r="R366" i="8" s="1"/>
  <c r="R332" i="8"/>
  <c r="R333" i="8" s="1"/>
  <c r="R334" i="8" s="1"/>
  <c r="R102" i="8"/>
  <c r="R101" i="8"/>
  <c r="R91" i="8"/>
  <c r="R92" i="8" s="1"/>
  <c r="R93" i="8" s="1"/>
  <c r="R94" i="8" s="1"/>
  <c r="R95" i="8" s="1"/>
  <c r="R96" i="8" s="1"/>
  <c r="R97" i="8" s="1"/>
  <c r="R98" i="8" s="1"/>
  <c r="R99" i="8" s="1"/>
  <c r="R100" i="8" s="1"/>
  <c r="R261" i="8"/>
  <c r="R252" i="8"/>
  <c r="R714" i="8"/>
  <c r="R715" i="8" s="1"/>
  <c r="R716" i="8" s="1"/>
  <c r="R235" i="8"/>
  <c r="R236" i="8" s="1"/>
  <c r="R237" i="8" s="1"/>
  <c r="R238" i="8" s="1"/>
  <c r="R239" i="8" s="1"/>
  <c r="R240" i="8" s="1"/>
  <c r="R245" i="8"/>
  <c r="R188" i="8"/>
  <c r="R189" i="8" s="1"/>
  <c r="R190" i="8" s="1"/>
  <c r="R191" i="8" s="1"/>
  <c r="R192" i="8" s="1"/>
  <c r="R193" i="8" s="1"/>
  <c r="R194" i="8" s="1"/>
  <c r="R195" i="8" s="1"/>
  <c r="R196" i="8" s="1"/>
  <c r="R198" i="8"/>
  <c r="R197" i="8"/>
  <c r="R603" i="8"/>
  <c r="R604" i="8" s="1"/>
  <c r="R605" i="8" s="1"/>
  <c r="R606" i="8" s="1"/>
  <c r="R607" i="8" s="1"/>
  <c r="R608" i="8" s="1"/>
  <c r="R609" i="8" s="1"/>
  <c r="R610" i="8" s="1"/>
  <c r="R611" i="8" s="1"/>
  <c r="R613" i="8"/>
  <c r="R612" i="8"/>
  <c r="R172" i="8"/>
  <c r="R173" i="8" s="1"/>
  <c r="R174" i="8" s="1"/>
  <c r="R175" i="8" s="1"/>
  <c r="R176" i="8" s="1"/>
  <c r="R177" i="8" s="1"/>
  <c r="R178" i="8" s="1"/>
  <c r="R179" i="8" s="1"/>
  <c r="R180" i="8" s="1"/>
  <c r="R181" i="8" s="1"/>
  <c r="R182" i="8"/>
  <c r="R166" i="8"/>
  <c r="R165" i="8"/>
  <c r="R155" i="8"/>
  <c r="R156" i="8" s="1"/>
  <c r="R157" i="8" s="1"/>
  <c r="R158" i="8" s="1"/>
  <c r="R159" i="8" s="1"/>
  <c r="R160" i="8" s="1"/>
  <c r="R161" i="8" s="1"/>
  <c r="R162" i="8" s="1"/>
  <c r="R163" i="8" s="1"/>
  <c r="R164" i="8" s="1"/>
  <c r="R150" i="8"/>
  <c r="R139" i="8"/>
  <c r="R140" i="8" s="1"/>
  <c r="R141" i="8" s="1"/>
  <c r="R142" i="8" s="1"/>
  <c r="R143" i="8" s="1"/>
  <c r="R144" i="8" s="1"/>
  <c r="R145" i="8" s="1"/>
  <c r="R146" i="8" s="1"/>
  <c r="R147" i="8" s="1"/>
  <c r="R148" i="8" s="1"/>
  <c r="R149" i="8" s="1"/>
  <c r="R598" i="8"/>
  <c r="R597" i="8"/>
  <c r="R591" i="8"/>
  <c r="R592" i="8" s="1"/>
  <c r="R593" i="8" s="1"/>
  <c r="R594" i="8" s="1"/>
  <c r="R595" i="8" s="1"/>
  <c r="R596" i="8" s="1"/>
  <c r="R588" i="8"/>
  <c r="R589" i="8" s="1"/>
  <c r="R58" i="8"/>
  <c r="W363" i="8" l="1"/>
  <c r="W251" i="8"/>
  <c r="P678" i="8" l="1"/>
  <c r="R74" i="1" l="1"/>
  <c r="S52" i="1"/>
  <c r="R45" i="1"/>
  <c r="R27" i="1"/>
  <c r="S20" i="1"/>
  <c r="R20" i="1"/>
  <c r="R4" i="12" l="1"/>
  <c r="R5" i="12"/>
  <c r="R7" i="12"/>
  <c r="R9" i="12"/>
  <c r="R10" i="12"/>
  <c r="R11" i="12"/>
  <c r="R14" i="12"/>
  <c r="R3" i="12"/>
  <c r="K592" i="8" l="1"/>
  <c r="O16" i="12" l="1"/>
  <c r="N16" i="12" l="1"/>
  <c r="L16" i="12" l="1"/>
  <c r="M16" i="12" l="1"/>
  <c r="J16" i="12" l="1"/>
  <c r="I16" i="12"/>
  <c r="H16" i="12"/>
  <c r="G16" i="12"/>
  <c r="F16" i="12"/>
  <c r="E16" i="12"/>
  <c r="D16" i="12"/>
  <c r="C16" i="12"/>
  <c r="B16" i="12"/>
  <c r="K16" i="12"/>
  <c r="R630" i="8" l="1"/>
  <c r="R627" i="8"/>
  <c r="R626" i="8"/>
  <c r="R620" i="8"/>
  <c r="R621" i="8" s="1"/>
  <c r="R622" i="8" s="1"/>
  <c r="R623" i="8" s="1"/>
  <c r="R624" i="8" s="1"/>
  <c r="R625" i="8" s="1"/>
  <c r="R636" i="8"/>
  <c r="R637" i="8" s="1"/>
  <c r="R638" i="8" s="1"/>
  <c r="R639" i="8" s="1"/>
  <c r="R640" i="8" s="1"/>
  <c r="R641" i="8" s="1"/>
  <c r="R642" i="8" s="1"/>
  <c r="R643" i="8" s="1"/>
  <c r="R644" i="8" s="1"/>
  <c r="R645" i="8" s="1"/>
  <c r="R675" i="8"/>
  <c r="R676" i="8" s="1"/>
  <c r="R677" i="8" s="1"/>
  <c r="R59" i="8"/>
  <c r="R60" i="8" s="1"/>
  <c r="R61" i="8" s="1"/>
  <c r="R62" i="8" s="1"/>
  <c r="R63" i="8" s="1"/>
  <c r="R64" i="8" s="1"/>
  <c r="R65" i="8" s="1"/>
  <c r="R66" i="8" s="1"/>
  <c r="R67" i="8" s="1"/>
  <c r="R68" i="8" s="1"/>
  <c r="R69" i="8" s="1"/>
  <c r="K656" i="8" l="1"/>
  <c r="K384" i="8" l="1"/>
  <c r="J50" i="1" s="1"/>
  <c r="W593" i="8" l="1"/>
  <c r="K79" i="8" l="1"/>
  <c r="B31" i="1" l="1"/>
  <c r="C109" i="1" l="1"/>
  <c r="R11" i="1" l="1"/>
  <c r="R557" i="8" l="1"/>
  <c r="R651" i="8" l="1"/>
  <c r="R652" i="8" s="1"/>
  <c r="R653" i="8" s="1"/>
  <c r="W491" i="8" l="1"/>
  <c r="Y491" i="8" s="1"/>
  <c r="U492" i="8" s="1"/>
  <c r="W492" i="8" s="1"/>
  <c r="Y492" i="8" s="1"/>
  <c r="U493" i="8" s="1"/>
  <c r="W493" i="8" s="1"/>
  <c r="Y493" i="8" s="1"/>
  <c r="U494" i="8" s="1"/>
  <c r="W494" i="8" s="1"/>
  <c r="Y494" i="8" s="1"/>
  <c r="U495" i="8" s="1"/>
  <c r="W495" i="8" s="1"/>
  <c r="Y495" i="8" s="1"/>
  <c r="U496" i="8" s="1"/>
  <c r="W496" i="8" s="1"/>
  <c r="Y496" i="8" s="1"/>
  <c r="U497" i="8" s="1"/>
  <c r="W497" i="8" s="1"/>
  <c r="Y497" i="8" s="1"/>
  <c r="U498" i="8" s="1"/>
  <c r="W498" i="8" s="1"/>
  <c r="Y498" i="8" s="1"/>
  <c r="W539" i="8"/>
  <c r="Y539" i="8" s="1"/>
  <c r="W459" i="8"/>
  <c r="Y459" i="8" s="1"/>
  <c r="U460" i="8" s="1"/>
  <c r="W460" i="8" s="1"/>
  <c r="Y460" i="8" s="1"/>
  <c r="U461" i="8" s="1"/>
  <c r="W461" i="8" s="1"/>
  <c r="Y461" i="8" s="1"/>
  <c r="U462" i="8" s="1"/>
  <c r="W462" i="8" s="1"/>
  <c r="Y462" i="8" s="1"/>
  <c r="U463" i="8" s="1"/>
  <c r="W463" i="8" s="1"/>
  <c r="Y463" i="8" s="1"/>
  <c r="U464" i="8" s="1"/>
  <c r="W464" i="8" s="1"/>
  <c r="Y464" i="8" s="1"/>
  <c r="U465" i="8" s="1"/>
  <c r="W465" i="8" s="1"/>
  <c r="Y465" i="8" s="1"/>
  <c r="U466" i="8" s="1"/>
  <c r="W466" i="8" s="1"/>
  <c r="Y466" i="8" s="1"/>
  <c r="W714" i="8"/>
  <c r="Y714" i="8" s="1"/>
  <c r="U715" i="8" s="1"/>
  <c r="W219" i="8"/>
  <c r="Y219" i="8" s="1"/>
  <c r="U220" i="8" s="1"/>
  <c r="W220" i="8" s="1"/>
  <c r="Y220" i="8" s="1"/>
  <c r="U221" i="8" s="1"/>
  <c r="W221" i="8" s="1"/>
  <c r="Y221" i="8" s="1"/>
  <c r="W427" i="8"/>
  <c r="Y427" i="8" s="1"/>
  <c r="W428" i="8" s="1"/>
  <c r="Y428" i="8" s="1"/>
  <c r="W429" i="8" s="1"/>
  <c r="Y429" i="8" s="1"/>
  <c r="W430" i="8" s="1"/>
  <c r="Y430" i="8" s="1"/>
  <c r="W431" i="8" s="1"/>
  <c r="Y431" i="8" s="1"/>
  <c r="Y363" i="8"/>
  <c r="W74" i="8"/>
  <c r="Y74" i="8" s="1"/>
  <c r="U75" i="8" s="1"/>
  <c r="W75" i="8" s="1"/>
  <c r="Y75" i="8" s="1"/>
  <c r="U76" i="8" s="1"/>
  <c r="W76" i="8" s="1"/>
  <c r="Y76" i="8" s="1"/>
  <c r="U77" i="8" s="1"/>
  <c r="W77" i="8" s="1"/>
  <c r="Y77" i="8" s="1"/>
  <c r="U78" i="8" s="1"/>
  <c r="W78" i="8" s="1"/>
  <c r="Y78" i="8" s="1"/>
  <c r="U79" i="8" s="1"/>
  <c r="W79" i="8" s="1"/>
  <c r="Y79" i="8" s="1"/>
  <c r="U80" i="8" s="1"/>
  <c r="W80" i="8" s="1"/>
  <c r="Y80" i="8" s="1"/>
  <c r="U81" i="8" s="1"/>
  <c r="W81" i="8" s="1"/>
  <c r="Y81" i="8" s="1"/>
  <c r="U82" i="8" s="1"/>
  <c r="W82" i="8" s="1"/>
  <c r="Y82" i="8" s="1"/>
  <c r="U83" i="8" s="1"/>
  <c r="W83" i="8" s="1"/>
  <c r="Y83" i="8" s="1"/>
  <c r="U661" i="8"/>
  <c r="W661" i="8" s="1"/>
  <c r="Y661" i="8" s="1"/>
  <c r="U662" i="8" s="1"/>
  <c r="W662" i="8" s="1"/>
  <c r="Y662" i="8" s="1"/>
  <c r="W347" i="8"/>
  <c r="Y347" i="8" s="1"/>
  <c r="W107" i="8"/>
  <c r="Y107" i="8" s="1"/>
  <c r="U108" i="8" s="1"/>
  <c r="W108" i="8" s="1"/>
  <c r="Y108" i="8" s="1"/>
  <c r="U109" i="8" s="1"/>
  <c r="W109" i="8" s="1"/>
  <c r="Y109" i="8" s="1"/>
  <c r="U110" i="8" s="1"/>
  <c r="W110" i="8" s="1"/>
  <c r="Y110" i="8" s="1"/>
  <c r="U111" i="8" s="1"/>
  <c r="W111" i="8" s="1"/>
  <c r="Y111" i="8" s="1"/>
  <c r="U112" i="8" s="1"/>
  <c r="W112" i="8" s="1"/>
  <c r="Y112" i="8" s="1"/>
  <c r="U113" i="8" s="1"/>
  <c r="W113" i="8" s="1"/>
  <c r="Y113" i="8" s="1"/>
  <c r="U114" i="8" s="1"/>
  <c r="W114" i="8" s="1"/>
  <c r="Y114" i="8" s="1"/>
  <c r="U115" i="8" s="1"/>
  <c r="W115" i="8" s="1"/>
  <c r="Y115" i="8" s="1"/>
  <c r="U116" i="8" s="1"/>
  <c r="W116" i="8" s="1"/>
  <c r="Y116" i="8" s="1"/>
  <c r="W203" i="8"/>
  <c r="Y203" i="8" s="1"/>
  <c r="U204" i="8" s="1"/>
  <c r="W204" i="8" s="1"/>
  <c r="Y204" i="8" s="1"/>
  <c r="U205" i="8" s="1"/>
  <c r="W205" i="8" s="1"/>
  <c r="Y205" i="8" s="1"/>
  <c r="U206" i="8" s="1"/>
  <c r="W602" i="8"/>
  <c r="Y602" i="8" s="1"/>
  <c r="U603" i="8" s="1"/>
  <c r="W315" i="8"/>
  <c r="Y315" i="8" s="1"/>
  <c r="W411" i="8"/>
  <c r="Y411" i="8" s="1"/>
  <c r="U412" i="8" s="1"/>
  <c r="W412" i="8" s="1"/>
  <c r="Y412" i="8" s="1"/>
  <c r="U413" i="8" s="1"/>
  <c r="W413" i="8" s="1"/>
  <c r="Y413" i="8" s="1"/>
  <c r="W523" i="8"/>
  <c r="Y523" i="8" s="1"/>
  <c r="U524" i="8" s="1"/>
  <c r="W524" i="8" s="1"/>
  <c r="Y524" i="8" s="1"/>
  <c r="U525" i="8" s="1"/>
  <c r="W525" i="8" s="1"/>
  <c r="Y525" i="8" s="1"/>
  <c r="U526" i="8" s="1"/>
  <c r="W526" i="8" s="1"/>
  <c r="Y526" i="8" s="1"/>
  <c r="U527" i="8" s="1"/>
  <c r="W527" i="8" s="1"/>
  <c r="Y527" i="8" s="1"/>
  <c r="U528" i="8" s="1"/>
  <c r="W528" i="8" s="1"/>
  <c r="Y528" i="8" s="1"/>
  <c r="U529" i="8" s="1"/>
  <c r="W529" i="8" s="1"/>
  <c r="Y529" i="8" s="1"/>
  <c r="U530" i="8" s="1"/>
  <c r="W530" i="8" s="1"/>
  <c r="Y530" i="8" s="1"/>
  <c r="U531" i="8" s="1"/>
  <c r="W531" i="8" s="1"/>
  <c r="Y531" i="8" s="1"/>
  <c r="U532" i="8" s="1"/>
  <c r="W532" i="8" s="1"/>
  <c r="Y532" i="8" s="1"/>
  <c r="U533" i="8" s="1"/>
  <c r="W533" i="8" s="1"/>
  <c r="Y533" i="8" s="1"/>
  <c r="U534" i="8" s="1"/>
  <c r="W534" i="8" s="1"/>
  <c r="Y534" i="8" s="1"/>
  <c r="W619" i="8"/>
  <c r="Y619" i="8" s="1"/>
  <c r="U620" i="8" s="1"/>
  <c r="W555" i="8"/>
  <c r="Y555" i="8" s="1"/>
  <c r="U556" i="8" s="1"/>
  <c r="W556" i="8" s="1"/>
  <c r="Y556" i="8" s="1"/>
  <c r="U557" i="8" s="1"/>
  <c r="W557" i="8" s="1"/>
  <c r="Y557" i="8" s="1"/>
  <c r="U558" i="8" s="1"/>
  <c r="W558" i="8" s="1"/>
  <c r="Y558" i="8" s="1"/>
  <c r="U559" i="8" s="1"/>
  <c r="W559" i="8" s="1"/>
  <c r="Y559" i="8" s="1"/>
  <c r="U560" i="8" s="1"/>
  <c r="W560" i="8" s="1"/>
  <c r="Y560" i="8" s="1"/>
  <c r="U561" i="8" s="1"/>
  <c r="W561" i="8" s="1"/>
  <c r="Y561" i="8" s="1"/>
  <c r="U562" i="8" s="1"/>
  <c r="W562" i="8" s="1"/>
  <c r="Y562" i="8" s="1"/>
  <c r="U563" i="8" s="1"/>
  <c r="W563" i="8" s="1"/>
  <c r="Y563" i="8" s="1"/>
  <c r="U564" i="8" s="1"/>
  <c r="W564" i="8" s="1"/>
  <c r="Y564" i="8" s="1"/>
  <c r="U565" i="8" s="1"/>
  <c r="W565" i="8" s="1"/>
  <c r="Y565" i="8" s="1"/>
  <c r="U566" i="8" s="1"/>
  <c r="W566" i="8" s="1"/>
  <c r="Y566" i="8" s="1"/>
  <c r="W857" i="8"/>
  <c r="Y857" i="8" s="1"/>
  <c r="U858" i="8" s="1"/>
  <c r="W858" i="8" s="1"/>
  <c r="Y858" i="8" s="1"/>
  <c r="U859" i="8" s="1"/>
  <c r="W859" i="8" s="1"/>
  <c r="Y859" i="8" s="1"/>
  <c r="U860" i="8" s="1"/>
  <c r="W860" i="8" s="1"/>
  <c r="Y860" i="8" s="1"/>
  <c r="U861" i="8" s="1"/>
  <c r="W861" i="8" s="1"/>
  <c r="Y861" i="8" s="1"/>
  <c r="U862" i="8" s="1"/>
  <c r="W862" i="8" s="1"/>
  <c r="Y862" i="8" s="1"/>
  <c r="U863" i="8" s="1"/>
  <c r="W863" i="8" s="1"/>
  <c r="Y863" i="8" s="1"/>
  <c r="U864" i="8" s="1"/>
  <c r="W864" i="8" s="1"/>
  <c r="Y864" i="8" s="1"/>
  <c r="U865" i="8" s="1"/>
  <c r="W865" i="8" s="1"/>
  <c r="Y865" i="8" s="1"/>
  <c r="U866" i="8" s="1"/>
  <c r="W866" i="8" s="1"/>
  <c r="Y866" i="8" s="1"/>
  <c r="U867" i="8" s="1"/>
  <c r="W867" i="8" s="1"/>
  <c r="Y867" i="8" s="1"/>
  <c r="U868" i="8" s="1"/>
  <c r="W868" i="8" s="1"/>
  <c r="Y868" i="8" s="1"/>
  <c r="W825" i="8"/>
  <c r="Y825" i="8" s="1"/>
  <c r="U826" i="8" s="1"/>
  <c r="W826" i="8" s="1"/>
  <c r="Y826" i="8" s="1"/>
  <c r="U827" i="8" s="1"/>
  <c r="W827" i="8" s="1"/>
  <c r="Y827" i="8" s="1"/>
  <c r="U828" i="8" s="1"/>
  <c r="W828" i="8" s="1"/>
  <c r="Y828" i="8" s="1"/>
  <c r="U829" i="8" s="1"/>
  <c r="W829" i="8" s="1"/>
  <c r="Y829" i="8" s="1"/>
  <c r="U830" i="8" s="1"/>
  <c r="W830" i="8" s="1"/>
  <c r="Y830" i="8" s="1"/>
  <c r="U831" i="8" s="1"/>
  <c r="W831" i="8" s="1"/>
  <c r="Y831" i="8" s="1"/>
  <c r="U832" i="8" s="1"/>
  <c r="W832" i="8" s="1"/>
  <c r="Y832" i="8" s="1"/>
  <c r="U833" i="8" s="1"/>
  <c r="W833" i="8" s="1"/>
  <c r="Y833" i="8" s="1"/>
  <c r="U834" i="8" s="1"/>
  <c r="W834" i="8" s="1"/>
  <c r="Y834" i="8" s="1"/>
  <c r="U835" i="8" s="1"/>
  <c r="W835" i="8" s="1"/>
  <c r="Y835" i="8" s="1"/>
  <c r="U836" i="8" s="1"/>
  <c r="W836" i="8" s="1"/>
  <c r="Y836" i="8" s="1"/>
  <c r="W571" i="8"/>
  <c r="Y571" i="8" s="1"/>
  <c r="U572" i="8" s="1"/>
  <c r="W572" i="8" s="1"/>
  <c r="Y572" i="8" s="1"/>
  <c r="U573" i="8" s="1"/>
  <c r="W573" i="8" s="1"/>
  <c r="Y573" i="8" s="1"/>
  <c r="U574" i="8" s="1"/>
  <c r="W574" i="8" s="1"/>
  <c r="Y574" i="8" s="1"/>
  <c r="U575" i="8" s="1"/>
  <c r="W575" i="8" s="1"/>
  <c r="Y575" i="8" s="1"/>
  <c r="U576" i="8" s="1"/>
  <c r="W576" i="8" s="1"/>
  <c r="Y576" i="8" s="1"/>
  <c r="U577" i="8" s="1"/>
  <c r="W577" i="8" s="1"/>
  <c r="Y577" i="8" s="1"/>
  <c r="U578" i="8" s="1"/>
  <c r="W578" i="8" s="1"/>
  <c r="Y578" i="8" s="1"/>
  <c r="U579" i="8" s="1"/>
  <c r="W579" i="8" s="1"/>
  <c r="Y579" i="8" s="1"/>
  <c r="U580" i="8" s="1"/>
  <c r="W580" i="8" s="1"/>
  <c r="Y580" i="8" s="1"/>
  <c r="U581" i="8" s="1"/>
  <c r="W581" i="8" s="1"/>
  <c r="Y581" i="8" s="1"/>
  <c r="U582" i="8" s="1"/>
  <c r="W582" i="8" s="1"/>
  <c r="Y582" i="8" s="1"/>
  <c r="W395" i="8"/>
  <c r="Y395" i="8" s="1"/>
  <c r="U396" i="8" s="1"/>
  <c r="W475" i="8"/>
  <c r="Y475" i="8" s="1"/>
  <c r="W331" i="8"/>
  <c r="Y331" i="8" s="1"/>
  <c r="U332" i="8" s="1"/>
  <c r="W332" i="8" s="1"/>
  <c r="Y332" i="8" s="1"/>
  <c r="U333" i="8" s="1"/>
  <c r="W333" i="8" s="1"/>
  <c r="Y333" i="8" s="1"/>
  <c r="U334" i="8" s="1"/>
  <c r="W334" i="8" s="1"/>
  <c r="Y334" i="8" s="1"/>
  <c r="U335" i="8" s="1"/>
  <c r="W335" i="8" s="1"/>
  <c r="Y335" i="8" s="1"/>
  <c r="W635" i="8"/>
  <c r="Y635" i="8" s="1"/>
  <c r="W91" i="8"/>
  <c r="Y91" i="8" s="1"/>
  <c r="U92" i="8" s="1"/>
  <c r="U414" i="8" l="1"/>
  <c r="W414" i="8" s="1"/>
  <c r="Y414" i="8" s="1"/>
  <c r="W415" i="8" s="1"/>
  <c r="Y415" i="8" s="1"/>
  <c r="U416" i="8" s="1"/>
  <c r="W416" i="8" s="1"/>
  <c r="Y416" i="8" s="1"/>
  <c r="U222" i="8"/>
  <c r="W222" i="8" s="1"/>
  <c r="Y222" i="8" s="1"/>
  <c r="W223" i="8" s="1"/>
  <c r="Y223" i="8" s="1"/>
  <c r="U224" i="8" s="1"/>
  <c r="W224" i="8" s="1"/>
  <c r="Y224" i="8" s="1"/>
  <c r="U316" i="8"/>
  <c r="W316" i="8" s="1"/>
  <c r="Y316" i="8" s="1"/>
  <c r="U540" i="8"/>
  <c r="W540" i="8" s="1"/>
  <c r="Y540" i="8" s="1"/>
  <c r="U117" i="8"/>
  <c r="W117" i="8" s="1"/>
  <c r="Y117" i="8" s="1"/>
  <c r="W118" i="8" s="1"/>
  <c r="Y118" i="8" s="1"/>
  <c r="U84" i="8"/>
  <c r="W84" i="8" s="1"/>
  <c r="Y84" i="8" s="1"/>
  <c r="W85" i="8" s="1"/>
  <c r="Y85" i="8" s="1"/>
  <c r="W500" i="8"/>
  <c r="Y500" i="8" s="1"/>
  <c r="W501" i="8" s="1"/>
  <c r="Y501" i="8" s="1"/>
  <c r="W502" i="8" s="1"/>
  <c r="Y502" i="8" s="1"/>
  <c r="U499" i="8"/>
  <c r="W499" i="8" s="1"/>
  <c r="Y499" i="8" s="1"/>
  <c r="W468" i="8"/>
  <c r="Y468" i="8" s="1"/>
  <c r="U469" i="8" s="1"/>
  <c r="W469" i="8" s="1"/>
  <c r="Y469" i="8" s="1"/>
  <c r="U470" i="8" s="1"/>
  <c r="W470" i="8" s="1"/>
  <c r="Y470" i="8" s="1"/>
  <c r="U467" i="8"/>
  <c r="W467" i="8" s="1"/>
  <c r="Y467" i="8" s="1"/>
  <c r="U432" i="8"/>
  <c r="W432" i="8" s="1"/>
  <c r="Y432" i="8" s="1"/>
  <c r="U336" i="8"/>
  <c r="W336" i="8" s="1"/>
  <c r="Y336" i="8" s="1"/>
  <c r="U348" i="8"/>
  <c r="W348" i="8" s="1"/>
  <c r="Y348" i="8" s="1"/>
  <c r="W349" i="8" s="1"/>
  <c r="Y349" i="8" s="1"/>
  <c r="U350" i="8" s="1"/>
  <c r="W350" i="8" s="1"/>
  <c r="Y350" i="8" s="1"/>
  <c r="U351" i="8" s="1"/>
  <c r="W351" i="8" s="1"/>
  <c r="Y351" i="8" s="1"/>
  <c r="U352" i="8" s="1"/>
  <c r="W352" i="8" s="1"/>
  <c r="Y352" i="8" s="1"/>
  <c r="U353" i="8" s="1"/>
  <c r="W353" i="8" s="1"/>
  <c r="Y353" i="8" s="1"/>
  <c r="U354" i="8" s="1"/>
  <c r="W354" i="8" s="1"/>
  <c r="Y354" i="8" s="1"/>
  <c r="U355" i="8" s="1"/>
  <c r="W355" i="8" s="1"/>
  <c r="Y355" i="8" s="1"/>
  <c r="U356" i="8" s="1"/>
  <c r="W356" i="8" s="1"/>
  <c r="Y356" i="8" s="1"/>
  <c r="U357" i="8" s="1"/>
  <c r="W357" i="8" s="1"/>
  <c r="Y357" i="8" s="1"/>
  <c r="U358" i="8" s="1"/>
  <c r="W358" i="8" s="1"/>
  <c r="Y358" i="8" s="1"/>
  <c r="W206" i="8"/>
  <c r="Y206" i="8" s="1"/>
  <c r="W715" i="8"/>
  <c r="Y715" i="8" s="1"/>
  <c r="U716" i="8" s="1"/>
  <c r="W476" i="8"/>
  <c r="Y476" i="8" s="1"/>
  <c r="W396" i="8"/>
  <c r="Y396" i="8" s="1"/>
  <c r="U397" i="8" s="1"/>
  <c r="W620" i="8"/>
  <c r="Y620" i="8" s="1"/>
  <c r="W636" i="8"/>
  <c r="Y636" i="8" s="1"/>
  <c r="W637" i="8" s="1"/>
  <c r="Y637" i="8" s="1"/>
  <c r="W638" i="8" s="1"/>
  <c r="Y638" i="8" s="1"/>
  <c r="W639" i="8" s="1"/>
  <c r="Y639" i="8" s="1"/>
  <c r="W92" i="8"/>
  <c r="Y92" i="8" s="1"/>
  <c r="U93" i="8" s="1"/>
  <c r="W603" i="8"/>
  <c r="Y603" i="8" s="1"/>
  <c r="U604" i="8" s="1"/>
  <c r="W364" i="8"/>
  <c r="Y364" i="8" s="1"/>
  <c r="D109" i="1"/>
  <c r="U317" i="8" l="1"/>
  <c r="W317" i="8" s="1"/>
  <c r="Y317" i="8" s="1"/>
  <c r="U541" i="8"/>
  <c r="W541" i="8" s="1"/>
  <c r="Y541" i="8" s="1"/>
  <c r="U542" i="8" s="1"/>
  <c r="W542" i="8" s="1"/>
  <c r="Y542" i="8" s="1"/>
  <c r="U621" i="8"/>
  <c r="W621" i="8" s="1"/>
  <c r="Y621" i="8" s="1"/>
  <c r="W340" i="8"/>
  <c r="Y340" i="8" s="1"/>
  <c r="U341" i="8" s="1"/>
  <c r="W341" i="8" s="1"/>
  <c r="Y341" i="8" s="1"/>
  <c r="U342" i="8" s="1"/>
  <c r="W342" i="8" s="1"/>
  <c r="Y342" i="8" s="1"/>
  <c r="U337" i="8"/>
  <c r="W337" i="8" s="1"/>
  <c r="Y337" i="8" s="1"/>
  <c r="U338" i="8" s="1"/>
  <c r="W338" i="8" s="1"/>
  <c r="Y338" i="8" s="1"/>
  <c r="U339" i="8" s="1"/>
  <c r="W339" i="8" s="1"/>
  <c r="Y339" i="8" s="1"/>
  <c r="U225" i="8"/>
  <c r="W225" i="8" s="1"/>
  <c r="Y225" i="8" s="1"/>
  <c r="W543" i="8"/>
  <c r="Y543" i="8" s="1"/>
  <c r="U433" i="8"/>
  <c r="W433" i="8" s="1"/>
  <c r="Y433" i="8" s="1"/>
  <c r="W434" i="8" s="1"/>
  <c r="Y434" i="8" s="1"/>
  <c r="U435" i="8" s="1"/>
  <c r="W435" i="8" s="1"/>
  <c r="Y435" i="8" s="1"/>
  <c r="U436" i="8" s="1"/>
  <c r="W436" i="8" s="1"/>
  <c r="Y436" i="8" s="1"/>
  <c r="U437" i="8" s="1"/>
  <c r="W437" i="8" s="1"/>
  <c r="Y437" i="8" s="1"/>
  <c r="U438" i="8" s="1"/>
  <c r="W438" i="8" s="1"/>
  <c r="Y438" i="8" s="1"/>
  <c r="W207" i="8"/>
  <c r="Y207" i="8" s="1"/>
  <c r="W208" i="8" s="1"/>
  <c r="Y208" i="8" s="1"/>
  <c r="W209" i="8" s="1"/>
  <c r="Y209" i="8" s="1"/>
  <c r="W210" i="8" s="1"/>
  <c r="Y210" i="8" s="1"/>
  <c r="W211" i="8" s="1"/>
  <c r="Y211" i="8" s="1"/>
  <c r="W212" i="8" s="1"/>
  <c r="Y212" i="8" s="1"/>
  <c r="U417" i="8"/>
  <c r="W417" i="8" s="1"/>
  <c r="Y417" i="8" s="1"/>
  <c r="W624" i="8"/>
  <c r="Y624" i="8" s="1"/>
  <c r="W477" i="8"/>
  <c r="Y477" i="8" s="1"/>
  <c r="W365" i="8"/>
  <c r="Y365" i="8" s="1"/>
  <c r="W716" i="8"/>
  <c r="Y716" i="8" s="1"/>
  <c r="U717" i="8" s="1"/>
  <c r="W93" i="8"/>
  <c r="Y93" i="8" s="1"/>
  <c r="U94" i="8" s="1"/>
  <c r="W397" i="8"/>
  <c r="Y397" i="8" s="1"/>
  <c r="U398" i="8" s="1"/>
  <c r="W640" i="8"/>
  <c r="Y640" i="8" s="1"/>
  <c r="W604" i="8"/>
  <c r="Y604" i="8" s="1"/>
  <c r="U605" i="8" s="1"/>
  <c r="U622" i="8" l="1"/>
  <c r="W622" i="8" s="1"/>
  <c r="Y622" i="8" s="1"/>
  <c r="W623" i="8" s="1"/>
  <c r="Y623" i="8" s="1"/>
  <c r="U318" i="8"/>
  <c r="W318" i="8" s="1"/>
  <c r="Y318" i="8" s="1"/>
  <c r="W319" i="8" s="1"/>
  <c r="Y319" i="8" s="1"/>
  <c r="U320" i="8" s="1"/>
  <c r="W320" i="8" s="1"/>
  <c r="Y320" i="8" s="1"/>
  <c r="U321" i="8" s="1"/>
  <c r="W321" i="8" s="1"/>
  <c r="Y321" i="8" s="1"/>
  <c r="U322" i="8" s="1"/>
  <c r="W322" i="8" s="1"/>
  <c r="Y322" i="8" s="1"/>
  <c r="W717" i="8"/>
  <c r="Y717" i="8" s="1"/>
  <c r="W718" i="8" s="1"/>
  <c r="Y718" i="8" s="1"/>
  <c r="U719" i="8" s="1"/>
  <c r="W213" i="8"/>
  <c r="Y213" i="8" s="1"/>
  <c r="U226" i="8"/>
  <c r="W226" i="8" s="1"/>
  <c r="Y226" i="8" s="1"/>
  <c r="U418" i="8"/>
  <c r="W418" i="8" s="1"/>
  <c r="Y418" i="8" s="1"/>
  <c r="W544" i="8"/>
  <c r="Y544" i="8" s="1"/>
  <c r="W625" i="8"/>
  <c r="Y625" i="8" s="1"/>
  <c r="W626" i="8" s="1"/>
  <c r="Y626" i="8" s="1"/>
  <c r="U627" i="8" s="1"/>
  <c r="W627" i="8" s="1"/>
  <c r="Y627" i="8" s="1"/>
  <c r="U628" i="8" s="1"/>
  <c r="W628" i="8" s="1"/>
  <c r="Y628" i="8" s="1"/>
  <c r="U629" i="8" s="1"/>
  <c r="W629" i="8" s="1"/>
  <c r="Y629" i="8" s="1"/>
  <c r="U630" i="8" s="1"/>
  <c r="W630" i="8" s="1"/>
  <c r="Y630" i="8" s="1"/>
  <c r="W94" i="8"/>
  <c r="Y94" i="8" s="1"/>
  <c r="W398" i="8"/>
  <c r="Y398" i="8" s="1"/>
  <c r="U366" i="8"/>
  <c r="W366" i="8" s="1"/>
  <c r="Y366" i="8" s="1"/>
  <c r="W478" i="8"/>
  <c r="Y478" i="8" s="1"/>
  <c r="W641" i="8"/>
  <c r="Y641" i="8" s="1"/>
  <c r="W605" i="8"/>
  <c r="Y605" i="8" s="1"/>
  <c r="W214" i="8" l="1"/>
  <c r="Y214" i="8" s="1"/>
  <c r="U323" i="8"/>
  <c r="W323" i="8" s="1"/>
  <c r="Y323" i="8" s="1"/>
  <c r="U324" i="8" s="1"/>
  <c r="W324" i="8" s="1"/>
  <c r="Y324" i="8" s="1"/>
  <c r="U325" i="8" s="1"/>
  <c r="W325" i="8" s="1"/>
  <c r="Y325" i="8" s="1"/>
  <c r="U326" i="8" s="1"/>
  <c r="W326" i="8" s="1"/>
  <c r="Y326" i="8" s="1"/>
  <c r="U227" i="8"/>
  <c r="W227" i="8" s="1"/>
  <c r="Y227" i="8" s="1"/>
  <c r="U419" i="8"/>
  <c r="W419" i="8" s="1"/>
  <c r="Y419" i="8" s="1"/>
  <c r="U420" i="8" s="1"/>
  <c r="W420" i="8" s="1"/>
  <c r="Y420" i="8" s="1"/>
  <c r="U421" i="8" s="1"/>
  <c r="W421" i="8" s="1"/>
  <c r="Y421" i="8" s="1"/>
  <c r="U422" i="8" s="1"/>
  <c r="W422" i="8" s="1"/>
  <c r="Y422" i="8" s="1"/>
  <c r="U367" i="8"/>
  <c r="W367" i="8" s="1"/>
  <c r="Y367" i="8" s="1"/>
  <c r="U368" i="8" s="1"/>
  <c r="W368" i="8" s="1"/>
  <c r="Y368" i="8" s="1"/>
  <c r="U369" i="8" s="1"/>
  <c r="W369" i="8" s="1"/>
  <c r="Y369" i="8" s="1"/>
  <c r="U370" i="8" s="1"/>
  <c r="W370" i="8" s="1"/>
  <c r="Y370" i="8" s="1"/>
  <c r="U371" i="8" s="1"/>
  <c r="W371" i="8" s="1"/>
  <c r="Y371" i="8" s="1"/>
  <c r="U372" i="8" s="1"/>
  <c r="W372" i="8" s="1"/>
  <c r="Y372" i="8" s="1"/>
  <c r="W373" i="8" s="1"/>
  <c r="Y373" i="8" s="1"/>
  <c r="W374" i="8" s="1"/>
  <c r="Y374" i="8" s="1"/>
  <c r="W545" i="8"/>
  <c r="Y545" i="8" s="1"/>
  <c r="W399" i="8"/>
  <c r="Y399" i="8" s="1"/>
  <c r="W479" i="8"/>
  <c r="Y479" i="8" s="1"/>
  <c r="W606" i="8"/>
  <c r="Y606" i="8" s="1"/>
  <c r="W95" i="8"/>
  <c r="Y95" i="8" s="1"/>
  <c r="W642" i="8"/>
  <c r="Y642" i="8" s="1"/>
  <c r="W719" i="8"/>
  <c r="Y719" i="8" s="1"/>
  <c r="U720" i="8" s="1"/>
  <c r="U228" i="8" l="1"/>
  <c r="W228" i="8" s="1"/>
  <c r="Y228" i="8" s="1"/>
  <c r="W546" i="8"/>
  <c r="Y546" i="8" s="1"/>
  <c r="W480" i="8"/>
  <c r="Y480" i="8" s="1"/>
  <c r="W400" i="8"/>
  <c r="Y400" i="8" s="1"/>
  <c r="W96" i="8"/>
  <c r="Y96" i="8" s="1"/>
  <c r="U607" i="8"/>
  <c r="W607" i="8" s="1"/>
  <c r="Y607" i="8" s="1"/>
  <c r="W643" i="8"/>
  <c r="Y643" i="8" s="1"/>
  <c r="W720" i="8"/>
  <c r="Y720" i="8" s="1"/>
  <c r="U721" i="8" s="1"/>
  <c r="U229" i="8" l="1"/>
  <c r="W229" i="8" s="1"/>
  <c r="Y229" i="8" s="1"/>
  <c r="W547" i="8"/>
  <c r="Y547" i="8" s="1"/>
  <c r="W481" i="8"/>
  <c r="Y481" i="8" s="1"/>
  <c r="W482" i="8" s="1"/>
  <c r="Y482" i="8" s="1"/>
  <c r="W97" i="8"/>
  <c r="Y97" i="8" s="1"/>
  <c r="U608" i="8"/>
  <c r="W608" i="8" s="1"/>
  <c r="Y608" i="8" s="1"/>
  <c r="W401" i="8"/>
  <c r="Y401" i="8" s="1"/>
  <c r="W644" i="8"/>
  <c r="Y644" i="8" s="1"/>
  <c r="W721" i="8"/>
  <c r="Y721" i="8" s="1"/>
  <c r="U722" i="8" s="1"/>
  <c r="U230" i="8" l="1"/>
  <c r="W230" i="8" s="1"/>
  <c r="Y230" i="8" s="1"/>
  <c r="W548" i="8"/>
  <c r="Y548" i="8" s="1"/>
  <c r="U483" i="8"/>
  <c r="W483" i="8" s="1"/>
  <c r="Y483" i="8" s="1"/>
  <c r="W484" i="8" s="1"/>
  <c r="Y484" i="8" s="1"/>
  <c r="W485" i="8" s="1"/>
  <c r="Y485" i="8" s="1"/>
  <c r="W486" i="8" s="1"/>
  <c r="Y486" i="8" s="1"/>
  <c r="W402" i="8"/>
  <c r="Y402" i="8" s="1"/>
  <c r="W98" i="8"/>
  <c r="Y98" i="8" s="1"/>
  <c r="U609" i="8"/>
  <c r="W609" i="8" s="1"/>
  <c r="Y609" i="8" s="1"/>
  <c r="W645" i="8"/>
  <c r="Y645" i="8" s="1"/>
  <c r="W722" i="8"/>
  <c r="Y722" i="8" s="1"/>
  <c r="U723" i="8" s="1"/>
  <c r="H43" i="1"/>
  <c r="E43" i="1"/>
  <c r="B43" i="1"/>
  <c r="W549" i="8" l="1"/>
  <c r="Y549" i="8" s="1"/>
  <c r="W550" i="8" s="1"/>
  <c r="Y550" i="8" s="1"/>
  <c r="W99" i="8"/>
  <c r="Y99" i="8" s="1"/>
  <c r="U610" i="8"/>
  <c r="W610" i="8" s="1"/>
  <c r="Y610" i="8" s="1"/>
  <c r="W403" i="8"/>
  <c r="Y403" i="8" s="1"/>
  <c r="W646" i="8"/>
  <c r="Y646" i="8" s="1"/>
  <c r="W723" i="8"/>
  <c r="Y723" i="8" s="1"/>
  <c r="U724" i="8" s="1"/>
  <c r="U611" i="8" l="1"/>
  <c r="W611" i="8" s="1"/>
  <c r="Y611" i="8" s="1"/>
  <c r="W404" i="8"/>
  <c r="Y404" i="8" s="1"/>
  <c r="W100" i="8"/>
  <c r="Y100" i="8" s="1"/>
  <c r="W724" i="8"/>
  <c r="Y724" i="8" s="1"/>
  <c r="U725" i="8" s="1"/>
  <c r="W101" i="8" l="1"/>
  <c r="Y101" i="8" s="1"/>
  <c r="W405" i="8"/>
  <c r="Y405" i="8" s="1"/>
  <c r="U612" i="8"/>
  <c r="W612" i="8" s="1"/>
  <c r="Y612" i="8" s="1"/>
  <c r="W725" i="8"/>
  <c r="Y725" i="8" s="1"/>
  <c r="W406" i="8" l="1"/>
  <c r="Y406" i="8" s="1"/>
  <c r="W102" i="8"/>
  <c r="Y102" i="8" s="1"/>
  <c r="U613" i="8"/>
  <c r="W613" i="8" s="1"/>
  <c r="Y613" i="8" s="1"/>
  <c r="K336" i="8" l="1"/>
  <c r="B84" i="1" l="1"/>
  <c r="R563" i="8" l="1"/>
  <c r="W304" i="8" l="1"/>
  <c r="R684" i="8" l="1"/>
  <c r="K112" i="8" l="1"/>
  <c r="B49" i="1" l="1"/>
  <c r="R315" i="8" l="1"/>
  <c r="R316" i="8" s="1"/>
  <c r="R317" i="8" l="1"/>
  <c r="R318" i="8" s="1"/>
  <c r="R319" i="8" s="1"/>
  <c r="R320" i="8" s="1"/>
  <c r="R321" i="8" s="1"/>
  <c r="R322" i="8" s="1"/>
  <c r="R323" i="8" s="1"/>
  <c r="R324" i="8" s="1"/>
  <c r="R325" i="8" s="1"/>
  <c r="R326" i="8" s="1"/>
  <c r="B73" i="1"/>
  <c r="R500" i="8" l="1"/>
  <c r="C499" i="8" s="1"/>
  <c r="G498" i="8"/>
  <c r="K498" i="8" s="1"/>
  <c r="C498" i="8"/>
  <c r="G23" i="1" s="1"/>
  <c r="C497" i="8"/>
  <c r="F23" i="1" s="1"/>
  <c r="K496" i="8"/>
  <c r="J23" i="1" s="1"/>
  <c r="G496" i="8"/>
  <c r="M23" i="1" s="1"/>
  <c r="H490" i="8"/>
  <c r="G490" i="8"/>
  <c r="C547" i="8"/>
  <c r="G546" i="8"/>
  <c r="C546" i="8"/>
  <c r="G30" i="1" s="1"/>
  <c r="C545" i="8"/>
  <c r="F30" i="1" s="1"/>
  <c r="K544" i="8"/>
  <c r="J30" i="1" s="1"/>
  <c r="G544" i="8"/>
  <c r="M30" i="1" s="1"/>
  <c r="H538" i="8"/>
  <c r="G538" i="8"/>
  <c r="U390" i="8"/>
  <c r="W390" i="8" s="1"/>
  <c r="Y390" i="8" s="1"/>
  <c r="R390" i="8"/>
  <c r="R388" i="8"/>
  <c r="G386" i="8"/>
  <c r="C386" i="8"/>
  <c r="G50" i="1" s="1"/>
  <c r="C385" i="8"/>
  <c r="F50" i="1" s="1"/>
  <c r="G384" i="8"/>
  <c r="M50" i="1" s="1"/>
  <c r="W379" i="8"/>
  <c r="Y379" i="8" s="1"/>
  <c r="H378" i="8"/>
  <c r="G378" i="8"/>
  <c r="G274" i="8"/>
  <c r="C274" i="8"/>
  <c r="G58" i="1" s="1"/>
  <c r="C273" i="8"/>
  <c r="F58" i="1" s="1"/>
  <c r="K272" i="8"/>
  <c r="J58" i="1" s="1"/>
  <c r="G272" i="8"/>
  <c r="M58" i="1" s="1"/>
  <c r="W267" i="8"/>
  <c r="Y267" i="8" s="1"/>
  <c r="U268" i="8" s="1"/>
  <c r="W268" i="8" s="1"/>
  <c r="Y268" i="8" s="1"/>
  <c r="U269" i="8" s="1"/>
  <c r="H266" i="8"/>
  <c r="G266" i="8"/>
  <c r="C467" i="8"/>
  <c r="G466" i="8"/>
  <c r="C466" i="8"/>
  <c r="G24" i="1" s="1"/>
  <c r="C465" i="8"/>
  <c r="F24" i="1" s="1"/>
  <c r="K464" i="8"/>
  <c r="J24" i="1" s="1"/>
  <c r="G464" i="8"/>
  <c r="M24" i="1" s="1"/>
  <c r="H458" i="8"/>
  <c r="G458" i="8"/>
  <c r="G130" i="8"/>
  <c r="C130" i="8"/>
  <c r="G17" i="1" s="1"/>
  <c r="C129" i="8"/>
  <c r="K128" i="8"/>
  <c r="J17" i="1" s="1"/>
  <c r="G128" i="8"/>
  <c r="M17" i="1" s="1"/>
  <c r="W123" i="8"/>
  <c r="Y123" i="8" s="1"/>
  <c r="H122" i="8"/>
  <c r="G122" i="8"/>
  <c r="G721" i="8"/>
  <c r="K721" i="8" s="1"/>
  <c r="C721" i="8"/>
  <c r="G42" i="1" s="1"/>
  <c r="C720" i="8"/>
  <c r="F42" i="1" s="1"/>
  <c r="K719" i="8"/>
  <c r="J42" i="1" s="1"/>
  <c r="G719" i="8"/>
  <c r="M42" i="1" s="1"/>
  <c r="C722" i="8"/>
  <c r="H713" i="8"/>
  <c r="G713" i="8"/>
  <c r="G226" i="8"/>
  <c r="O43" i="1" s="1"/>
  <c r="C226" i="8"/>
  <c r="G43" i="1" s="1"/>
  <c r="C225" i="8"/>
  <c r="F43" i="1" s="1"/>
  <c r="K224" i="8"/>
  <c r="G224" i="8"/>
  <c r="M43" i="1" s="1"/>
  <c r="H218" i="8"/>
  <c r="G218" i="8"/>
  <c r="G434" i="8"/>
  <c r="K434" i="8" s="1"/>
  <c r="C434" i="8"/>
  <c r="G65" i="1" s="1"/>
  <c r="C433" i="8"/>
  <c r="F65" i="1" s="1"/>
  <c r="K432" i="8"/>
  <c r="J65" i="1" s="1"/>
  <c r="G432" i="8"/>
  <c r="M65" i="1" s="1"/>
  <c r="R428" i="8"/>
  <c r="R429" i="8" s="1"/>
  <c r="R430" i="8" s="1"/>
  <c r="R431" i="8" s="1"/>
  <c r="R432" i="8" s="1"/>
  <c r="R433" i="8" s="1"/>
  <c r="R434" i="8" s="1"/>
  <c r="R435" i="8" s="1"/>
  <c r="H426" i="8"/>
  <c r="G426" i="8"/>
  <c r="G370" i="8"/>
  <c r="O49" i="1" s="1"/>
  <c r="C370" i="8"/>
  <c r="G49" i="1" s="1"/>
  <c r="C369" i="8"/>
  <c r="C371" i="8"/>
  <c r="I367" i="8" s="1"/>
  <c r="K368" i="8"/>
  <c r="J49" i="1" s="1"/>
  <c r="G368" i="8"/>
  <c r="M49" i="1" s="1"/>
  <c r="H362" i="8"/>
  <c r="G362" i="8"/>
  <c r="G81" i="8"/>
  <c r="K81" i="8" s="1"/>
  <c r="C81" i="8"/>
  <c r="G14" i="1" s="1"/>
  <c r="C80" i="8"/>
  <c r="R79" i="8"/>
  <c r="C82" i="8" s="1"/>
  <c r="J14" i="1"/>
  <c r="G79" i="8"/>
  <c r="M14" i="1" s="1"/>
  <c r="H73" i="8"/>
  <c r="G73" i="8"/>
  <c r="G658" i="8"/>
  <c r="C658" i="8"/>
  <c r="G91" i="1" s="1"/>
  <c r="C657" i="8"/>
  <c r="J91" i="1"/>
  <c r="G656" i="8"/>
  <c r="M91" i="1" s="1"/>
  <c r="C659" i="8"/>
  <c r="H650" i="8"/>
  <c r="G650" i="8"/>
  <c r="G354" i="8"/>
  <c r="K354" i="8" s="1"/>
  <c r="C354" i="8"/>
  <c r="G48" i="1" s="1"/>
  <c r="C353" i="8"/>
  <c r="F48" i="1" s="1"/>
  <c r="K352" i="8"/>
  <c r="G352" i="8"/>
  <c r="M48" i="1" s="1"/>
  <c r="H346" i="8"/>
  <c r="G346" i="8"/>
  <c r="U804" i="8"/>
  <c r="W804" i="8" s="1"/>
  <c r="Y804" i="8" s="1"/>
  <c r="R803" i="8"/>
  <c r="U801" i="8"/>
  <c r="W801" i="8" s="1"/>
  <c r="Y801" i="8" s="1"/>
  <c r="U802" i="8" s="1"/>
  <c r="W802" i="8" s="1"/>
  <c r="Y802" i="8" s="1"/>
  <c r="U803" i="8" s="1"/>
  <c r="R800" i="8"/>
  <c r="G800" i="8"/>
  <c r="K800" i="8" s="1"/>
  <c r="C800" i="8"/>
  <c r="C799" i="8"/>
  <c r="K798" i="8"/>
  <c r="G798" i="8"/>
  <c r="R795" i="8"/>
  <c r="W793" i="8"/>
  <c r="Y793" i="8" s="1"/>
  <c r="U794" i="8" s="1"/>
  <c r="W794" i="8" s="1"/>
  <c r="Y794" i="8" s="1"/>
  <c r="U795" i="8" s="1"/>
  <c r="W795" i="8" s="1"/>
  <c r="Y795" i="8" s="1"/>
  <c r="U796" i="8" s="1"/>
  <c r="W796" i="8" s="1"/>
  <c r="Y796" i="8" s="1"/>
  <c r="U797" i="8" s="1"/>
  <c r="W797" i="8" s="1"/>
  <c r="Y797" i="8" s="1"/>
  <c r="U798" i="8" s="1"/>
  <c r="W798" i="8" s="1"/>
  <c r="Y798" i="8" s="1"/>
  <c r="U799" i="8" s="1"/>
  <c r="W799" i="8" s="1"/>
  <c r="Y799" i="8" s="1"/>
  <c r="U800" i="8" s="1"/>
  <c r="W800" i="8" s="1"/>
  <c r="Y800" i="8" s="1"/>
  <c r="H792" i="8"/>
  <c r="G792" i="8"/>
  <c r="U788" i="8"/>
  <c r="W788" i="8" s="1"/>
  <c r="Y788" i="8" s="1"/>
  <c r="R788" i="8"/>
  <c r="R787" i="8"/>
  <c r="R786" i="8"/>
  <c r="U785" i="8"/>
  <c r="W785" i="8" s="1"/>
  <c r="Y785" i="8" s="1"/>
  <c r="U786" i="8" s="1"/>
  <c r="W786" i="8" s="1"/>
  <c r="Y786" i="8" s="1"/>
  <c r="U787" i="8" s="1"/>
  <c r="R785" i="8"/>
  <c r="R784" i="8"/>
  <c r="G784" i="8"/>
  <c r="K784" i="8" s="1"/>
  <c r="C784" i="8"/>
  <c r="R783" i="8"/>
  <c r="C783" i="8"/>
  <c r="R782" i="8"/>
  <c r="K782" i="8"/>
  <c r="G782" i="8"/>
  <c r="R781" i="8"/>
  <c r="K781" i="8"/>
  <c r="R780" i="8"/>
  <c r="W777" i="8"/>
  <c r="Y777" i="8" s="1"/>
  <c r="U778" i="8" s="1"/>
  <c r="W778" i="8" s="1"/>
  <c r="Y778" i="8" s="1"/>
  <c r="U779" i="8" s="1"/>
  <c r="W779" i="8" s="1"/>
  <c r="Y779" i="8" s="1"/>
  <c r="U780" i="8" s="1"/>
  <c r="W780" i="8" s="1"/>
  <c r="Y780" i="8" s="1"/>
  <c r="U781" i="8" s="1"/>
  <c r="W781" i="8" s="1"/>
  <c r="Y781" i="8" s="1"/>
  <c r="U782" i="8" s="1"/>
  <c r="W782" i="8" s="1"/>
  <c r="Y782" i="8" s="1"/>
  <c r="U783" i="8" s="1"/>
  <c r="W783" i="8" s="1"/>
  <c r="Y783" i="8" s="1"/>
  <c r="U784" i="8" s="1"/>
  <c r="W784" i="8" s="1"/>
  <c r="Y784" i="8" s="1"/>
  <c r="H776" i="8"/>
  <c r="G776" i="8"/>
  <c r="G114" i="8"/>
  <c r="K114" i="8" s="1"/>
  <c r="C114" i="8"/>
  <c r="G63" i="1" s="1"/>
  <c r="C113" i="8"/>
  <c r="F63" i="1" s="1"/>
  <c r="G112" i="8"/>
  <c r="M63" i="1" s="1"/>
  <c r="H106" i="8"/>
  <c r="G106" i="8"/>
  <c r="G210" i="8"/>
  <c r="C210" i="8"/>
  <c r="G41" i="1" s="1"/>
  <c r="C209" i="8"/>
  <c r="F41" i="1" s="1"/>
  <c r="K208" i="8"/>
  <c r="J41" i="1" s="1"/>
  <c r="G208" i="8"/>
  <c r="M41" i="1" s="1"/>
  <c r="H202" i="8"/>
  <c r="G202" i="8"/>
  <c r="R773" i="8"/>
  <c r="R772" i="8"/>
  <c r="R771" i="8"/>
  <c r="R770" i="8"/>
  <c r="R769" i="8"/>
  <c r="G769" i="8"/>
  <c r="K769" i="8" s="1"/>
  <c r="C769" i="8"/>
  <c r="R768" i="8"/>
  <c r="C768" i="8"/>
  <c r="R767" i="8"/>
  <c r="K767" i="8"/>
  <c r="G767" i="8"/>
  <c r="R766" i="8"/>
  <c r="K766" i="8"/>
  <c r="R765" i="8"/>
  <c r="W764" i="8"/>
  <c r="Y764" i="8" s="1"/>
  <c r="W765" i="8" s="1"/>
  <c r="Y765" i="8" s="1"/>
  <c r="W766" i="8" s="1"/>
  <c r="Y766" i="8" s="1"/>
  <c r="W767" i="8" s="1"/>
  <c r="Y767" i="8" s="1"/>
  <c r="W768" i="8" s="1"/>
  <c r="Y768" i="8" s="1"/>
  <c r="W769" i="8" s="1"/>
  <c r="Y769" i="8" s="1"/>
  <c r="W770" i="8" s="1"/>
  <c r="Y770" i="8" s="1"/>
  <c r="W771" i="8" s="1"/>
  <c r="Y771" i="8" s="1"/>
  <c r="R764" i="8"/>
  <c r="W763" i="8"/>
  <c r="Y763" i="8" s="1"/>
  <c r="R763" i="8"/>
  <c r="W762" i="8"/>
  <c r="Y762" i="8" s="1"/>
  <c r="H761" i="8"/>
  <c r="G761" i="8"/>
  <c r="U757" i="8"/>
  <c r="W757" i="8" s="1"/>
  <c r="Y757" i="8" s="1"/>
  <c r="R757" i="8"/>
  <c r="R756" i="8"/>
  <c r="R755" i="8"/>
  <c r="U754" i="8"/>
  <c r="W754" i="8" s="1"/>
  <c r="Y754" i="8" s="1"/>
  <c r="U755" i="8" s="1"/>
  <c r="W755" i="8" s="1"/>
  <c r="Y755" i="8" s="1"/>
  <c r="U756" i="8" s="1"/>
  <c r="R754" i="8"/>
  <c r="R753" i="8"/>
  <c r="G753" i="8"/>
  <c r="K753" i="8" s="1"/>
  <c r="C753" i="8"/>
  <c r="R752" i="8"/>
  <c r="C752" i="8"/>
  <c r="R751" i="8"/>
  <c r="K751" i="8"/>
  <c r="G751" i="8"/>
  <c r="R750" i="8"/>
  <c r="K750" i="8"/>
  <c r="R749" i="8"/>
  <c r="R748" i="8"/>
  <c r="R747" i="8"/>
  <c r="W746" i="8"/>
  <c r="Y746" i="8" s="1"/>
  <c r="U747" i="8" s="1"/>
  <c r="W747" i="8" s="1"/>
  <c r="Y747" i="8" s="1"/>
  <c r="U748" i="8" s="1"/>
  <c r="W748" i="8" s="1"/>
  <c r="Y748" i="8" s="1"/>
  <c r="U749" i="8" s="1"/>
  <c r="W749" i="8" s="1"/>
  <c r="Y749" i="8" s="1"/>
  <c r="U750" i="8" s="1"/>
  <c r="W750" i="8" s="1"/>
  <c r="Y750" i="8" s="1"/>
  <c r="U751" i="8" s="1"/>
  <c r="W751" i="8" s="1"/>
  <c r="Y751" i="8" s="1"/>
  <c r="U752" i="8" s="1"/>
  <c r="W752" i="8" s="1"/>
  <c r="Y752" i="8" s="1"/>
  <c r="U753" i="8" s="1"/>
  <c r="W753" i="8" s="1"/>
  <c r="Y753" i="8" s="1"/>
  <c r="H745" i="8"/>
  <c r="G745" i="8"/>
  <c r="R738" i="8"/>
  <c r="G737" i="8"/>
  <c r="K737" i="8" s="1"/>
  <c r="C737" i="8"/>
  <c r="C736" i="8"/>
  <c r="R735" i="8"/>
  <c r="K735" i="8"/>
  <c r="G735" i="8"/>
  <c r="R732" i="8"/>
  <c r="R731" i="8"/>
  <c r="W730" i="8"/>
  <c r="Y730" i="8" s="1"/>
  <c r="U731" i="8" s="1"/>
  <c r="W731" i="8" s="1"/>
  <c r="Y731" i="8" s="1"/>
  <c r="U732" i="8" s="1"/>
  <c r="W732" i="8" s="1"/>
  <c r="Y732" i="8" s="1"/>
  <c r="U733" i="8" s="1"/>
  <c r="W733" i="8" s="1"/>
  <c r="Y733" i="8" s="1"/>
  <c r="U734" i="8" s="1"/>
  <c r="W734" i="8" s="1"/>
  <c r="H729" i="8"/>
  <c r="G729" i="8"/>
  <c r="G609" i="8"/>
  <c r="K609" i="8" s="1"/>
  <c r="C609" i="8"/>
  <c r="G40" i="1" s="1"/>
  <c r="C608" i="8"/>
  <c r="F40" i="1" s="1"/>
  <c r="K607" i="8"/>
  <c r="J40" i="1" s="1"/>
  <c r="G607" i="8"/>
  <c r="M40" i="1" s="1"/>
  <c r="H601" i="8"/>
  <c r="G601" i="8"/>
  <c r="G322" i="8"/>
  <c r="K322" i="8" s="1"/>
  <c r="C322" i="8"/>
  <c r="G56" i="1" s="1"/>
  <c r="C321" i="8"/>
  <c r="K320" i="8"/>
  <c r="J56" i="1" s="1"/>
  <c r="G320" i="8"/>
  <c r="M56" i="1" s="1"/>
  <c r="C323" i="8"/>
  <c r="H314" i="8"/>
  <c r="G314" i="8"/>
  <c r="G418" i="8"/>
  <c r="O64" i="1" s="1"/>
  <c r="C418" i="8"/>
  <c r="G64" i="1" s="1"/>
  <c r="C417" i="8"/>
  <c r="K416" i="8"/>
  <c r="J64" i="1" s="1"/>
  <c r="G416" i="8"/>
  <c r="M64" i="1" s="1"/>
  <c r="H410" i="8"/>
  <c r="G410" i="8"/>
  <c r="G88" i="1"/>
  <c r="F88" i="1"/>
  <c r="J88" i="1"/>
  <c r="M88" i="1"/>
  <c r="G530" i="8"/>
  <c r="K530" i="8" s="1"/>
  <c r="C530" i="8"/>
  <c r="G32" i="1" s="1"/>
  <c r="C529" i="8"/>
  <c r="F32" i="1" s="1"/>
  <c r="K528" i="8"/>
  <c r="J32" i="1" s="1"/>
  <c r="G528" i="8"/>
  <c r="M32" i="1" s="1"/>
  <c r="H522" i="8"/>
  <c r="G522" i="8"/>
  <c r="R884" i="8"/>
  <c r="R883" i="8"/>
  <c r="R882" i="8"/>
  <c r="R881" i="8"/>
  <c r="R880" i="8"/>
  <c r="G880" i="8"/>
  <c r="K880" i="8" s="1"/>
  <c r="C880" i="8"/>
  <c r="G84" i="1" s="1"/>
  <c r="R879" i="8"/>
  <c r="C879" i="8"/>
  <c r="F84" i="1" s="1"/>
  <c r="R878" i="8"/>
  <c r="K878" i="8"/>
  <c r="J84" i="1" s="1"/>
  <c r="G878" i="8"/>
  <c r="M84" i="1" s="1"/>
  <c r="R877" i="8"/>
  <c r="R876" i="8"/>
  <c r="R875" i="8"/>
  <c r="R874" i="8"/>
  <c r="W873" i="8"/>
  <c r="Y873" i="8" s="1"/>
  <c r="U874" i="8" s="1"/>
  <c r="W874" i="8" s="1"/>
  <c r="Y874" i="8" s="1"/>
  <c r="U875" i="8" s="1"/>
  <c r="W875" i="8" s="1"/>
  <c r="Y875" i="8" s="1"/>
  <c r="H872" i="8"/>
  <c r="G872" i="8"/>
  <c r="G626" i="8"/>
  <c r="K626" i="8" s="1"/>
  <c r="C626" i="8"/>
  <c r="G68" i="1" s="1"/>
  <c r="C625" i="8"/>
  <c r="F68" i="1" s="1"/>
  <c r="K624" i="8"/>
  <c r="J68" i="1" s="1"/>
  <c r="G624" i="8"/>
  <c r="M68" i="1" s="1"/>
  <c r="H618" i="8"/>
  <c r="G618" i="8"/>
  <c r="C563" i="8"/>
  <c r="G562" i="8"/>
  <c r="K562" i="8" s="1"/>
  <c r="C562" i="8"/>
  <c r="G33" i="1" s="1"/>
  <c r="C561" i="8"/>
  <c r="F33" i="1" s="1"/>
  <c r="K560" i="8"/>
  <c r="J33" i="1" s="1"/>
  <c r="G560" i="8"/>
  <c r="M33" i="1" s="1"/>
  <c r="H554" i="8"/>
  <c r="G554" i="8"/>
  <c r="R866" i="8"/>
  <c r="R864" i="8"/>
  <c r="G864" i="8"/>
  <c r="K864" i="8" s="1"/>
  <c r="C864" i="8"/>
  <c r="G80" i="1" s="1"/>
  <c r="C863" i="8"/>
  <c r="F80" i="1" s="1"/>
  <c r="R862" i="8"/>
  <c r="K862" i="8"/>
  <c r="J80" i="1" s="1"/>
  <c r="G862" i="8"/>
  <c r="M80" i="1" s="1"/>
  <c r="R858" i="8"/>
  <c r="H856" i="8"/>
  <c r="G856" i="8"/>
  <c r="U852" i="8"/>
  <c r="W852" i="8" s="1"/>
  <c r="Y852" i="8" s="1"/>
  <c r="R852" i="8"/>
  <c r="R851" i="8"/>
  <c r="R850" i="8"/>
  <c r="R849" i="8"/>
  <c r="R848" i="8"/>
  <c r="G848" i="8"/>
  <c r="K848" i="8" s="1"/>
  <c r="C848" i="8"/>
  <c r="R847" i="8"/>
  <c r="C847" i="8"/>
  <c r="R846" i="8"/>
  <c r="G846" i="8"/>
  <c r="R845" i="8"/>
  <c r="K845" i="8"/>
  <c r="K847" i="8" s="1"/>
  <c r="R844" i="8"/>
  <c r="R843" i="8"/>
  <c r="R842" i="8"/>
  <c r="W841" i="8"/>
  <c r="Y841" i="8" s="1"/>
  <c r="U842" i="8" s="1"/>
  <c r="W842" i="8" s="1"/>
  <c r="Y842" i="8" s="1"/>
  <c r="U843" i="8" s="1"/>
  <c r="W843" i="8" s="1"/>
  <c r="Y843" i="8" s="1"/>
  <c r="U844" i="8" s="1"/>
  <c r="W844" i="8" s="1"/>
  <c r="Y844" i="8" s="1"/>
  <c r="U845" i="8" s="1"/>
  <c r="W845" i="8" s="1"/>
  <c r="Y845" i="8" s="1"/>
  <c r="U846" i="8" s="1"/>
  <c r="W846" i="8" s="1"/>
  <c r="Y846" i="8" s="1"/>
  <c r="U847" i="8" s="1"/>
  <c r="W847" i="8" s="1"/>
  <c r="Y847" i="8" s="1"/>
  <c r="U848" i="8" s="1"/>
  <c r="W848" i="8" s="1"/>
  <c r="Y848" i="8" s="1"/>
  <c r="U849" i="8" s="1"/>
  <c r="W849" i="8" s="1"/>
  <c r="Y849" i="8" s="1"/>
  <c r="U850" i="8" s="1"/>
  <c r="W850" i="8" s="1"/>
  <c r="Y850" i="8" s="1"/>
  <c r="U851" i="8" s="1"/>
  <c r="R841" i="8"/>
  <c r="H840" i="8"/>
  <c r="G840" i="8"/>
  <c r="G832" i="8"/>
  <c r="K832" i="8" s="1"/>
  <c r="C832" i="8"/>
  <c r="G92" i="1" s="1"/>
  <c r="C831" i="8"/>
  <c r="F92" i="1" s="1"/>
  <c r="K830" i="8"/>
  <c r="J92" i="1" s="1"/>
  <c r="G830" i="8"/>
  <c r="M92" i="1" s="1"/>
  <c r="R825" i="8"/>
  <c r="R826" i="8" s="1"/>
  <c r="R827" i="8" s="1"/>
  <c r="H824" i="8"/>
  <c r="G824" i="8"/>
  <c r="R582" i="8"/>
  <c r="R579" i="8"/>
  <c r="R580" i="8" s="1"/>
  <c r="G578" i="8"/>
  <c r="K578" i="8" s="1"/>
  <c r="C578" i="8"/>
  <c r="G67" i="1" s="1"/>
  <c r="R577" i="8"/>
  <c r="C577" i="8"/>
  <c r="F67" i="1" s="1"/>
  <c r="R576" i="8"/>
  <c r="K576" i="8"/>
  <c r="J67" i="1" s="1"/>
  <c r="G576" i="8"/>
  <c r="M67" i="1" s="1"/>
  <c r="R574" i="8"/>
  <c r="H570" i="8"/>
  <c r="G570" i="8"/>
  <c r="U820" i="8"/>
  <c r="W820" i="8" s="1"/>
  <c r="Y820" i="8" s="1"/>
  <c r="R820" i="8"/>
  <c r="R819" i="8"/>
  <c r="R818" i="8"/>
  <c r="U817" i="8"/>
  <c r="W817" i="8" s="1"/>
  <c r="Y817" i="8" s="1"/>
  <c r="U818" i="8" s="1"/>
  <c r="W818" i="8" s="1"/>
  <c r="Y818" i="8" s="1"/>
  <c r="U819" i="8" s="1"/>
  <c r="R817" i="8"/>
  <c r="R816" i="8"/>
  <c r="G816" i="8"/>
  <c r="K816" i="8" s="1"/>
  <c r="C816" i="8"/>
  <c r="R815" i="8"/>
  <c r="C815" i="8"/>
  <c r="R814" i="8"/>
  <c r="K814" i="8"/>
  <c r="G814" i="8"/>
  <c r="R813" i="8"/>
  <c r="R812" i="8"/>
  <c r="R811" i="8"/>
  <c r="R810" i="8"/>
  <c r="W809" i="8"/>
  <c r="Y809" i="8" s="1"/>
  <c r="U810" i="8" s="1"/>
  <c r="W810" i="8" s="1"/>
  <c r="Y810" i="8" s="1"/>
  <c r="U811" i="8" s="1"/>
  <c r="W811" i="8" s="1"/>
  <c r="Y811" i="8" s="1"/>
  <c r="U812" i="8" s="1"/>
  <c r="W812" i="8" s="1"/>
  <c r="Y812" i="8" s="1"/>
  <c r="U813" i="8" s="1"/>
  <c r="W813" i="8" s="1"/>
  <c r="Y813" i="8" s="1"/>
  <c r="U814" i="8" s="1"/>
  <c r="W814" i="8" s="1"/>
  <c r="Y814" i="8" s="1"/>
  <c r="U815" i="8" s="1"/>
  <c r="W815" i="8" s="1"/>
  <c r="Y815" i="8" s="1"/>
  <c r="U816" i="8" s="1"/>
  <c r="W816" i="8" s="1"/>
  <c r="Y816" i="8" s="1"/>
  <c r="H808" i="8"/>
  <c r="G808" i="8"/>
  <c r="C291" i="8"/>
  <c r="G290" i="8"/>
  <c r="K290" i="8" s="1"/>
  <c r="C290" i="8"/>
  <c r="G55" i="1" s="1"/>
  <c r="C289" i="8"/>
  <c r="J55" i="1"/>
  <c r="G288" i="8"/>
  <c r="M55" i="1" s="1"/>
  <c r="Y283" i="8"/>
  <c r="U284" i="8" s="1"/>
  <c r="W284" i="8" s="1"/>
  <c r="Y284" i="8" s="1"/>
  <c r="U285" i="8" s="1"/>
  <c r="H282" i="8"/>
  <c r="G282" i="8"/>
  <c r="G402" i="8"/>
  <c r="O47" i="1" s="1"/>
  <c r="C402" i="8"/>
  <c r="G47" i="1" s="1"/>
  <c r="C401" i="8"/>
  <c r="F47" i="1" s="1"/>
  <c r="K400" i="8"/>
  <c r="J47" i="1" s="1"/>
  <c r="G400" i="8"/>
  <c r="M47" i="1" s="1"/>
  <c r="H394" i="8"/>
  <c r="G394" i="8"/>
  <c r="G482" i="8"/>
  <c r="C482" i="8"/>
  <c r="G25" i="1" s="1"/>
  <c r="C481" i="8"/>
  <c r="F25" i="1" s="1"/>
  <c r="K480" i="8"/>
  <c r="J25" i="1" s="1"/>
  <c r="G480" i="8"/>
  <c r="M25" i="1" s="1"/>
  <c r="H474" i="8"/>
  <c r="G474" i="8"/>
  <c r="G338" i="8"/>
  <c r="K338" i="8" s="1"/>
  <c r="C338" i="8"/>
  <c r="G51" i="1" s="1"/>
  <c r="C337" i="8"/>
  <c r="F51" i="1" s="1"/>
  <c r="J51" i="1"/>
  <c r="G336" i="8"/>
  <c r="M51" i="1" s="1"/>
  <c r="H330" i="8"/>
  <c r="G330" i="8"/>
  <c r="G642" i="8"/>
  <c r="K642" i="8" s="1"/>
  <c r="C642" i="8"/>
  <c r="G83" i="1" s="1"/>
  <c r="C641" i="8"/>
  <c r="F83" i="1" s="1"/>
  <c r="K640" i="8"/>
  <c r="J83" i="1" s="1"/>
  <c r="G640" i="8"/>
  <c r="M83" i="1" s="1"/>
  <c r="H634" i="8"/>
  <c r="G634" i="8"/>
  <c r="G89" i="1"/>
  <c r="F89" i="1"/>
  <c r="J89" i="1"/>
  <c r="M89" i="1"/>
  <c r="G98" i="8"/>
  <c r="K98" i="8" s="1"/>
  <c r="C98" i="8"/>
  <c r="G62" i="1" s="1"/>
  <c r="C97" i="8"/>
  <c r="K96" i="8"/>
  <c r="J62" i="1" s="1"/>
  <c r="G96" i="8"/>
  <c r="M62" i="1" s="1"/>
  <c r="H90" i="8"/>
  <c r="G90" i="8"/>
  <c r="G242" i="8"/>
  <c r="K242" i="8" s="1"/>
  <c r="C242" i="8"/>
  <c r="G66" i="1" s="1"/>
  <c r="C241" i="8"/>
  <c r="F66" i="1" s="1"/>
  <c r="K240" i="8"/>
  <c r="J66" i="1" s="1"/>
  <c r="G240" i="8"/>
  <c r="M66" i="1" s="1"/>
  <c r="Y235" i="8"/>
  <c r="U236" i="8" s="1"/>
  <c r="H234" i="8"/>
  <c r="G234" i="8"/>
  <c r="C515" i="8"/>
  <c r="G514" i="8"/>
  <c r="K514" i="8" s="1"/>
  <c r="C514" i="8"/>
  <c r="G31" i="1" s="1"/>
  <c r="C513" i="8"/>
  <c r="F31" i="1" s="1"/>
  <c r="K512" i="8"/>
  <c r="J31" i="1" s="1"/>
  <c r="G512" i="8"/>
  <c r="M31" i="1" s="1"/>
  <c r="W507" i="8"/>
  <c r="Y507" i="8" s="1"/>
  <c r="U508" i="8" s="1"/>
  <c r="H506" i="8"/>
  <c r="G506" i="8"/>
  <c r="G194" i="8"/>
  <c r="K194" i="8" s="1"/>
  <c r="C194" i="8"/>
  <c r="G37" i="1" s="1"/>
  <c r="C193" i="8"/>
  <c r="F37" i="1" s="1"/>
  <c r="K192" i="8"/>
  <c r="J37" i="1" s="1"/>
  <c r="G192" i="8"/>
  <c r="M37" i="1" s="1"/>
  <c r="W187" i="8"/>
  <c r="Y187" i="8" s="1"/>
  <c r="U188" i="8" s="1"/>
  <c r="H186" i="8"/>
  <c r="G186" i="8"/>
  <c r="R453" i="8"/>
  <c r="R454" i="8" s="1"/>
  <c r="G450" i="8"/>
  <c r="K450" i="8" s="1"/>
  <c r="C450" i="8"/>
  <c r="G26" i="1" s="1"/>
  <c r="C449" i="8"/>
  <c r="F26" i="1" s="1"/>
  <c r="K448" i="8"/>
  <c r="J26" i="1" s="1"/>
  <c r="G448" i="8"/>
  <c r="M26" i="1" s="1"/>
  <c r="R444" i="8"/>
  <c r="W443" i="8"/>
  <c r="Y443" i="8" s="1"/>
  <c r="U444" i="8" s="1"/>
  <c r="W444" i="8" s="1"/>
  <c r="Y444" i="8" s="1"/>
  <c r="H442" i="8"/>
  <c r="G442" i="8"/>
  <c r="G306" i="8"/>
  <c r="K306" i="8" s="1"/>
  <c r="C306" i="8"/>
  <c r="G57" i="1" s="1"/>
  <c r="C305" i="8"/>
  <c r="F57" i="1" s="1"/>
  <c r="K304" i="8"/>
  <c r="J57" i="1" s="1"/>
  <c r="G304" i="8"/>
  <c r="M57" i="1" s="1"/>
  <c r="W299" i="8"/>
  <c r="Y299" i="8" s="1"/>
  <c r="U300" i="8" s="1"/>
  <c r="W300" i="8" s="1"/>
  <c r="Y300" i="8" s="1"/>
  <c r="U301" i="8" s="1"/>
  <c r="W301" i="8" s="1"/>
  <c r="Y301" i="8" s="1"/>
  <c r="R299" i="8"/>
  <c r="R300" i="8" s="1"/>
  <c r="R301" i="8" s="1"/>
  <c r="R302" i="8" s="1"/>
  <c r="R303" i="8" s="1"/>
  <c r="R304" i="8" s="1"/>
  <c r="R305" i="8" s="1"/>
  <c r="R306" i="8" s="1"/>
  <c r="R307" i="8" s="1"/>
  <c r="R308" i="8" s="1"/>
  <c r="R309" i="8" s="1"/>
  <c r="R310" i="8" s="1"/>
  <c r="H298" i="8"/>
  <c r="G298" i="8"/>
  <c r="G86" i="1"/>
  <c r="F86" i="1"/>
  <c r="J86" i="1"/>
  <c r="M86" i="1"/>
  <c r="G258" i="8"/>
  <c r="O44" i="1" s="1"/>
  <c r="C258" i="8"/>
  <c r="G44" i="1" s="1"/>
  <c r="C259" i="8"/>
  <c r="C257" i="8"/>
  <c r="F44" i="1" s="1"/>
  <c r="K256" i="8"/>
  <c r="J44" i="1" s="1"/>
  <c r="G256" i="8"/>
  <c r="M44" i="1" s="1"/>
  <c r="Y251" i="8"/>
  <c r="U252" i="8" s="1"/>
  <c r="H250" i="8"/>
  <c r="G250" i="8"/>
  <c r="R710" i="8"/>
  <c r="C707" i="8" s="1"/>
  <c r="G706" i="8"/>
  <c r="K706" i="8" s="1"/>
  <c r="C706" i="8"/>
  <c r="G85" i="1" s="1"/>
  <c r="C705" i="8"/>
  <c r="F85" i="1" s="1"/>
  <c r="K704" i="8"/>
  <c r="J85" i="1" s="1"/>
  <c r="G704" i="8"/>
  <c r="M85" i="1" s="1"/>
  <c r="H698" i="8"/>
  <c r="G698" i="8"/>
  <c r="G690" i="8"/>
  <c r="K690" i="8" s="1"/>
  <c r="C690" i="8"/>
  <c r="G87" i="1" s="1"/>
  <c r="C689" i="8"/>
  <c r="F87" i="1" s="1"/>
  <c r="K688" i="8"/>
  <c r="J87" i="1" s="1"/>
  <c r="G688" i="8"/>
  <c r="M87" i="1" s="1"/>
  <c r="R686" i="8"/>
  <c r="R687" i="8" s="1"/>
  <c r="R688" i="8" s="1"/>
  <c r="W684" i="8"/>
  <c r="Y684" i="8" s="1"/>
  <c r="W685" i="8" s="1"/>
  <c r="Y685" i="8" s="1"/>
  <c r="W686" i="8" s="1"/>
  <c r="Y686" i="8" s="1"/>
  <c r="W687" i="8" s="1"/>
  <c r="Y687" i="8" s="1"/>
  <c r="H682" i="8"/>
  <c r="G682" i="8"/>
  <c r="C675" i="8"/>
  <c r="G674" i="8"/>
  <c r="K674" i="8" s="1"/>
  <c r="C674" i="8"/>
  <c r="G82" i="1" s="1"/>
  <c r="C673" i="8"/>
  <c r="K672" i="8"/>
  <c r="J82" i="1" s="1"/>
  <c r="G672" i="8"/>
  <c r="M82" i="1" s="1"/>
  <c r="H666" i="8"/>
  <c r="G666" i="8"/>
  <c r="G178" i="8"/>
  <c r="K178" i="8" s="1"/>
  <c r="C178" i="8"/>
  <c r="G69" i="1" s="1"/>
  <c r="C177" i="8"/>
  <c r="K176" i="8"/>
  <c r="J69" i="1" s="1"/>
  <c r="G176" i="8"/>
  <c r="M69" i="1" s="1"/>
  <c r="H170" i="8"/>
  <c r="G170" i="8"/>
  <c r="C163" i="8"/>
  <c r="I159" i="8" s="1"/>
  <c r="G162" i="8"/>
  <c r="K162" i="8" s="1"/>
  <c r="C162" i="8"/>
  <c r="G39" i="1" s="1"/>
  <c r="C161" i="8"/>
  <c r="K160" i="8"/>
  <c r="J39" i="1" s="1"/>
  <c r="G160" i="8"/>
  <c r="M39" i="1" s="1"/>
  <c r="H154" i="8"/>
  <c r="G154" i="8"/>
  <c r="G146" i="8"/>
  <c r="K146" i="8" s="1"/>
  <c r="C146" i="8"/>
  <c r="G38" i="1" s="1"/>
  <c r="C145" i="8"/>
  <c r="K144" i="8"/>
  <c r="J38" i="1" s="1"/>
  <c r="G144" i="8"/>
  <c r="M38" i="1" s="1"/>
  <c r="W139" i="8"/>
  <c r="Y139" i="8" s="1"/>
  <c r="U140" i="8" s="1"/>
  <c r="H138" i="8"/>
  <c r="G138" i="8"/>
  <c r="R52" i="8"/>
  <c r="R51" i="8"/>
  <c r="R49" i="8"/>
  <c r="R48" i="8"/>
  <c r="G48" i="8"/>
  <c r="K48" i="8" s="1"/>
  <c r="C48" i="8"/>
  <c r="G19" i="1" s="1"/>
  <c r="R47" i="8"/>
  <c r="C47" i="8"/>
  <c r="F19" i="1" s="1"/>
  <c r="K46" i="8"/>
  <c r="J19" i="1" s="1"/>
  <c r="G46" i="8"/>
  <c r="M19" i="1" s="1"/>
  <c r="R45" i="8"/>
  <c r="R44" i="8"/>
  <c r="R43" i="8"/>
  <c r="W41" i="8"/>
  <c r="Y41" i="8" s="1"/>
  <c r="U42" i="8" s="1"/>
  <c r="H40" i="8"/>
  <c r="G40" i="8"/>
  <c r="G65" i="8"/>
  <c r="K65" i="8" s="1"/>
  <c r="C65" i="8"/>
  <c r="G15" i="1" s="1"/>
  <c r="C64" i="8"/>
  <c r="F15" i="1" s="1"/>
  <c r="K63" i="8"/>
  <c r="J15" i="1" s="1"/>
  <c r="G63" i="8"/>
  <c r="M15" i="1" s="1"/>
  <c r="W58" i="8"/>
  <c r="Y58" i="8" s="1"/>
  <c r="U59" i="8" s="1"/>
  <c r="H57" i="8"/>
  <c r="G57" i="8"/>
  <c r="G594" i="8"/>
  <c r="K594" i="8" s="1"/>
  <c r="C594" i="8"/>
  <c r="G73" i="1" s="1"/>
  <c r="C593" i="8"/>
  <c r="F73" i="1" s="1"/>
  <c r="J73" i="1"/>
  <c r="G592" i="8"/>
  <c r="M73" i="1" s="1"/>
  <c r="C595" i="8"/>
  <c r="H586" i="8"/>
  <c r="G586" i="8"/>
  <c r="O18" i="1"/>
  <c r="G18" i="1"/>
  <c r="F18" i="1"/>
  <c r="M18" i="1"/>
  <c r="G16" i="1"/>
  <c r="F16" i="1"/>
  <c r="P16" i="1"/>
  <c r="H42" i="1"/>
  <c r="E42" i="1"/>
  <c r="B42" i="1"/>
  <c r="H64" i="1"/>
  <c r="E64" i="1"/>
  <c r="B64" i="1"/>
  <c r="H85" i="1"/>
  <c r="E85" i="1"/>
  <c r="B85" i="1"/>
  <c r="H92" i="1"/>
  <c r="E92" i="1"/>
  <c r="J63" i="1"/>
  <c r="H63" i="1"/>
  <c r="E63" i="1"/>
  <c r="B63" i="1"/>
  <c r="H62" i="1"/>
  <c r="E62" i="1"/>
  <c r="H33" i="1"/>
  <c r="E33" i="1"/>
  <c r="B33" i="1"/>
  <c r="H56" i="1"/>
  <c r="E56" i="1"/>
  <c r="H49" i="1"/>
  <c r="E49" i="1"/>
  <c r="H66" i="1"/>
  <c r="E66" i="1"/>
  <c r="H86" i="1"/>
  <c r="E86" i="1"/>
  <c r="E25" i="1"/>
  <c r="B25" i="1"/>
  <c r="H83" i="1"/>
  <c r="E83" i="1"/>
  <c r="H47" i="1"/>
  <c r="E47" i="1"/>
  <c r="H68" i="1"/>
  <c r="E68" i="1"/>
  <c r="H55" i="1"/>
  <c r="E55" i="1"/>
  <c r="B55" i="1"/>
  <c r="H89" i="1"/>
  <c r="E89" i="1"/>
  <c r="H67" i="1"/>
  <c r="E67" i="1"/>
  <c r="B67" i="1"/>
  <c r="H51" i="1"/>
  <c r="E51" i="1"/>
  <c r="B51" i="1"/>
  <c r="H48" i="1"/>
  <c r="E48" i="1"/>
  <c r="B48" i="1"/>
  <c r="H88" i="1"/>
  <c r="E88" i="1"/>
  <c r="H84" i="1"/>
  <c r="E84" i="1"/>
  <c r="H44" i="1"/>
  <c r="E44" i="1"/>
  <c r="B44" i="1"/>
  <c r="H31" i="1"/>
  <c r="E31" i="1"/>
  <c r="H82" i="1"/>
  <c r="E82" i="1"/>
  <c r="H91" i="1"/>
  <c r="E91" i="1"/>
  <c r="B91" i="1"/>
  <c r="H57" i="1"/>
  <c r="E57" i="1"/>
  <c r="H69" i="1"/>
  <c r="E69" i="1"/>
  <c r="H65" i="1"/>
  <c r="E65" i="1"/>
  <c r="B65" i="1"/>
  <c r="H40" i="1"/>
  <c r="E40" i="1"/>
  <c r="H39" i="1"/>
  <c r="E39" i="1"/>
  <c r="H38" i="1"/>
  <c r="E38" i="1"/>
  <c r="B38" i="1"/>
  <c r="H37" i="1"/>
  <c r="E37" i="1"/>
  <c r="H30" i="1"/>
  <c r="E30" i="1"/>
  <c r="B30" i="1"/>
  <c r="H50" i="1"/>
  <c r="E50" i="1"/>
  <c r="B50" i="1"/>
  <c r="H58" i="1"/>
  <c r="E58" i="1"/>
  <c r="B58" i="1"/>
  <c r="H24" i="1"/>
  <c r="E24" i="1"/>
  <c r="B24" i="1"/>
  <c r="H23" i="1"/>
  <c r="E23" i="1"/>
  <c r="B23" i="1"/>
  <c r="H80" i="1"/>
  <c r="E80" i="1"/>
  <c r="B80" i="1"/>
  <c r="H17" i="1"/>
  <c r="E17" i="1"/>
  <c r="B17" i="1"/>
  <c r="H26" i="1"/>
  <c r="E26" i="1"/>
  <c r="B26" i="1"/>
  <c r="H32" i="1"/>
  <c r="E32" i="1"/>
  <c r="B32" i="1"/>
  <c r="H41" i="1"/>
  <c r="E41" i="1"/>
  <c r="B41" i="1"/>
  <c r="H19" i="1"/>
  <c r="E19" i="1"/>
  <c r="B19" i="1"/>
  <c r="E18" i="1"/>
  <c r="B18" i="1"/>
  <c r="H87" i="1"/>
  <c r="E87" i="1"/>
  <c r="B87" i="1"/>
  <c r="H14" i="1"/>
  <c r="E14" i="1"/>
  <c r="B14" i="1"/>
  <c r="H73" i="1"/>
  <c r="E73" i="1"/>
  <c r="O16" i="1"/>
  <c r="M16" i="1"/>
  <c r="L16" i="1"/>
  <c r="I16" i="1"/>
  <c r="H16" i="1"/>
  <c r="H15" i="1"/>
  <c r="E15" i="1"/>
  <c r="E11" i="1"/>
  <c r="D5" i="1"/>
  <c r="D4" i="1"/>
  <c r="P1" i="1"/>
  <c r="N1" i="1"/>
  <c r="E94" i="1" s="1"/>
  <c r="U302" i="8" l="1"/>
  <c r="W302" i="8" s="1"/>
  <c r="Y302" i="8" s="1"/>
  <c r="W303" i="8" s="1"/>
  <c r="Y303" i="8" s="1"/>
  <c r="U304" i="8" s="1"/>
  <c r="U124" i="8"/>
  <c r="W124" i="8" s="1"/>
  <c r="Y124" i="8" s="1"/>
  <c r="I255" i="8"/>
  <c r="K255" i="8" s="1"/>
  <c r="K257" i="8" s="1"/>
  <c r="E45" i="1"/>
  <c r="I591" i="8"/>
  <c r="I73" i="1" s="1"/>
  <c r="I718" i="8"/>
  <c r="K718" i="8" s="1"/>
  <c r="K720" i="8" s="1"/>
  <c r="K42" i="1" s="1"/>
  <c r="F17" i="1"/>
  <c r="E34" i="1"/>
  <c r="E59" i="1"/>
  <c r="F14" i="1"/>
  <c r="I78" i="8"/>
  <c r="K78" i="8" s="1"/>
  <c r="K80" i="8" s="1"/>
  <c r="K82" i="8" s="1"/>
  <c r="I559" i="8"/>
  <c r="K559" i="8" s="1"/>
  <c r="K561" i="8" s="1"/>
  <c r="K563" i="8" s="1"/>
  <c r="J27" i="1"/>
  <c r="I319" i="8"/>
  <c r="K319" i="8" s="1"/>
  <c r="K321" i="8" s="1"/>
  <c r="I543" i="8"/>
  <c r="K543" i="8" s="1"/>
  <c r="K545" i="8" s="1"/>
  <c r="E27" i="1"/>
  <c r="W508" i="8"/>
  <c r="Y508" i="8" s="1"/>
  <c r="U509" i="8" s="1"/>
  <c r="W285" i="8"/>
  <c r="Y285" i="8" s="1"/>
  <c r="U286" i="8" s="1"/>
  <c r="F62" i="1"/>
  <c r="I671" i="8"/>
  <c r="K671" i="8" s="1"/>
  <c r="K673" i="8" s="1"/>
  <c r="K675" i="8" s="1"/>
  <c r="E74" i="1"/>
  <c r="K367" i="8"/>
  <c r="K369" i="8" s="1"/>
  <c r="F55" i="1"/>
  <c r="K287" i="8"/>
  <c r="K289" i="8" s="1"/>
  <c r="I463" i="8"/>
  <c r="J70" i="1"/>
  <c r="E70" i="1"/>
  <c r="E52" i="1"/>
  <c r="J43" i="1"/>
  <c r="J74" i="1" s="1"/>
  <c r="U1" i="8"/>
  <c r="C738" i="8"/>
  <c r="C307" i="8"/>
  <c r="I303" i="8" s="1"/>
  <c r="K303" i="8" s="1"/>
  <c r="K305" i="8" s="1"/>
  <c r="M75" i="1"/>
  <c r="C801" i="8"/>
  <c r="I495" i="8"/>
  <c r="I23" i="1" s="1"/>
  <c r="C275" i="8"/>
  <c r="I271" i="8" s="1"/>
  <c r="C227" i="8"/>
  <c r="I223" i="8" s="1"/>
  <c r="C49" i="8"/>
  <c r="I45" i="8" s="1"/>
  <c r="C770" i="8"/>
  <c r="I511" i="8"/>
  <c r="K511" i="8" s="1"/>
  <c r="K513" i="8" s="1"/>
  <c r="K515" i="8" s="1"/>
  <c r="C849" i="8"/>
  <c r="K159" i="8"/>
  <c r="K161" i="8" s="1"/>
  <c r="K39" i="1" s="1"/>
  <c r="W42" i="8"/>
  <c r="Y42" i="8" s="1"/>
  <c r="U43" i="8" s="1"/>
  <c r="C785" i="8"/>
  <c r="C754" i="8"/>
  <c r="C147" i="8"/>
  <c r="I143" i="8" s="1"/>
  <c r="F82" i="1"/>
  <c r="F39" i="1"/>
  <c r="F64" i="1"/>
  <c r="F49" i="1"/>
  <c r="F91" i="1"/>
  <c r="C865" i="8"/>
  <c r="I861" i="8" s="1"/>
  <c r="K861" i="8" s="1"/>
  <c r="K863" i="8" s="1"/>
  <c r="K80" i="1" s="1"/>
  <c r="U445" i="8"/>
  <c r="W445" i="8" s="1"/>
  <c r="Y445" i="8" s="1"/>
  <c r="K768" i="8"/>
  <c r="C131" i="8"/>
  <c r="I127" i="8" s="1"/>
  <c r="W236" i="8"/>
  <c r="Y236" i="8" s="1"/>
  <c r="U237" i="8" s="1"/>
  <c r="N16" i="1"/>
  <c r="W59" i="8"/>
  <c r="Y59" i="8" s="1"/>
  <c r="U60" i="8" s="1"/>
  <c r="W188" i="8"/>
  <c r="Y188" i="8" s="1"/>
  <c r="U189" i="8" s="1"/>
  <c r="C339" i="8"/>
  <c r="I335" i="8" s="1"/>
  <c r="W140" i="8"/>
  <c r="Y140" i="8" s="1"/>
  <c r="U141" i="8" s="1"/>
  <c r="R689" i="8"/>
  <c r="R690" i="8" s="1"/>
  <c r="R691" i="8" s="1"/>
  <c r="R692" i="8" s="1"/>
  <c r="R693" i="8" s="1"/>
  <c r="R694" i="8" s="1"/>
  <c r="C691" i="8" s="1"/>
  <c r="W252" i="8"/>
  <c r="Y252" i="8" s="1"/>
  <c r="U253" i="8" s="1"/>
  <c r="C579" i="8"/>
  <c r="U876" i="8"/>
  <c r="W876" i="8" s="1"/>
  <c r="Y876" i="8" s="1"/>
  <c r="W380" i="8"/>
  <c r="Y380" i="8" s="1"/>
  <c r="C115" i="8"/>
  <c r="I111" i="8" s="1"/>
  <c r="K111" i="8" s="1"/>
  <c r="O67" i="1"/>
  <c r="L89" i="1"/>
  <c r="F69" i="1"/>
  <c r="C179" i="8"/>
  <c r="I175" i="8" s="1"/>
  <c r="Y304" i="8"/>
  <c r="W305" i="8" s="1"/>
  <c r="Y305" i="8" s="1"/>
  <c r="Y306" i="8" s="1"/>
  <c r="C355" i="8"/>
  <c r="I351" i="8" s="1"/>
  <c r="C643" i="8"/>
  <c r="W688" i="8"/>
  <c r="Y688" i="8" s="1"/>
  <c r="C817" i="8"/>
  <c r="C243" i="8"/>
  <c r="I239" i="8" s="1"/>
  <c r="L88" i="1"/>
  <c r="C881" i="8"/>
  <c r="K877" i="8" s="1"/>
  <c r="K879" i="8" s="1"/>
  <c r="C387" i="8"/>
  <c r="I383" i="8" s="1"/>
  <c r="C833" i="8"/>
  <c r="I829" i="8" s="1"/>
  <c r="C531" i="8"/>
  <c r="O88" i="1"/>
  <c r="P88" i="1"/>
  <c r="O80" i="1"/>
  <c r="O48" i="1"/>
  <c r="C435" i="8"/>
  <c r="W269" i="8"/>
  <c r="Y269" i="8" s="1"/>
  <c r="C627" i="8"/>
  <c r="I623" i="8" s="1"/>
  <c r="G608" i="8"/>
  <c r="N40" i="1" s="1"/>
  <c r="C451" i="8"/>
  <c r="I447" i="8" s="1"/>
  <c r="C211" i="8"/>
  <c r="I207" i="8" s="1"/>
  <c r="F38" i="1"/>
  <c r="K783" i="8"/>
  <c r="K785" i="8" s="1"/>
  <c r="O40" i="1"/>
  <c r="K703" i="8"/>
  <c r="K705" i="8" s="1"/>
  <c r="K734" i="8"/>
  <c r="K736" i="8" s="1"/>
  <c r="K797" i="8"/>
  <c r="K799" i="8" s="1"/>
  <c r="O63" i="1"/>
  <c r="O56" i="1"/>
  <c r="O55" i="1"/>
  <c r="O33" i="1"/>
  <c r="K210" i="8"/>
  <c r="O41" i="1"/>
  <c r="K226" i="8"/>
  <c r="O58" i="1"/>
  <c r="K274" i="8"/>
  <c r="K546" i="8"/>
  <c r="O30" i="1"/>
  <c r="O39" i="1"/>
  <c r="K466" i="8"/>
  <c r="O24" i="1"/>
  <c r="O32" i="1"/>
  <c r="K130" i="8"/>
  <c r="O17" i="1"/>
  <c r="K482" i="8"/>
  <c r="O25" i="1"/>
  <c r="O87" i="1"/>
  <c r="O23" i="1"/>
  <c r="O38" i="1"/>
  <c r="O84" i="1"/>
  <c r="O85" i="1"/>
  <c r="F56" i="1"/>
  <c r="O31" i="1"/>
  <c r="O19" i="1"/>
  <c r="O83" i="1"/>
  <c r="O68" i="1"/>
  <c r="O69" i="1"/>
  <c r="C419" i="8"/>
  <c r="I415" i="8" s="1"/>
  <c r="K752" i="8"/>
  <c r="K754" i="8" s="1"/>
  <c r="O15" i="1"/>
  <c r="K658" i="8"/>
  <c r="O91" i="1"/>
  <c r="K386" i="8"/>
  <c r="O50" i="1"/>
  <c r="O86" i="1"/>
  <c r="G610" i="8"/>
  <c r="P40" i="1" s="1"/>
  <c r="O92" i="1"/>
  <c r="G527" i="8"/>
  <c r="L32" i="1" s="1"/>
  <c r="O62" i="1"/>
  <c r="O26" i="1"/>
  <c r="O57" i="1"/>
  <c r="O51" i="1"/>
  <c r="K813" i="8"/>
  <c r="K815" i="8" s="1"/>
  <c r="O66" i="1"/>
  <c r="K418" i="8"/>
  <c r="O37" i="1"/>
  <c r="O14" i="1"/>
  <c r="J48" i="1"/>
  <c r="J52" i="1" s="1"/>
  <c r="K370" i="8"/>
  <c r="K402" i="8"/>
  <c r="O82" i="1"/>
  <c r="O42" i="1"/>
  <c r="O65" i="1"/>
  <c r="G766" i="8"/>
  <c r="W772" i="8"/>
  <c r="Y772" i="8" s="1"/>
  <c r="K849" i="8"/>
  <c r="G845" i="8"/>
  <c r="W851" i="8"/>
  <c r="W883" i="8"/>
  <c r="O73" i="1"/>
  <c r="G95" i="8"/>
  <c r="L62" i="1" s="1"/>
  <c r="G781" i="8"/>
  <c r="W787" i="8"/>
  <c r="G335" i="8"/>
  <c r="L51" i="1" s="1"/>
  <c r="K258" i="8"/>
  <c r="Y734" i="8"/>
  <c r="G207" i="8"/>
  <c r="L41" i="1" s="1"/>
  <c r="O89" i="1"/>
  <c r="P89" i="1"/>
  <c r="N89" i="1"/>
  <c r="G813" i="8"/>
  <c r="W819" i="8"/>
  <c r="G575" i="8"/>
  <c r="L67" i="1" s="1"/>
  <c r="G606" i="8"/>
  <c r="L40" i="1" s="1"/>
  <c r="N88" i="1"/>
  <c r="G495" i="8"/>
  <c r="L23" i="1" s="1"/>
  <c r="W756" i="8"/>
  <c r="G750" i="8"/>
  <c r="G797" i="8"/>
  <c r="W803" i="8"/>
  <c r="G351" i="8"/>
  <c r="L48" i="1" s="1"/>
  <c r="G223" i="8"/>
  <c r="L43" i="1" s="1"/>
  <c r="G111" i="8"/>
  <c r="L63" i="1" s="1"/>
  <c r="W389" i="8"/>
  <c r="G383" i="8"/>
  <c r="L50" i="1" s="1"/>
  <c r="K371" i="8" l="1"/>
  <c r="U125" i="8"/>
  <c r="W125" i="8" s="1"/>
  <c r="Y125" i="8" s="1"/>
  <c r="I575" i="8"/>
  <c r="K575" i="8" s="1"/>
  <c r="K577" i="8" s="1"/>
  <c r="I43" i="1"/>
  <c r="K259" i="8"/>
  <c r="K127" i="8"/>
  <c r="K129" i="8" s="1"/>
  <c r="Y307" i="8"/>
  <c r="K447" i="8"/>
  <c r="K449" i="8" s="1"/>
  <c r="K323" i="8"/>
  <c r="Q56" i="1" s="1"/>
  <c r="W509" i="8"/>
  <c r="Y509" i="8" s="1"/>
  <c r="U510" i="8" s="1"/>
  <c r="W286" i="8"/>
  <c r="Y286" i="8" s="1"/>
  <c r="J45" i="1"/>
  <c r="K45" i="8"/>
  <c r="K47" i="8" s="1"/>
  <c r="K49" i="8" s="1"/>
  <c r="I527" i="8"/>
  <c r="K527" i="8" s="1"/>
  <c r="K529" i="8" s="1"/>
  <c r="K383" i="8"/>
  <c r="K385" i="8" s="1"/>
  <c r="K271" i="8"/>
  <c r="K273" i="8" s="1"/>
  <c r="Q18" i="1"/>
  <c r="K55" i="1"/>
  <c r="K291" i="8"/>
  <c r="K623" i="8"/>
  <c r="K625" i="8" s="1"/>
  <c r="K351" i="8"/>
  <c r="K353" i="8" s="1"/>
  <c r="O75" i="1"/>
  <c r="K143" i="8"/>
  <c r="K145" i="8" s="1"/>
  <c r="K147" i="8" s="1"/>
  <c r="C99" i="8"/>
  <c r="I95" i="8" s="1"/>
  <c r="C66" i="8"/>
  <c r="I62" i="8" s="1"/>
  <c r="K655" i="8"/>
  <c r="K657" i="8" s="1"/>
  <c r="K44" i="1"/>
  <c r="W43" i="8"/>
  <c r="Y43" i="8" s="1"/>
  <c r="U44" i="8" s="1"/>
  <c r="C195" i="8"/>
  <c r="I191" i="8" s="1"/>
  <c r="K191" i="8" s="1"/>
  <c r="K193" i="8" s="1"/>
  <c r="K195" i="8" s="1"/>
  <c r="K33" i="1"/>
  <c r="I64" i="1"/>
  <c r="K113" i="8"/>
  <c r="K115" i="8" s="1"/>
  <c r="K639" i="8"/>
  <c r="K641" i="8" s="1"/>
  <c r="K643" i="8" s="1"/>
  <c r="Q83" i="1" s="1"/>
  <c r="I687" i="8"/>
  <c r="I87" i="1" s="1"/>
  <c r="K163" i="8"/>
  <c r="U446" i="8"/>
  <c r="I18" i="1"/>
  <c r="W253" i="8"/>
  <c r="Y253" i="8" s="1"/>
  <c r="U254" i="8" s="1"/>
  <c r="W141" i="8"/>
  <c r="Y141" i="8" s="1"/>
  <c r="U142" i="8" s="1"/>
  <c r="W237" i="8"/>
  <c r="Y237" i="8" s="1"/>
  <c r="U238" i="8" s="1"/>
  <c r="W60" i="8"/>
  <c r="Y60" i="8" s="1"/>
  <c r="U61" i="8" s="1"/>
  <c r="W189" i="8"/>
  <c r="Y189" i="8" s="1"/>
  <c r="U190" i="8" s="1"/>
  <c r="K18" i="1"/>
  <c r="K865" i="8"/>
  <c r="Q80" i="1" s="1"/>
  <c r="I65" i="1"/>
  <c r="K14" i="1"/>
  <c r="Q14" i="1"/>
  <c r="K239" i="8"/>
  <c r="K241" i="8" s="1"/>
  <c r="K335" i="8"/>
  <c r="K337" i="8" s="1"/>
  <c r="I51" i="1"/>
  <c r="I56" i="1"/>
  <c r="U877" i="8"/>
  <c r="W877" i="8" s="1"/>
  <c r="Y877" i="8" s="1"/>
  <c r="W381" i="8"/>
  <c r="Y381" i="8" s="1"/>
  <c r="W689" i="8"/>
  <c r="Y689" i="8" s="1"/>
  <c r="K829" i="8"/>
  <c r="K831" i="8" s="1"/>
  <c r="K175" i="8"/>
  <c r="K177" i="8" s="1"/>
  <c r="K179" i="8" s="1"/>
  <c r="Q69" i="1" s="1"/>
  <c r="G865" i="8"/>
  <c r="P80" i="1" s="1"/>
  <c r="K207" i="8"/>
  <c r="K209" i="8" s="1"/>
  <c r="K211" i="8" s="1"/>
  <c r="I30" i="1"/>
  <c r="I57" i="1"/>
  <c r="I49" i="1"/>
  <c r="I14" i="1"/>
  <c r="I19" i="1"/>
  <c r="K591" i="8"/>
  <c r="K593" i="8" s="1"/>
  <c r="K595" i="8" s="1"/>
  <c r="W270" i="8"/>
  <c r="K495" i="8"/>
  <c r="K497" i="8" s="1"/>
  <c r="I68" i="1"/>
  <c r="I85" i="1"/>
  <c r="I38" i="1"/>
  <c r="I39" i="1"/>
  <c r="I42" i="1"/>
  <c r="I82" i="1"/>
  <c r="I31" i="1"/>
  <c r="I44" i="1"/>
  <c r="I84" i="1"/>
  <c r="K89" i="1"/>
  <c r="I89" i="1"/>
  <c r="I55" i="1"/>
  <c r="I69" i="1"/>
  <c r="I26" i="1"/>
  <c r="I48" i="1"/>
  <c r="I80" i="1"/>
  <c r="I33" i="1"/>
  <c r="I24" i="1"/>
  <c r="K463" i="8"/>
  <c r="K465" i="8" s="1"/>
  <c r="K467" i="8" s="1"/>
  <c r="I63" i="1"/>
  <c r="K415" i="8"/>
  <c r="K417" i="8" s="1"/>
  <c r="K64" i="1" s="1"/>
  <c r="W773" i="8"/>
  <c r="I91" i="1"/>
  <c r="K817" i="8"/>
  <c r="G531" i="8"/>
  <c r="P32" i="1" s="1"/>
  <c r="G529" i="8"/>
  <c r="N32" i="1" s="1"/>
  <c r="K49" i="1"/>
  <c r="I86" i="1"/>
  <c r="Q31" i="1"/>
  <c r="K31" i="1"/>
  <c r="K56" i="1"/>
  <c r="K738" i="8"/>
  <c r="K881" i="8"/>
  <c r="K84" i="1"/>
  <c r="K82" i="1"/>
  <c r="K801" i="8"/>
  <c r="K547" i="8"/>
  <c r="K30" i="1"/>
  <c r="K307" i="8"/>
  <c r="Q57" i="1" s="1"/>
  <c r="K57" i="1"/>
  <c r="Y389" i="8"/>
  <c r="Y803" i="8"/>
  <c r="G801" i="8" s="1"/>
  <c r="G799" i="8"/>
  <c r="G815" i="8"/>
  <c r="Y819" i="8"/>
  <c r="G817" i="8" s="1"/>
  <c r="G209" i="8"/>
  <c r="N41" i="1" s="1"/>
  <c r="G211" i="8"/>
  <c r="P41" i="1" s="1"/>
  <c r="G847" i="8"/>
  <c r="Y851" i="8"/>
  <c r="G849" i="8" s="1"/>
  <c r="G355" i="8"/>
  <c r="P48" i="1" s="1"/>
  <c r="G353" i="8"/>
  <c r="N48" i="1" s="1"/>
  <c r="G499" i="8"/>
  <c r="P23" i="1" s="1"/>
  <c r="G497" i="8"/>
  <c r="N23" i="1" s="1"/>
  <c r="G339" i="8"/>
  <c r="P51" i="1" s="1"/>
  <c r="G337" i="8"/>
  <c r="N51" i="1" s="1"/>
  <c r="G783" i="8"/>
  <c r="Y787" i="8"/>
  <c r="G785" i="8" s="1"/>
  <c r="G227" i="8"/>
  <c r="P43" i="1" s="1"/>
  <c r="G225" i="8"/>
  <c r="N43" i="1" s="1"/>
  <c r="G579" i="8"/>
  <c r="P67" i="1" s="1"/>
  <c r="G577" i="8"/>
  <c r="N67" i="1" s="1"/>
  <c r="K707" i="8"/>
  <c r="Q85" i="1" s="1"/>
  <c r="K85" i="1"/>
  <c r="U735" i="8"/>
  <c r="Y756" i="8"/>
  <c r="G754" i="8" s="1"/>
  <c r="G752" i="8"/>
  <c r="Y883" i="8"/>
  <c r="U126" i="8" l="1"/>
  <c r="W126" i="8" s="1"/>
  <c r="Y126" i="8" s="1"/>
  <c r="W127" i="8" s="1"/>
  <c r="Y127" i="8" s="1"/>
  <c r="U128" i="8" s="1"/>
  <c r="W128" i="8" s="1"/>
  <c r="Y128" i="8" s="1"/>
  <c r="U129" i="8" s="1"/>
  <c r="W129" i="8" s="1"/>
  <c r="Y129" i="8" s="1"/>
  <c r="U130" i="8" s="1"/>
  <c r="W130" i="8" s="1"/>
  <c r="I67" i="1"/>
  <c r="K67" i="1"/>
  <c r="K579" i="8"/>
  <c r="Q67" i="1" s="1"/>
  <c r="R67" i="1" s="1"/>
  <c r="K223" i="8"/>
  <c r="K225" i="8" s="1"/>
  <c r="K43" i="1" s="1"/>
  <c r="I17" i="1"/>
  <c r="K17" i="1"/>
  <c r="K131" i="8"/>
  <c r="Q17" i="1" s="1"/>
  <c r="W308" i="8"/>
  <c r="Y308" i="8" s="1"/>
  <c r="K451" i="8"/>
  <c r="K26" i="1"/>
  <c r="K50" i="1"/>
  <c r="K387" i="8"/>
  <c r="Q50" i="1" s="1"/>
  <c r="W287" i="8"/>
  <c r="Y287" i="8" s="1"/>
  <c r="I62" i="1"/>
  <c r="Q30" i="1"/>
  <c r="Q19" i="1"/>
  <c r="K19" i="1"/>
  <c r="K86" i="1"/>
  <c r="I32" i="1"/>
  <c r="Q37" i="1"/>
  <c r="K531" i="8"/>
  <c r="K32" i="1"/>
  <c r="I50" i="1"/>
  <c r="W44" i="8"/>
  <c r="Y44" i="8" s="1"/>
  <c r="K63" i="1"/>
  <c r="Q82" i="1"/>
  <c r="K275" i="8"/>
  <c r="Q58" i="1" s="1"/>
  <c r="K58" i="1"/>
  <c r="I58" i="1"/>
  <c r="Q44" i="1"/>
  <c r="I15" i="1"/>
  <c r="K68" i="1"/>
  <c r="Q68" i="1"/>
  <c r="S14" i="1"/>
  <c r="K48" i="1"/>
  <c r="K355" i="8"/>
  <c r="Q48" i="1" s="1"/>
  <c r="Q55" i="1"/>
  <c r="K38" i="1"/>
  <c r="C483" i="8"/>
  <c r="K91" i="1"/>
  <c r="K659" i="8"/>
  <c r="Q91" i="1" s="1"/>
  <c r="S91" i="1" s="1"/>
  <c r="C610" i="8"/>
  <c r="I606" i="8" s="1"/>
  <c r="K24" i="1"/>
  <c r="Q49" i="1"/>
  <c r="K37" i="1"/>
  <c r="I37" i="1"/>
  <c r="Q42" i="1"/>
  <c r="K73" i="1"/>
  <c r="W446" i="8"/>
  <c r="Q11" i="1"/>
  <c r="S11" i="1"/>
  <c r="R80" i="1"/>
  <c r="I83" i="1"/>
  <c r="K687" i="8"/>
  <c r="K689" i="8" s="1"/>
  <c r="K87" i="1" s="1"/>
  <c r="D7" i="1"/>
  <c r="W190" i="8"/>
  <c r="Y190" i="8" s="1"/>
  <c r="W61" i="8"/>
  <c r="Y61" i="8" s="1"/>
  <c r="W254" i="8"/>
  <c r="Y254" i="8" s="1"/>
  <c r="W238" i="8"/>
  <c r="Y238" i="8" s="1"/>
  <c r="W142" i="8"/>
  <c r="Y142" i="8" s="1"/>
  <c r="Y773" i="8"/>
  <c r="G770" i="8" s="1"/>
  <c r="G768" i="8"/>
  <c r="K431" i="8"/>
  <c r="K433" i="8" s="1"/>
  <c r="K435" i="8" s="1"/>
  <c r="Q86" i="1"/>
  <c r="I66" i="1"/>
  <c r="K339" i="8"/>
  <c r="K51" i="1"/>
  <c r="K243" i="8"/>
  <c r="K66" i="1"/>
  <c r="G861" i="8"/>
  <c r="L80" i="1" s="1"/>
  <c r="I88" i="1"/>
  <c r="K88" i="1"/>
  <c r="Q88" i="1"/>
  <c r="G863" i="8"/>
  <c r="N80" i="1" s="1"/>
  <c r="W690" i="8"/>
  <c r="Y690" i="8" s="1"/>
  <c r="U878" i="8"/>
  <c r="W878" i="8" s="1"/>
  <c r="Y878" i="8" s="1"/>
  <c r="W382" i="8"/>
  <c r="Y382" i="8" s="1"/>
  <c r="K69" i="1"/>
  <c r="K92" i="1"/>
  <c r="Q92" i="1"/>
  <c r="I92" i="1"/>
  <c r="Q38" i="1"/>
  <c r="Q39" i="1"/>
  <c r="Q84" i="1"/>
  <c r="K23" i="1"/>
  <c r="K499" i="8"/>
  <c r="I41" i="1"/>
  <c r="K41" i="1"/>
  <c r="Q41" i="1"/>
  <c r="W735" i="8"/>
  <c r="Y270" i="8"/>
  <c r="Q89" i="1"/>
  <c r="K419" i="8"/>
  <c r="W884" i="8"/>
  <c r="Y884" i="8" s="1"/>
  <c r="Q33" i="1"/>
  <c r="K83" i="1"/>
  <c r="I479" i="8" l="1"/>
  <c r="K479" i="8" s="1"/>
  <c r="K481" i="8" s="1"/>
  <c r="W309" i="8"/>
  <c r="Y309" i="8" s="1"/>
  <c r="K227" i="8"/>
  <c r="Q43" i="1" s="1"/>
  <c r="S43" i="1" s="1"/>
  <c r="S74" i="1" s="1"/>
  <c r="Q59" i="1"/>
  <c r="Q32" i="1"/>
  <c r="Q34" i="1" s="1"/>
  <c r="Y130" i="8"/>
  <c r="Q26" i="1"/>
  <c r="S26" i="1" s="1"/>
  <c r="W288" i="8"/>
  <c r="Y288" i="8" s="1"/>
  <c r="W510" i="8"/>
  <c r="Y510" i="8" s="1"/>
  <c r="Q51" i="1"/>
  <c r="R51" i="1" s="1"/>
  <c r="R52" i="1" s="1"/>
  <c r="K95" i="8"/>
  <c r="K97" i="8" s="1"/>
  <c r="K99" i="8" s="1"/>
  <c r="Q62" i="1" s="1"/>
  <c r="S30" i="1"/>
  <c r="Q66" i="1"/>
  <c r="Q23" i="1"/>
  <c r="D48" i="1"/>
  <c r="W45" i="8"/>
  <c r="Y45" i="8" s="1"/>
  <c r="U46" i="8" s="1"/>
  <c r="I40" i="1"/>
  <c r="K62" i="8"/>
  <c r="K64" i="8" s="1"/>
  <c r="K66" i="8" s="1"/>
  <c r="Q15" i="1" s="1"/>
  <c r="Q63" i="1"/>
  <c r="Q24" i="1"/>
  <c r="G707" i="8"/>
  <c r="P85" i="1" s="1"/>
  <c r="C403" i="8"/>
  <c r="I399" i="8" s="1"/>
  <c r="Q64" i="1"/>
  <c r="K606" i="8"/>
  <c r="K608" i="8" s="1"/>
  <c r="K610" i="8" s="1"/>
  <c r="Q73" i="1"/>
  <c r="Y446" i="8"/>
  <c r="U447" i="8" s="1"/>
  <c r="K691" i="8"/>
  <c r="Q87" i="1" s="1"/>
  <c r="S87" i="1" s="1"/>
  <c r="Y62" i="8"/>
  <c r="G78" i="8"/>
  <c r="L14" i="1" s="1"/>
  <c r="G97" i="8"/>
  <c r="N62" i="1" s="1"/>
  <c r="W143" i="8"/>
  <c r="Y143" i="8" s="1"/>
  <c r="W239" i="8"/>
  <c r="Y239" i="8" s="1"/>
  <c r="W255" i="8"/>
  <c r="Y255" i="8" s="1"/>
  <c r="W191" i="8"/>
  <c r="Y191" i="8" s="1"/>
  <c r="G115" i="8"/>
  <c r="P63" i="1" s="1"/>
  <c r="G113" i="8"/>
  <c r="N63" i="1" s="1"/>
  <c r="W310" i="8"/>
  <c r="G303" i="8"/>
  <c r="L57" i="1" s="1"/>
  <c r="K65" i="1"/>
  <c r="Q65" i="1"/>
  <c r="S65" i="1" s="1"/>
  <c r="G463" i="8"/>
  <c r="L24" i="1" s="1"/>
  <c r="D92" i="1"/>
  <c r="U879" i="8"/>
  <c r="W879" i="8" s="1"/>
  <c r="Y879" i="8" s="1"/>
  <c r="U880" i="8" s="1"/>
  <c r="W383" i="8"/>
  <c r="Y383" i="8" s="1"/>
  <c r="Y735" i="8"/>
  <c r="U271" i="8"/>
  <c r="I25" i="1" l="1"/>
  <c r="E107" i="1"/>
  <c r="W44" i="1"/>
  <c r="K483" i="8"/>
  <c r="Q25" i="1" s="1"/>
  <c r="Q27" i="1" s="1"/>
  <c r="K25" i="1"/>
  <c r="Q70" i="1"/>
  <c r="U73" i="1" s="1"/>
  <c r="U131" i="8"/>
  <c r="W131" i="8" s="1"/>
  <c r="Y131" i="8" s="1"/>
  <c r="U132" i="8" s="1"/>
  <c r="W132" i="8" s="1"/>
  <c r="W289" i="8"/>
  <c r="Y289" i="8" s="1"/>
  <c r="K62" i="1"/>
  <c r="K399" i="8"/>
  <c r="K401" i="8" s="1"/>
  <c r="K47" i="1" s="1"/>
  <c r="S23" i="1"/>
  <c r="S27" i="1" s="1"/>
  <c r="S45" i="1"/>
  <c r="W46" i="8"/>
  <c r="Y46" i="8" s="1"/>
  <c r="Q40" i="1"/>
  <c r="Q45" i="1" s="1"/>
  <c r="U47" i="1" s="1"/>
  <c r="K15" i="1"/>
  <c r="U41" i="1"/>
  <c r="G705" i="8"/>
  <c r="N85" i="1" s="1"/>
  <c r="G703" i="8"/>
  <c r="L85" i="1" s="1"/>
  <c r="K40" i="1"/>
  <c r="W447" i="8"/>
  <c r="G559" i="8"/>
  <c r="L33" i="1" s="1"/>
  <c r="W63" i="8"/>
  <c r="Y63" i="8" s="1"/>
  <c r="W256" i="8"/>
  <c r="Y256" i="8" s="1"/>
  <c r="W240" i="8"/>
  <c r="Y240" i="8" s="1"/>
  <c r="W144" i="8"/>
  <c r="Y144" i="8" s="1"/>
  <c r="Y310" i="8"/>
  <c r="G307" i="8" s="1"/>
  <c r="P57" i="1" s="1"/>
  <c r="G305" i="8"/>
  <c r="N57" i="1" s="1"/>
  <c r="W192" i="8"/>
  <c r="Y192" i="8" s="1"/>
  <c r="G82" i="8"/>
  <c r="P14" i="1" s="1"/>
  <c r="G80" i="8"/>
  <c r="N14" i="1" s="1"/>
  <c r="G563" i="8"/>
  <c r="P33" i="1" s="1"/>
  <c r="G561" i="8"/>
  <c r="N33" i="1" s="1"/>
  <c r="G467" i="8"/>
  <c r="P24" i="1" s="1"/>
  <c r="G465" i="8"/>
  <c r="N24" i="1" s="1"/>
  <c r="W691" i="8"/>
  <c r="W880" i="8"/>
  <c r="W384" i="8"/>
  <c r="Y384" i="8" s="1"/>
  <c r="U736" i="8"/>
  <c r="W271" i="8"/>
  <c r="T27" i="1" l="1"/>
  <c r="U78" i="1"/>
  <c r="W78" i="1"/>
  <c r="U76" i="1"/>
  <c r="U47" i="8"/>
  <c r="W47" i="8" s="1"/>
  <c r="Y47" i="8" s="1"/>
  <c r="U48" i="8" s="1"/>
  <c r="W48" i="8" s="1"/>
  <c r="Y48" i="8" s="1"/>
  <c r="U49" i="8" s="1"/>
  <c r="W49" i="8" s="1"/>
  <c r="Y49" i="8" s="1"/>
  <c r="U50" i="8" s="1"/>
  <c r="Y132" i="8"/>
  <c r="U133" i="8" s="1"/>
  <c r="E103" i="1"/>
  <c r="W290" i="8"/>
  <c r="Y290" i="8" s="1"/>
  <c r="W291" i="8" s="1"/>
  <c r="Y291" i="8" s="1"/>
  <c r="P6" i="12"/>
  <c r="R6" i="12" s="1"/>
  <c r="E101" i="1"/>
  <c r="I47" i="1"/>
  <c r="K403" i="8"/>
  <c r="Q47" i="1" s="1"/>
  <c r="Q52" i="1" s="1"/>
  <c r="Q74" i="1"/>
  <c r="E106" i="1"/>
  <c r="Y447" i="8"/>
  <c r="U448" i="8" s="1"/>
  <c r="W64" i="8"/>
  <c r="Y64" i="8" s="1"/>
  <c r="W193" i="8"/>
  <c r="Y193" i="8" s="1"/>
  <c r="G479" i="8"/>
  <c r="L25" i="1" s="1"/>
  <c r="W145" i="8"/>
  <c r="Y145" i="8" s="1"/>
  <c r="W241" i="8"/>
  <c r="Y241" i="8" s="1"/>
  <c r="W257" i="8"/>
  <c r="Y257" i="8" s="1"/>
  <c r="Y691" i="8"/>
  <c r="Y880" i="8"/>
  <c r="W385" i="8"/>
  <c r="Y385" i="8" s="1"/>
  <c r="W386" i="8" s="1"/>
  <c r="W736" i="8"/>
  <c r="Y271" i="8"/>
  <c r="Q15" i="12" l="1"/>
  <c r="P15" i="12"/>
  <c r="P8" i="12"/>
  <c r="R8" i="12" s="1"/>
  <c r="W448" i="8"/>
  <c r="W146" i="8"/>
  <c r="Y146" i="8" s="1"/>
  <c r="W147" i="8" s="1"/>
  <c r="G415" i="8"/>
  <c r="L64" i="1" s="1"/>
  <c r="G655" i="8"/>
  <c r="L91" i="1" s="1"/>
  <c r="W194" i="8"/>
  <c r="Y194" i="8" s="1"/>
  <c r="W258" i="8"/>
  <c r="Y258" i="8" s="1"/>
  <c r="W50" i="8"/>
  <c r="Y50" i="8" s="1"/>
  <c r="U51" i="8" s="1"/>
  <c r="W242" i="8"/>
  <c r="Y242" i="8" s="1"/>
  <c r="W65" i="8"/>
  <c r="Y65" i="8" s="1"/>
  <c r="G483" i="8"/>
  <c r="P25" i="1" s="1"/>
  <c r="G481" i="8"/>
  <c r="N25" i="1" s="1"/>
  <c r="W692" i="8"/>
  <c r="U881" i="8"/>
  <c r="Y386" i="8"/>
  <c r="Y736" i="8"/>
  <c r="U272" i="8"/>
  <c r="R15" i="12" l="1"/>
  <c r="E104" i="1"/>
  <c r="P128" i="1"/>
  <c r="W292" i="8"/>
  <c r="Y448" i="8"/>
  <c r="U449" i="8" s="1"/>
  <c r="W259" i="8"/>
  <c r="Y259" i="8" s="1"/>
  <c r="W66" i="8"/>
  <c r="Y66" i="8" s="1"/>
  <c r="W51" i="8"/>
  <c r="Y51" i="8" s="1"/>
  <c r="U52" i="8" s="1"/>
  <c r="W195" i="8"/>
  <c r="Y195" i="8" s="1"/>
  <c r="W243" i="8"/>
  <c r="Y243" i="8" s="1"/>
  <c r="G399" i="8"/>
  <c r="L47" i="1" s="1"/>
  <c r="Y147" i="8"/>
  <c r="G659" i="8"/>
  <c r="P91" i="1" s="1"/>
  <c r="G657" i="8"/>
  <c r="N91" i="1" s="1"/>
  <c r="G367" i="8"/>
  <c r="L49" i="1" s="1"/>
  <c r="G419" i="8"/>
  <c r="P64" i="1" s="1"/>
  <c r="G417" i="8"/>
  <c r="N64" i="1" s="1"/>
  <c r="G543" i="8"/>
  <c r="L30" i="1" s="1"/>
  <c r="Y692" i="8"/>
  <c r="W881" i="8"/>
  <c r="G877" i="8"/>
  <c r="L84" i="1" s="1"/>
  <c r="W882" i="8"/>
  <c r="Y882" i="8" s="1"/>
  <c r="W387" i="8"/>
  <c r="U737" i="8"/>
  <c r="W272" i="8"/>
  <c r="W133" i="8" l="1"/>
  <c r="Y292" i="8"/>
  <c r="W260" i="8"/>
  <c r="Y260" i="8" s="1"/>
  <c r="Y387" i="8"/>
  <c r="W449" i="8"/>
  <c r="W196" i="8"/>
  <c r="Y196" i="8" s="1"/>
  <c r="G45" i="8"/>
  <c r="L19" i="1" s="1"/>
  <c r="W52" i="8"/>
  <c r="W244" i="8"/>
  <c r="Y244" i="8" s="1"/>
  <c r="W67" i="8"/>
  <c r="Y67" i="8" s="1"/>
  <c r="G401" i="8"/>
  <c r="N47" i="1" s="1"/>
  <c r="G403" i="8"/>
  <c r="P47" i="1" s="1"/>
  <c r="G671" i="8"/>
  <c r="L82" i="1" s="1"/>
  <c r="G431" i="8"/>
  <c r="L65" i="1" s="1"/>
  <c r="G371" i="8"/>
  <c r="P49" i="1" s="1"/>
  <c r="G369" i="8"/>
  <c r="N49" i="1" s="1"/>
  <c r="G718" i="8"/>
  <c r="L42" i="1" s="1"/>
  <c r="G547" i="8"/>
  <c r="P30" i="1" s="1"/>
  <c r="G545" i="8"/>
  <c r="N30" i="1" s="1"/>
  <c r="W693" i="8"/>
  <c r="Y693" i="8" s="1"/>
  <c r="Y881" i="8"/>
  <c r="G881" i="8" s="1"/>
  <c r="P84" i="1" s="1"/>
  <c r="G879" i="8"/>
  <c r="N84" i="1" s="1"/>
  <c r="W737" i="8"/>
  <c r="Y272" i="8"/>
  <c r="U273" i="8" s="1"/>
  <c r="Y133" i="8" l="1"/>
  <c r="G255" i="8"/>
  <c r="L44" i="1" s="1"/>
  <c r="W148" i="8"/>
  <c r="W388" i="8"/>
  <c r="Y449" i="8"/>
  <c r="G99" i="8"/>
  <c r="P62" i="1" s="1"/>
  <c r="W245" i="8"/>
  <c r="Y245" i="8" s="1"/>
  <c r="W197" i="8"/>
  <c r="Y197" i="8" s="1"/>
  <c r="W68" i="8"/>
  <c r="Y68" i="8" s="1"/>
  <c r="G829" i="8"/>
  <c r="L92" i="1" s="1"/>
  <c r="G639" i="8"/>
  <c r="L83" i="1" s="1"/>
  <c r="G319" i="8"/>
  <c r="L56" i="1" s="1"/>
  <c r="G623" i="8"/>
  <c r="L68" i="1" s="1"/>
  <c r="Y52" i="8"/>
  <c r="G49" i="8" s="1"/>
  <c r="P19" i="1" s="1"/>
  <c r="G47" i="8"/>
  <c r="N19" i="1" s="1"/>
  <c r="G722" i="8"/>
  <c r="P42" i="1" s="1"/>
  <c r="G720" i="8"/>
  <c r="N42" i="1" s="1"/>
  <c r="G435" i="8"/>
  <c r="P65" i="1" s="1"/>
  <c r="G433" i="8"/>
  <c r="N65" i="1" s="1"/>
  <c r="W694" i="8"/>
  <c r="G687" i="8"/>
  <c r="L87" i="1" s="1"/>
  <c r="G159" i="8"/>
  <c r="L39" i="1" s="1"/>
  <c r="Y737" i="8"/>
  <c r="W198" i="8" l="1"/>
  <c r="Y198" i="8" s="1"/>
  <c r="G195" i="8" s="1"/>
  <c r="P37" i="1" s="1"/>
  <c r="U134" i="8"/>
  <c r="W246" i="8"/>
  <c r="Y246" i="8" s="1"/>
  <c r="G243" i="8" s="1"/>
  <c r="P66" i="1" s="1"/>
  <c r="W261" i="8"/>
  <c r="W293" i="8"/>
  <c r="G62" i="8"/>
  <c r="L15" i="1" s="1"/>
  <c r="G239" i="8"/>
  <c r="L66" i="1" s="1"/>
  <c r="G191" i="8"/>
  <c r="L37" i="1" s="1"/>
  <c r="Y388" i="8"/>
  <c r="G387" i="8" s="1"/>
  <c r="P50" i="1" s="1"/>
  <c r="G385" i="8"/>
  <c r="N50" i="1" s="1"/>
  <c r="Y148" i="8"/>
  <c r="U450" i="8"/>
  <c r="G627" i="8"/>
  <c r="P68" i="1" s="1"/>
  <c r="G625" i="8"/>
  <c r="N68" i="1" s="1"/>
  <c r="G241" i="8"/>
  <c r="N66" i="1" s="1"/>
  <c r="G643" i="8"/>
  <c r="P83" i="1" s="1"/>
  <c r="G641" i="8"/>
  <c r="N83" i="1" s="1"/>
  <c r="G675" i="8"/>
  <c r="P82" i="1" s="1"/>
  <c r="G673" i="8"/>
  <c r="N82" i="1" s="1"/>
  <c r="G323" i="8"/>
  <c r="P56" i="1" s="1"/>
  <c r="G321" i="8"/>
  <c r="N56" i="1" s="1"/>
  <c r="G193" i="8"/>
  <c r="N37" i="1" s="1"/>
  <c r="G833" i="8"/>
  <c r="P92" i="1" s="1"/>
  <c r="G831" i="8"/>
  <c r="N92" i="1" s="1"/>
  <c r="Y694" i="8"/>
  <c r="G691" i="8" s="1"/>
  <c r="P87" i="1" s="1"/>
  <c r="G689" i="8"/>
  <c r="N87" i="1" s="1"/>
  <c r="G163" i="8"/>
  <c r="P39" i="1" s="1"/>
  <c r="G161" i="8"/>
  <c r="N39" i="1" s="1"/>
  <c r="U738" i="8"/>
  <c r="W273" i="8"/>
  <c r="W134" i="8" l="1"/>
  <c r="G127" i="8"/>
  <c r="L17" i="1" s="1"/>
  <c r="Y293" i="8"/>
  <c r="G287" i="8" s="1"/>
  <c r="L55" i="1" s="1"/>
  <c r="Y261" i="8"/>
  <c r="W69" i="8"/>
  <c r="L86" i="1"/>
  <c r="W450" i="8"/>
  <c r="W738" i="8"/>
  <c r="Y273" i="8"/>
  <c r="U274" i="8" s="1"/>
  <c r="Y134" i="8" l="1"/>
  <c r="G131" i="8" s="1"/>
  <c r="P17" i="1" s="1"/>
  <c r="G129" i="8"/>
  <c r="N17" i="1" s="1"/>
  <c r="W262" i="8"/>
  <c r="W294" i="8"/>
  <c r="Y69" i="8"/>
  <c r="G66" i="8" s="1"/>
  <c r="P15" i="1" s="1"/>
  <c r="G64" i="8"/>
  <c r="N15" i="1" s="1"/>
  <c r="P86" i="1"/>
  <c r="N86" i="1"/>
  <c r="W149" i="8"/>
  <c r="Y450" i="8"/>
  <c r="Y738" i="8"/>
  <c r="W274" i="8"/>
  <c r="Y262" i="8" l="1"/>
  <c r="G259" i="8" s="1"/>
  <c r="P44" i="1" s="1"/>
  <c r="G257" i="8"/>
  <c r="N44" i="1" s="1"/>
  <c r="Y294" i="8"/>
  <c r="G291" i="8" s="1"/>
  <c r="P55" i="1" s="1"/>
  <c r="G289" i="8"/>
  <c r="N55" i="1" s="1"/>
  <c r="Y149" i="8"/>
  <c r="Y274" i="8"/>
  <c r="U275" i="8" s="1"/>
  <c r="U451" i="8"/>
  <c r="U739" i="8"/>
  <c r="W451" i="8" l="1"/>
  <c r="W275" i="8"/>
  <c r="W739" i="8"/>
  <c r="W150" i="8" l="1"/>
  <c r="G143" i="8"/>
  <c r="L38" i="1" s="1"/>
  <c r="Y275" i="8"/>
  <c r="U276" i="8" s="1"/>
  <c r="Y451" i="8"/>
  <c r="Y739" i="8"/>
  <c r="Y150" i="8" l="1"/>
  <c r="G147" i="8" s="1"/>
  <c r="P38" i="1" s="1"/>
  <c r="G145" i="8"/>
  <c r="N38" i="1" s="1"/>
  <c r="W276" i="8"/>
  <c r="U452" i="8"/>
  <c r="U740" i="8"/>
  <c r="Y276" i="8" l="1"/>
  <c r="W452" i="8"/>
  <c r="Y740" i="8"/>
  <c r="U741" i="8" s="1"/>
  <c r="W741" i="8" s="1"/>
  <c r="U277" i="8" l="1"/>
  <c r="Y452" i="8"/>
  <c r="G734" i="8"/>
  <c r="Y741" i="8"/>
  <c r="G738" i="8" s="1"/>
  <c r="G736" i="8"/>
  <c r="W277" i="8" l="1"/>
  <c r="U453" i="8"/>
  <c r="W587" i="8"/>
  <c r="Y587" i="8" s="1"/>
  <c r="Y277" i="8" l="1"/>
  <c r="W453" i="8"/>
  <c r="W588" i="8"/>
  <c r="Y588" i="8" s="1"/>
  <c r="U278" i="8" l="1"/>
  <c r="Y453" i="8"/>
  <c r="W589" i="8"/>
  <c r="Y589" i="8" s="1"/>
  <c r="W278" i="8" l="1"/>
  <c r="G271" i="8"/>
  <c r="L58" i="1" s="1"/>
  <c r="U454" i="8"/>
  <c r="W590" i="8"/>
  <c r="Y590" i="8" s="1"/>
  <c r="Y278" i="8" l="1"/>
  <c r="G275" i="8" s="1"/>
  <c r="P58" i="1" s="1"/>
  <c r="G273" i="8"/>
  <c r="N58" i="1" s="1"/>
  <c r="W591" i="8"/>
  <c r="Y591" i="8" s="1"/>
  <c r="W592" i="8" s="1"/>
  <c r="Y592" i="8" s="1"/>
  <c r="W454" i="8"/>
  <c r="G447" i="8"/>
  <c r="L26" i="1" s="1"/>
  <c r="Y454" i="8" l="1"/>
  <c r="G451" i="8" s="1"/>
  <c r="P26" i="1" s="1"/>
  <c r="G449" i="8"/>
  <c r="N26" i="1" s="1"/>
  <c r="Y593" i="8"/>
  <c r="U594" i="8" l="1"/>
  <c r="L18" i="1"/>
  <c r="W594" i="8" l="1"/>
  <c r="Y594" i="8" s="1"/>
  <c r="U595" i="8" l="1"/>
  <c r="W595" i="8" l="1"/>
  <c r="Y595" i="8" l="1"/>
  <c r="U596" i="8" s="1"/>
  <c r="W596" i="8" l="1"/>
  <c r="Y596" i="8" l="1"/>
  <c r="U597" i="8" s="1"/>
  <c r="W597" i="8" l="1"/>
  <c r="Y597" i="8" l="1"/>
  <c r="O113" i="1"/>
  <c r="U598" i="8" l="1"/>
  <c r="W598" i="8" l="1"/>
  <c r="G591" i="8"/>
  <c r="L73" i="1" s="1"/>
  <c r="Y598" i="8" l="1"/>
  <c r="G595" i="8" s="1"/>
  <c r="P73" i="1" s="1"/>
  <c r="G593" i="8"/>
  <c r="N73" i="1" s="1"/>
  <c r="P18" i="1" l="1"/>
  <c r="N18" i="1"/>
  <c r="E16" i="1"/>
  <c r="E20" i="1" s="1"/>
  <c r="J16" i="1"/>
  <c r="J20" i="1" s="1"/>
  <c r="K16" i="1" l="1"/>
  <c r="R1" i="8" l="1"/>
  <c r="Q16" i="1" l="1"/>
  <c r="Q20" i="1" s="1"/>
  <c r="E100" i="1" l="1"/>
  <c r="W171" i="8" l="1"/>
  <c r="Y171" i="8" s="1"/>
  <c r="U172" i="8" s="1"/>
  <c r="W172" i="8" l="1"/>
  <c r="Y172" i="8" s="1"/>
  <c r="U173" i="8" s="1"/>
  <c r="W173" i="8" l="1"/>
  <c r="Y173" i="8" s="1"/>
  <c r="U174" i="8" s="1"/>
  <c r="W174" i="8" l="1"/>
  <c r="Y174" i="8" l="1"/>
  <c r="W175" i="8" l="1"/>
  <c r="Y175" i="8" s="1"/>
  <c r="U176" i="8" s="1"/>
  <c r="W176" i="8" l="1"/>
  <c r="Y176" i="8" s="1"/>
  <c r="U177" i="8" s="1"/>
  <c r="W177" i="8" l="1"/>
  <c r="Y177" i="8" l="1"/>
  <c r="U178" i="8" s="1"/>
  <c r="P12" i="12" l="1"/>
  <c r="W178" i="8" l="1"/>
  <c r="R12" i="12"/>
  <c r="Y178" i="8" l="1"/>
  <c r="U179" i="8" s="1"/>
  <c r="W179" i="8" l="1"/>
  <c r="Y179" i="8" s="1"/>
  <c r="U180" i="8" s="1"/>
  <c r="W180" i="8" l="1"/>
  <c r="Y180" i="8" l="1"/>
  <c r="U181" i="8" s="1"/>
  <c r="G175" i="8" l="1"/>
  <c r="L69" i="1" s="1"/>
  <c r="W181" i="8" l="1"/>
  <c r="Y181" i="8" l="1"/>
  <c r="U182" i="8" s="1"/>
  <c r="W182" i="8" l="1"/>
  <c r="Y182" i="8" l="1"/>
  <c r="G179" i="8" s="1"/>
  <c r="P69" i="1" s="1"/>
  <c r="G177" i="8"/>
  <c r="N69" i="1" s="1"/>
  <c r="Q13" i="12"/>
  <c r="P13" i="12"/>
  <c r="P16" i="12" s="1"/>
  <c r="R13" i="12" l="1"/>
  <c r="R16" i="12" s="1"/>
  <c r="Q16" i="12"/>
  <c r="W511" i="8" l="1"/>
  <c r="Y511" i="8" l="1"/>
  <c r="U512" i="8" l="1"/>
  <c r="W512" i="8" s="1"/>
  <c r="Y512" i="8" s="1"/>
  <c r="U513" i="8" s="1"/>
  <c r="W513" i="8" l="1"/>
  <c r="Y513" i="8" l="1"/>
  <c r="U514" i="8" l="1"/>
  <c r="W514" i="8" l="1"/>
  <c r="Y514" i="8" l="1"/>
  <c r="U515" i="8" l="1"/>
  <c r="W515" i="8" s="1"/>
  <c r="Y515" i="8" s="1"/>
  <c r="U516" i="8" s="1"/>
  <c r="W516" i="8" l="1"/>
  <c r="Y516" i="8" l="1"/>
  <c r="U517" i="8" l="1"/>
  <c r="D16" i="1"/>
  <c r="D89" i="1"/>
  <c r="E102" i="1"/>
  <c r="W517" i="8" l="1"/>
  <c r="G511" i="8"/>
  <c r="L31" i="1" s="1"/>
  <c r="L75" i="1" s="1"/>
  <c r="E105" i="1"/>
  <c r="Q75" i="1"/>
  <c r="I97" i="1"/>
  <c r="E109" i="1" l="1"/>
  <c r="G106" i="1" s="1"/>
  <c r="Y517" i="8"/>
  <c r="G513" i="8"/>
  <c r="N31" i="1" s="1"/>
  <c r="N75" i="1" s="1"/>
  <c r="E75" i="1"/>
  <c r="G515" i="8" l="1"/>
  <c r="P31" i="1" s="1"/>
  <c r="P75" i="1" s="1"/>
  <c r="U518" i="8"/>
  <c r="W518" i="8" s="1"/>
  <c r="Y518" i="8" s="1"/>
  <c r="Q76" i="1" l="1"/>
  <c r="Q77" i="1" l="1"/>
  <c r="D88" i="1" s="1"/>
  <c r="D86" i="1" l="1"/>
  <c r="D68" i="1"/>
  <c r="S70" i="1" l="1"/>
  <c r="R34" i="1"/>
  <c r="R70" i="1"/>
  <c r="S34" i="1"/>
  <c r="J75" i="1"/>
  <c r="J59" i="1"/>
  <c r="R75" i="1"/>
  <c r="R59" i="1"/>
  <c r="S75" i="1"/>
  <c r="S59" i="1"/>
  <c r="J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Rehan Aslam</author>
    <author>cc</author>
    <author>Pioneer Engineeering</author>
    <author>Pioneer Engineering</author>
  </authors>
  <commentList>
    <comment ref="V6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Rehan Aslam:</t>
        </r>
        <r>
          <rPr>
            <sz val="9"/>
            <color indexed="81"/>
            <rFont val="Tahoma"/>
            <family val="2"/>
          </rPr>
          <t xml:space="preserve">
Rs 10,000 waived by Bilal bhai</t>
        </r>
      </text>
    </comment>
    <comment ref="K171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238" authorId="2" shapeId="0" xr:uid="{00000000-0006-0000-0100-000007000000}">
      <text>
        <r>
          <rPr>
            <sz val="9"/>
            <color indexed="81"/>
            <rFont val="Tahoma"/>
            <family val="2"/>
          </rPr>
          <t xml:space="preserve">
deduct bonus amount Rs 12,000 as instructed by nadeem bhai</t>
        </r>
      </text>
    </comment>
    <comment ref="K267" authorId="2" shapeId="0" xr:uid="{00000000-0006-0000-0100-000008000000}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increased on 10 Mar 22</t>
        </r>
      </text>
    </comment>
    <comment ref="V381" authorId="1" shapeId="0" xr:uid="{00000000-0006-0000-0100-00000A000000}">
      <text>
        <r>
          <rPr>
            <sz val="9"/>
            <color indexed="81"/>
            <rFont val="Tahoma"/>
            <family val="2"/>
          </rPr>
          <t xml:space="preserve">
office       7000
imran en  2000 11/3
imran en  1000 113
huzaifa    2000 15/3
huzaifa    1000 23/3
imran       4000  02/4</t>
        </r>
      </text>
    </comment>
    <comment ref="V382" authorId="1" shapeId="0" xr:uid="{00000000-0006-0000-0100-00000B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20/4  3500 imran</t>
        </r>
      </text>
    </comment>
    <comment ref="V383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 22/5</t>
        </r>
      </text>
    </comment>
    <comment ref="K507" authorId="3" shapeId="0" xr:uid="{E10BBC35-204C-4A33-BA89-8EE2A1AF4CF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25,000
2,000  8-12-22
27,000</t>
        </r>
      </text>
    </comment>
    <comment ref="V507" authorId="2" shapeId="0" xr:uid="{00000000-0006-0000-0100-000012000000}">
      <text>
        <r>
          <rPr>
            <b/>
            <sz val="9"/>
            <color indexed="81"/>
            <rFont val="Tahoma"/>
            <family val="2"/>
          </rPr>
          <t>MCB chq given to jahangeer on 1 Feb 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23" authorId="3" shapeId="0" xr:uid="{E32B4FC7-A60A-4E70-AE7F-A06C2AFD72C0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32,500
2,000  8-12-22
34,500</t>
        </r>
      </text>
    </comment>
    <comment ref="K539" authorId="3" shapeId="0" xr:uid="{4F77B4D1-A211-43F2-B4D0-88A260E9411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24,500
2,000  8-12-22
26,500</t>
        </r>
      </text>
    </comment>
    <comment ref="K555" authorId="3" shapeId="0" xr:uid="{ABD9EDDC-D2A3-4705-8655-B611B437674E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21,000
1,000  8-12-22
22,000</t>
        </r>
      </text>
    </comment>
    <comment ref="V590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828" authorId="1" shapeId="0" xr:uid="{00000000-0006-0000-0100-000016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830" authorId="1" shapeId="0" xr:uid="{00000000-0006-0000-0100-000017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  <comment ref="U860" authorId="1" shapeId="0" xr:uid="{00000000-0006-0000-0100-000018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</commentList>
</comments>
</file>

<file path=xl/sharedStrings.xml><?xml version="1.0" encoding="utf-8"?>
<sst xmlns="http://schemas.openxmlformats.org/spreadsheetml/2006/main" count="3416" uniqueCount="234">
  <si>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</si>
  <si>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</si>
  <si>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</si>
  <si>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</si>
  <si>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</si>
  <si>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</si>
  <si>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</si>
  <si>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</si>
  <si>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</si>
  <si>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</si>
  <si>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</si>
  <si>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</si>
  <si>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 xml:space="preserve">Mr. Khalid </t>
  </si>
  <si>
    <t>Mr. Zulfiqar</t>
  </si>
  <si>
    <t>Mr. Azeem Engg</t>
  </si>
  <si>
    <t>Mr. Kamran office</t>
  </si>
  <si>
    <t>Mr. Jahangir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</si>
  <si>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</si>
  <si>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</si>
  <si>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</si>
  <si>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</si>
  <si>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</si>
  <si>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</si>
  <si>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</si>
  <si>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</si>
  <si>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</si>
  <si>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</si>
  <si>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</si>
  <si>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</si>
  <si>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</si>
  <si>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</si>
  <si>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</si>
  <si>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>Shahid painter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</si>
  <si>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</si>
  <si>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</si>
  <si>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</si>
  <si>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</si>
  <si>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</si>
  <si>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</si>
  <si>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</si>
  <si>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</si>
  <si>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</si>
  <si>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</si>
  <si>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</si>
  <si>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</si>
  <si>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</si>
  <si>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</si>
  <si>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</si>
  <si>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</si>
  <si>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</si>
  <si>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</si>
  <si>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</si>
  <si>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</si>
  <si>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</si>
  <si>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</si>
  <si>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</si>
  <si>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</si>
  <si>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</si>
  <si>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</si>
  <si>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</si>
  <si>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</si>
  <si>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</si>
  <si>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</si>
  <si>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</si>
  <si>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</si>
  <si>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</si>
  <si>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</si>
  <si>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</si>
  <si>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</si>
  <si>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</si>
  <si>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</si>
  <si>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</si>
  <si>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</si>
  <si>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Rehan Aslam</t>
  </si>
  <si>
    <t>Imran Engg</t>
  </si>
  <si>
    <t>Shahid Painter</t>
  </si>
  <si>
    <t>Jahangeer</t>
  </si>
  <si>
    <t>Zulfiquar</t>
  </si>
  <si>
    <t>Sajjad</t>
  </si>
  <si>
    <t>Irfan</t>
  </si>
  <si>
    <t>Abid</t>
  </si>
  <si>
    <t>Kamran AutoCAD</t>
  </si>
  <si>
    <t xml:space="preserve">S a l a r y   S h e e t  for the month of 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</si>
  <si>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</si>
  <si>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</si>
  <si>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</si>
  <si>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</si>
  <si>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</si>
  <si>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>SPAR</t>
  </si>
  <si>
    <t>Nue Multiplex</t>
  </si>
  <si>
    <t>ZMV</t>
  </si>
  <si>
    <t>MHR Home Salaries</t>
  </si>
  <si>
    <t>Office Salaries</t>
  </si>
  <si>
    <t>FTC Site Maintenance Salaries</t>
  </si>
  <si>
    <t>Falcon Mall</t>
  </si>
  <si>
    <t>Amir (Plumber)</t>
  </si>
  <si>
    <t>The Place DHA Phase VIII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</si>
  <si>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</si>
  <si>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</si>
  <si>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</si>
  <si>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</si>
  <si>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</si>
  <si>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</si>
  <si>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</si>
  <si>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</si>
  <si>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</si>
  <si>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 xml:space="preserve">Total </t>
  </si>
  <si>
    <t>Adil (FTC)</t>
  </si>
  <si>
    <t>Zeeshan AC</t>
  </si>
  <si>
    <t>Total Amount</t>
  </si>
  <si>
    <t>Khizer Mujeeb</t>
  </si>
  <si>
    <t>Already Received</t>
  </si>
  <si>
    <t>A. Lateef Chacha</t>
  </si>
  <si>
    <t>Mar 2020</t>
  </si>
  <si>
    <t>April 2020</t>
  </si>
  <si>
    <t>Feb 2020</t>
  </si>
  <si>
    <t>May 2020</t>
  </si>
  <si>
    <t>June 2020</t>
  </si>
  <si>
    <t>July 2020</t>
  </si>
  <si>
    <t>0342-2949035</t>
  </si>
  <si>
    <t>0343-3530334</t>
  </si>
  <si>
    <t>August 2020</t>
  </si>
  <si>
    <t>0315-2965342</t>
  </si>
  <si>
    <t>0343-2132453</t>
  </si>
  <si>
    <t>0300-2604430</t>
  </si>
  <si>
    <t>0345-2198116</t>
  </si>
  <si>
    <t>0305-2543567</t>
  </si>
  <si>
    <t>0322-2070510</t>
  </si>
  <si>
    <t>0333-2993644</t>
  </si>
  <si>
    <t>0315-3075720</t>
  </si>
  <si>
    <t>0344-2077725</t>
  </si>
  <si>
    <t>0308-1993644</t>
  </si>
  <si>
    <t>0345-3452595</t>
  </si>
  <si>
    <t>0341-2316764</t>
  </si>
  <si>
    <t>0344-3321067</t>
  </si>
  <si>
    <t>0346-5448896</t>
  </si>
  <si>
    <t>0337-8049132</t>
  </si>
  <si>
    <t>Junaid</t>
  </si>
  <si>
    <t>Ahsan Razak</t>
  </si>
  <si>
    <t>0343-3196182</t>
  </si>
  <si>
    <t>Sept 2020</t>
  </si>
  <si>
    <t>Mossi</t>
  </si>
  <si>
    <t>0332-7343891</t>
  </si>
  <si>
    <t>0312-0262223</t>
  </si>
  <si>
    <t>Rem advance</t>
  </si>
  <si>
    <t>0333-2292165</t>
  </si>
  <si>
    <t>0343-2163562</t>
  </si>
  <si>
    <t>Azeem D/W</t>
  </si>
  <si>
    <t>M. Shafeeq</t>
  </si>
  <si>
    <t>Oct 2020</t>
  </si>
  <si>
    <t>Nov 2020</t>
  </si>
  <si>
    <t>Dec 2020</t>
  </si>
  <si>
    <t>Jan 21</t>
  </si>
  <si>
    <t>Salary Summary  for last 06 months</t>
  </si>
  <si>
    <t>Difference from last month</t>
  </si>
  <si>
    <t>Suleman Dilawer</t>
  </si>
  <si>
    <t>0300 3393136</t>
  </si>
  <si>
    <t>Hammad Ahmed</t>
  </si>
  <si>
    <t>0310-1020972</t>
  </si>
  <si>
    <t>Feb 21</t>
  </si>
  <si>
    <t>Amjad Ustad</t>
  </si>
  <si>
    <t>March 21</t>
  </si>
  <si>
    <t xml:space="preserve"> Jameel baig  / Naveed Malik</t>
  </si>
  <si>
    <t>0300-2206271</t>
  </si>
  <si>
    <t>sami</t>
  </si>
  <si>
    <t xml:space="preserve"> JS The Forum</t>
  </si>
  <si>
    <t>The Forum / JS Shaheen</t>
  </si>
  <si>
    <t>April 21</t>
  </si>
  <si>
    <t>May 21</t>
  </si>
  <si>
    <t xml:space="preserve">The Forum </t>
  </si>
  <si>
    <t>Mumtaz Ali Chakar</t>
  </si>
  <si>
    <t>Mukhtiar</t>
  </si>
  <si>
    <t>Hassan Khan</t>
  </si>
  <si>
    <t>Driver</t>
  </si>
  <si>
    <t>Umer Farooq</t>
  </si>
  <si>
    <t>M. Sami</t>
  </si>
  <si>
    <t>0312-2754301</t>
  </si>
  <si>
    <t>0312-5237654</t>
  </si>
  <si>
    <t>Raheel</t>
  </si>
  <si>
    <t>PSYCHIATRY JPMC</t>
  </si>
  <si>
    <t xml:space="preserve">MHR Personal </t>
  </si>
  <si>
    <t xml:space="preserve">O/M Nue Multiplex </t>
  </si>
  <si>
    <t>O/M The Place</t>
  </si>
  <si>
    <t>Jameel Baig Residence</t>
  </si>
  <si>
    <t>Kumail Bhai</t>
  </si>
  <si>
    <t>Asif Hussain</t>
  </si>
  <si>
    <t xml:space="preserve">M. Imran </t>
  </si>
  <si>
    <t xml:space="preserve">Jameel baig </t>
  </si>
  <si>
    <t>Ethnic -- Deutshce -- FTC -- Burhani --- Hydery</t>
  </si>
  <si>
    <t>Zafar</t>
  </si>
  <si>
    <t>Ahsan Khan</t>
  </si>
  <si>
    <t>Mubeen</t>
  </si>
  <si>
    <t>Ethnic</t>
  </si>
  <si>
    <t>Sufyan</t>
  </si>
  <si>
    <t>db</t>
  </si>
  <si>
    <t>Sheheryar Khalid</t>
  </si>
  <si>
    <t>hammad leaved approved</t>
  </si>
  <si>
    <t>Salaries Paid</t>
  </si>
  <si>
    <t xml:space="preserve">Remaining cash required </t>
  </si>
  <si>
    <t>Mossi salary</t>
  </si>
  <si>
    <t xml:space="preserve">FTC Staff salary </t>
  </si>
  <si>
    <t>Jahangeer, Abid, Shahid, shery, chacha latif, Abbas</t>
  </si>
  <si>
    <t>Mubeen salary</t>
  </si>
  <si>
    <t xml:space="preserve">Zeeshan salary </t>
  </si>
  <si>
    <t>JPMC staff salary</t>
  </si>
  <si>
    <t>abid salary</t>
  </si>
  <si>
    <t>Falcon staff salaries</t>
  </si>
  <si>
    <t>RMR staff salary paid</t>
  </si>
  <si>
    <t>office staff salaries without kamran</t>
  </si>
  <si>
    <t>Asif (Cooling tower)</t>
  </si>
  <si>
    <t>Ashraf Bhai</t>
  </si>
  <si>
    <t>06 Nos leaves remaining</t>
  </si>
  <si>
    <t>Salary Imcrement Summary</t>
  </si>
  <si>
    <t>Kamran</t>
  </si>
  <si>
    <t>Rehan</t>
  </si>
  <si>
    <t>Amir Emgr</t>
  </si>
  <si>
    <t>Amir Plumber</t>
  </si>
  <si>
    <t xml:space="preserve">Raheel </t>
  </si>
  <si>
    <t>Gul sher</t>
  </si>
  <si>
    <t>Feb 2023</t>
  </si>
  <si>
    <t>Pre</t>
  </si>
  <si>
    <t>Increment</t>
  </si>
  <si>
    <t>Staff Name</t>
  </si>
  <si>
    <t>Mar 23</t>
  </si>
  <si>
    <t>Imran Engr</t>
  </si>
  <si>
    <t>Khizer</t>
  </si>
  <si>
    <t>Hassan</t>
  </si>
  <si>
    <t>Junaid Saleem</t>
  </si>
  <si>
    <t>Shafeeq FTC</t>
  </si>
  <si>
    <t>Lateef</t>
  </si>
  <si>
    <t>Mumtaz bhai</t>
  </si>
  <si>
    <t>Dec 22</t>
  </si>
  <si>
    <t>Nadeem Painter</t>
  </si>
  <si>
    <t>Noor ul Islam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</si>
</sst>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6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b/>
      <sz val="8"/>
      <name val="Book Antiqua"/>
      <family val="1"/>
    </font>
    <font>
      <sz val="11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sz val="17"/>
      <color rgb="FFFF0000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b/>
      <sz val="22"/>
      <name val="Calibri"/>
      <family val="2"/>
      <scheme val="minor"/>
    </font>
    <font>
      <sz val="22"/>
      <name val="Arial"/>
      <family val="2"/>
    </font>
    <font>
      <sz val="24"/>
      <name val="Arial"/>
      <family val="2"/>
    </font>
    <font>
      <b/>
      <sz val="12.5"/>
      <name val="Calibri"/>
      <family val="2"/>
      <scheme val="minor"/>
    </font>
    <font>
      <b/>
      <sz val="24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b/>
      <sz val="22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468">
    <xf numFmtId="0" fontId="0" fillId="0" borderId="0" xfId="0"/>
    <xf numFmtId="0" fontId="4" fillId="0" borderId="0" xfId="0" applyFont="1"/>
    <xf numFmtId="164" fontId="0" fillId="0" borderId="0" xfId="1" applyNumberFormat="1" applyFont="1"/>
    <xf numFmtId="164" fontId="4" fillId="0" borderId="0" xfId="1" applyNumberFormat="1" applyFont="1"/>
    <xf numFmtId="0" fontId="5" fillId="0" borderId="0" xfId="0" applyFont="1"/>
    <xf numFmtId="164" fontId="0" fillId="0" borderId="0" xfId="1" applyNumberFormat="1" applyFont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164" fontId="0" fillId="0" borderId="0" xfId="0" applyNumberFormat="1"/>
    <xf numFmtId="164" fontId="15" fillId="0" borderId="1" xfId="1" applyNumberFormat="1" applyFont="1" applyBorder="1"/>
    <xf numFmtId="164" fontId="5" fillId="0" borderId="1" xfId="1" applyNumberFormat="1" applyFont="1" applyFill="1" applyBorder="1"/>
    <xf numFmtId="17" fontId="16" fillId="0" borderId="0" xfId="0" applyNumberFormat="1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/>
    </xf>
    <xf numFmtId="164" fontId="5" fillId="0" borderId="1" xfId="1" applyNumberFormat="1" applyFont="1" applyBorder="1"/>
    <xf numFmtId="164" fontId="6" fillId="0" borderId="1" xfId="1" applyNumberFormat="1" applyFont="1" applyBorder="1"/>
    <xf numFmtId="0" fontId="6" fillId="0" borderId="1" xfId="0" applyFont="1" applyBorder="1"/>
    <xf numFmtId="164" fontId="5" fillId="0" borderId="1" xfId="1" applyNumberFormat="1" applyFont="1" applyFill="1" applyBorder="1" applyAlignment="1">
      <alignment horizontal="center"/>
    </xf>
    <xf numFmtId="164" fontId="15" fillId="0" borderId="1" xfId="1" applyNumberFormat="1" applyFont="1" applyBorder="1" applyAlignment="1">
      <alignment horizontal="center"/>
    </xf>
    <xf numFmtId="164" fontId="5" fillId="2" borderId="1" xfId="1" applyNumberFormat="1" applyFont="1" applyFill="1" applyBorder="1"/>
    <xf numFmtId="164" fontId="15" fillId="0" borderId="1" xfId="0" applyNumberFormat="1" applyFont="1" applyBorder="1"/>
    <xf numFmtId="164" fontId="5" fillId="0" borderId="1" xfId="1" applyNumberFormat="1" applyFont="1" applyBorder="1" applyAlignment="1">
      <alignment horizontal="center"/>
    </xf>
    <xf numFmtId="164" fontId="13" fillId="3" borderId="1" xfId="1" applyNumberFormat="1" applyFont="1" applyFill="1" applyBorder="1" applyAlignment="1">
      <alignment horizontal="center" vertical="center" wrapText="1"/>
    </xf>
    <xf numFmtId="164" fontId="13" fillId="3" borderId="1" xfId="1" applyNumberFormat="1" applyFont="1" applyFill="1" applyBorder="1" applyAlignment="1">
      <alignment horizontal="center" vertical="center"/>
    </xf>
    <xf numFmtId="164" fontId="14" fillId="3" borderId="1" xfId="1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14" xfId="0" applyFont="1" applyBorder="1" applyAlignment="1">
      <alignment vertical="center"/>
    </xf>
    <xf numFmtId="0" fontId="20" fillId="0" borderId="0" xfId="0" applyFont="1" applyAlignment="1">
      <alignment vertical="center"/>
    </xf>
    <xf numFmtId="14" fontId="18" fillId="0" borderId="0" xfId="0" applyNumberFormat="1" applyFont="1" applyAlignment="1">
      <alignment vertical="center"/>
    </xf>
    <xf numFmtId="14" fontId="18" fillId="0" borderId="15" xfId="0" applyNumberFormat="1" applyFont="1" applyBorder="1" applyAlignment="1">
      <alignment vertical="center"/>
    </xf>
    <xf numFmtId="0" fontId="19" fillId="0" borderId="15" xfId="0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64" fontId="19" fillId="0" borderId="0" xfId="1" applyNumberFormat="1" applyFont="1" applyFill="1" applyBorder="1" applyAlignment="1">
      <alignment vertical="center"/>
    </xf>
    <xf numFmtId="0" fontId="21" fillId="0" borderId="15" xfId="0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164" fontId="19" fillId="0" borderId="15" xfId="1" applyNumberFormat="1" applyFont="1" applyFill="1" applyBorder="1" applyAlignment="1">
      <alignment vertical="center"/>
    </xf>
    <xf numFmtId="164" fontId="18" fillId="0" borderId="1" xfId="1" applyNumberFormat="1" applyFont="1" applyFill="1" applyBorder="1" applyAlignment="1">
      <alignment vertical="center"/>
    </xf>
    <xf numFmtId="0" fontId="18" fillId="0" borderId="0" xfId="0" applyFont="1" applyAlignment="1">
      <alignment vertical="center" wrapText="1"/>
    </xf>
    <xf numFmtId="0" fontId="21" fillId="0" borderId="0" xfId="0" applyFont="1" applyAlignment="1">
      <alignment horizontal="left" vertical="center"/>
    </xf>
    <xf numFmtId="0" fontId="18" fillId="0" borderId="15" xfId="0" applyFont="1" applyBorder="1" applyAlignment="1">
      <alignment vertical="center"/>
    </xf>
    <xf numFmtId="164" fontId="18" fillId="0" borderId="0" xfId="1" applyNumberFormat="1" applyFont="1" applyFill="1" applyBorder="1" applyAlignment="1">
      <alignment vertical="center"/>
    </xf>
    <xf numFmtId="0" fontId="18" fillId="0" borderId="1" xfId="0" applyFont="1" applyBorder="1" applyAlignment="1">
      <alignment horizontal="right" vertical="center"/>
    </xf>
    <xf numFmtId="0" fontId="18" fillId="0" borderId="5" xfId="0" applyFont="1" applyBorder="1" applyAlignment="1">
      <alignment vertical="center"/>
    </xf>
    <xf numFmtId="0" fontId="18" fillId="0" borderId="6" xfId="0" applyFont="1" applyBorder="1" applyAlignment="1">
      <alignment vertical="center"/>
    </xf>
    <xf numFmtId="164" fontId="18" fillId="0" borderId="1" xfId="0" applyNumberFormat="1" applyFont="1" applyBorder="1" applyAlignment="1">
      <alignment horizontal="right" vertical="center"/>
    </xf>
    <xf numFmtId="164" fontId="18" fillId="0" borderId="15" xfId="0" applyNumberFormat="1" applyFont="1" applyBorder="1" applyAlignment="1">
      <alignment horizontal="right" vertical="center"/>
    </xf>
    <xf numFmtId="164" fontId="18" fillId="0" borderId="1" xfId="0" applyNumberFormat="1" applyFont="1" applyBorder="1" applyAlignment="1">
      <alignment vertical="center"/>
    </xf>
    <xf numFmtId="164" fontId="18" fillId="0" borderId="15" xfId="0" applyNumberFormat="1" applyFont="1" applyBorder="1" applyAlignment="1">
      <alignment vertical="center"/>
    </xf>
    <xf numFmtId="164" fontId="18" fillId="0" borderId="15" xfId="1" applyNumberFormat="1" applyFont="1" applyFill="1" applyBorder="1" applyAlignment="1">
      <alignment vertical="center"/>
    </xf>
    <xf numFmtId="0" fontId="18" fillId="0" borderId="1" xfId="0" applyFont="1" applyBorder="1" applyAlignment="1">
      <alignment horizontal="left" vertical="center"/>
    </xf>
    <xf numFmtId="164" fontId="19" fillId="0" borderId="1" xfId="0" applyNumberFormat="1" applyFont="1" applyBorder="1" applyAlignment="1">
      <alignment vertical="center"/>
    </xf>
    <xf numFmtId="164" fontId="19" fillId="0" borderId="15" xfId="0" applyNumberFormat="1" applyFont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18" fillId="0" borderId="13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15" fontId="21" fillId="0" borderId="0" xfId="0" applyNumberFormat="1" applyFont="1" applyAlignment="1">
      <alignment horizontal="left" vertical="center"/>
    </xf>
    <xf numFmtId="0" fontId="23" fillId="0" borderId="0" xfId="0" applyFont="1" applyAlignment="1">
      <alignment vertical="center"/>
    </xf>
    <xf numFmtId="0" fontId="23" fillId="0" borderId="10" xfId="0" applyFont="1" applyBorder="1" applyAlignment="1">
      <alignment horizontal="center" vertical="center"/>
    </xf>
    <xf numFmtId="0" fontId="23" fillId="0" borderId="11" xfId="0" applyFont="1" applyBorder="1" applyAlignment="1">
      <alignment vertical="center"/>
    </xf>
    <xf numFmtId="0" fontId="25" fillId="0" borderId="12" xfId="0" applyFont="1" applyBorder="1" applyAlignment="1">
      <alignment horizontal="center" vertical="center"/>
    </xf>
    <xf numFmtId="14" fontId="23" fillId="0" borderId="14" xfId="0" applyNumberFormat="1" applyFont="1" applyBorder="1" applyAlignment="1">
      <alignment vertical="center"/>
    </xf>
    <xf numFmtId="0" fontId="24" fillId="0" borderId="1" xfId="0" applyFont="1" applyBorder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24" fillId="0" borderId="15" xfId="0" applyFont="1" applyBorder="1" applyAlignment="1">
      <alignment horizontal="center" vertical="center"/>
    </xf>
    <xf numFmtId="0" fontId="23" fillId="0" borderId="14" xfId="0" applyFont="1" applyBorder="1" applyAlignment="1">
      <alignment vertical="center"/>
    </xf>
    <xf numFmtId="0" fontId="23" fillId="0" borderId="1" xfId="0" applyFont="1" applyBorder="1" applyAlignment="1">
      <alignment vertical="center"/>
    </xf>
    <xf numFmtId="0" fontId="24" fillId="0" borderId="0" xfId="0" applyFont="1" applyAlignment="1">
      <alignment vertical="center"/>
    </xf>
    <xf numFmtId="164" fontId="24" fillId="0" borderId="1" xfId="1" applyNumberFormat="1" applyFont="1" applyFill="1" applyBorder="1" applyAlignment="1">
      <alignment vertical="center"/>
    </xf>
    <xf numFmtId="0" fontId="23" fillId="0" borderId="14" xfId="0" applyFont="1" applyBorder="1" applyAlignment="1">
      <alignment horizontal="center" vertical="center"/>
    </xf>
    <xf numFmtId="164" fontId="24" fillId="0" borderId="15" xfId="1" applyNumberFormat="1" applyFont="1" applyFill="1" applyBorder="1" applyAlignment="1">
      <alignment vertical="center"/>
    </xf>
    <xf numFmtId="0" fontId="23" fillId="0" borderId="16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23" fillId="0" borderId="17" xfId="0" applyFont="1" applyBorder="1" applyAlignment="1">
      <alignment vertical="center"/>
    </xf>
    <xf numFmtId="164" fontId="5" fillId="2" borderId="8" xfId="1" applyNumberFormat="1" applyFont="1" applyFill="1" applyBorder="1" applyAlignment="1">
      <alignment horizontal="center"/>
    </xf>
    <xf numFmtId="164" fontId="15" fillId="0" borderId="8" xfId="1" applyNumberFormat="1" applyFont="1" applyBorder="1"/>
    <xf numFmtId="164" fontId="8" fillId="0" borderId="8" xfId="1" applyNumberFormat="1" applyFont="1" applyBorder="1"/>
    <xf numFmtId="164" fontId="27" fillId="0" borderId="0" xfId="1" applyNumberFormat="1" applyFont="1" applyFill="1" applyAlignment="1">
      <alignment vertical="center"/>
    </xf>
    <xf numFmtId="1" fontId="18" fillId="0" borderId="5" xfId="0" applyNumberFormat="1" applyFont="1" applyBorder="1" applyAlignment="1">
      <alignment vertical="center"/>
    </xf>
    <xf numFmtId="0" fontId="23" fillId="0" borderId="15" xfId="0" applyFont="1" applyBorder="1" applyAlignment="1">
      <alignment vertical="center"/>
    </xf>
    <xf numFmtId="0" fontId="25" fillId="0" borderId="1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4" fontId="6" fillId="0" borderId="1" xfId="1" applyNumberFormat="1" applyFont="1" applyFill="1" applyBorder="1"/>
    <xf numFmtId="164" fontId="8" fillId="0" borderId="1" xfId="0" applyNumberFormat="1" applyFont="1" applyBorder="1" applyAlignment="1">
      <alignment horizontal="center" vertical="center"/>
    </xf>
    <xf numFmtId="164" fontId="6" fillId="2" borderId="1" xfId="0" applyNumberFormat="1" applyFont="1" applyFill="1" applyBorder="1" applyAlignment="1">
      <alignment vertical="center"/>
    </xf>
    <xf numFmtId="0" fontId="26" fillId="2" borderId="1" xfId="0" applyFont="1" applyFill="1" applyBorder="1" applyAlignment="1">
      <alignment horizontal="center" vertical="center"/>
    </xf>
    <xf numFmtId="164" fontId="26" fillId="0" borderId="1" xfId="0" applyNumberFormat="1" applyFont="1" applyBorder="1" applyAlignment="1">
      <alignment vertical="center"/>
    </xf>
    <xf numFmtId="164" fontId="9" fillId="0" borderId="1" xfId="1" applyNumberFormat="1" applyFont="1" applyFill="1" applyBorder="1" applyAlignment="1">
      <alignment vertical="center"/>
    </xf>
    <xf numFmtId="164" fontId="2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8" fillId="0" borderId="22" xfId="0" applyFont="1" applyBorder="1" applyAlignment="1">
      <alignment vertical="center"/>
    </xf>
    <xf numFmtId="0" fontId="23" fillId="0" borderId="22" xfId="0" applyFont="1" applyBorder="1" applyAlignment="1">
      <alignment vertical="center"/>
    </xf>
    <xf numFmtId="164" fontId="15" fillId="7" borderId="1" xfId="0" applyNumberFormat="1" applyFont="1" applyFill="1" applyBorder="1"/>
    <xf numFmtId="0" fontId="6" fillId="0" borderId="1" xfId="0" applyFont="1" applyBorder="1" applyAlignment="1">
      <alignment vertical="center" textRotation="90"/>
    </xf>
    <xf numFmtId="0" fontId="6" fillId="2" borderId="9" xfId="0" applyFont="1" applyFill="1" applyBorder="1" applyAlignment="1">
      <alignment vertical="center" textRotation="90"/>
    </xf>
    <xf numFmtId="164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textRotation="90"/>
    </xf>
    <xf numFmtId="1" fontId="9" fillId="0" borderId="5" xfId="0" applyNumberFormat="1" applyFont="1" applyBorder="1" applyAlignment="1">
      <alignment vertical="center"/>
    </xf>
    <xf numFmtId="164" fontId="10" fillId="0" borderId="1" xfId="1" applyNumberFormat="1" applyFont="1" applyBorder="1"/>
    <xf numFmtId="164" fontId="24" fillId="0" borderId="1" xfId="1" applyNumberFormat="1" applyFont="1" applyFill="1" applyBorder="1" applyAlignment="1">
      <alignment horizontal="center" vertical="center"/>
    </xf>
    <xf numFmtId="164" fontId="5" fillId="0" borderId="0" xfId="0" applyNumberFormat="1" applyFont="1"/>
    <xf numFmtId="164" fontId="18" fillId="0" borderId="0" xfId="0" applyNumberFormat="1" applyFont="1" applyAlignment="1">
      <alignment vertical="center"/>
    </xf>
    <xf numFmtId="1" fontId="32" fillId="0" borderId="5" xfId="0" applyNumberFormat="1" applyFont="1" applyBorder="1" applyAlignment="1">
      <alignment vertical="center"/>
    </xf>
    <xf numFmtId="164" fontId="16" fillId="0" borderId="1" xfId="1" applyNumberFormat="1" applyFont="1" applyFill="1" applyBorder="1" applyAlignment="1">
      <alignment vertical="center"/>
    </xf>
    <xf numFmtId="164" fontId="28" fillId="0" borderId="1" xfId="1" applyNumberFormat="1" applyFont="1" applyFill="1" applyBorder="1" applyAlignment="1">
      <alignment vertical="center"/>
    </xf>
    <xf numFmtId="164" fontId="33" fillId="0" borderId="0" xfId="0" applyNumberFormat="1" applyFont="1" applyAlignment="1">
      <alignment vertical="center"/>
    </xf>
    <xf numFmtId="0" fontId="6" fillId="2" borderId="1" xfId="0" applyFont="1" applyFill="1" applyBorder="1" applyAlignment="1">
      <alignment horizontal="center" vertical="center" textRotation="90"/>
    </xf>
    <xf numFmtId="164" fontId="6" fillId="2" borderId="1" xfId="0" applyNumberFormat="1" applyFont="1" applyFill="1" applyBorder="1" applyAlignment="1">
      <alignment horizontal="center" vertical="center"/>
    </xf>
    <xf numFmtId="164" fontId="2" fillId="0" borderId="0" xfId="1" applyNumberFormat="1" applyFont="1"/>
    <xf numFmtId="164" fontId="8" fillId="0" borderId="0" xfId="0" applyNumberFormat="1" applyFont="1"/>
    <xf numFmtId="165" fontId="18" fillId="0" borderId="5" xfId="0" applyNumberFormat="1" applyFont="1" applyBorder="1" applyAlignment="1">
      <alignment vertical="center"/>
    </xf>
    <xf numFmtId="164" fontId="0" fillId="0" borderId="1" xfId="1" applyNumberFormat="1" applyFont="1" applyBorder="1"/>
    <xf numFmtId="14" fontId="18" fillId="0" borderId="0" xfId="0" applyNumberFormat="1" applyFont="1" applyAlignment="1">
      <alignment horizontal="left" vertical="center"/>
    </xf>
    <xf numFmtId="0" fontId="0" fillId="0" borderId="1" xfId="0" applyBorder="1"/>
    <xf numFmtId="164" fontId="15" fillId="0" borderId="8" xfId="0" applyNumberFormat="1" applyFont="1" applyBorder="1"/>
    <xf numFmtId="164" fontId="15" fillId="0" borderId="0" xfId="1" applyNumberFormat="1" applyFont="1"/>
    <xf numFmtId="164" fontId="19" fillId="8" borderId="0" xfId="1" applyNumberFormat="1" applyFont="1" applyFill="1" applyBorder="1" applyAlignment="1">
      <alignment vertical="center"/>
    </xf>
    <xf numFmtId="164" fontId="15" fillId="0" borderId="1" xfId="1" applyNumberFormat="1" applyFont="1" applyFill="1" applyBorder="1"/>
    <xf numFmtId="164" fontId="0" fillId="0" borderId="0" xfId="1" applyNumberFormat="1" applyFont="1" applyFill="1"/>
    <xf numFmtId="164" fontId="18" fillId="0" borderId="5" xfId="1" applyNumberFormat="1" applyFont="1" applyFill="1" applyBorder="1" applyAlignment="1">
      <alignment vertical="center"/>
    </xf>
    <xf numFmtId="164" fontId="15" fillId="10" borderId="1" xfId="0" applyNumberFormat="1" applyFont="1" applyFill="1" applyBorder="1"/>
    <xf numFmtId="0" fontId="34" fillId="0" borderId="1" xfId="0" applyFont="1" applyBorder="1"/>
    <xf numFmtId="0" fontId="23" fillId="19" borderId="1" xfId="0" applyFont="1" applyFill="1" applyBorder="1" applyAlignment="1">
      <alignment vertical="center"/>
    </xf>
    <xf numFmtId="164" fontId="13" fillId="3" borderId="0" xfId="1" applyNumberFormat="1" applyFont="1" applyFill="1" applyBorder="1" applyAlignment="1">
      <alignment horizontal="center" vertical="center" wrapText="1"/>
    </xf>
    <xf numFmtId="164" fontId="15" fillId="0" borderId="0" xfId="0" applyNumberFormat="1" applyFont="1"/>
    <xf numFmtId="0" fontId="29" fillId="7" borderId="0" xfId="0" applyFont="1" applyFill="1" applyAlignment="1">
      <alignment horizontal="center"/>
    </xf>
    <xf numFmtId="164" fontId="15" fillId="7" borderId="0" xfId="0" applyNumberFormat="1" applyFont="1" applyFill="1"/>
    <xf numFmtId="164" fontId="15" fillId="10" borderId="0" xfId="0" applyNumberFormat="1" applyFont="1" applyFill="1"/>
    <xf numFmtId="0" fontId="6" fillId="0" borderId="0" xfId="0" applyFont="1" applyAlignment="1">
      <alignment horizontal="right"/>
    </xf>
    <xf numFmtId="0" fontId="35" fillId="0" borderId="0" xfId="0" applyFont="1" applyAlignment="1">
      <alignment horizontal="right"/>
    </xf>
    <xf numFmtId="164" fontId="36" fillId="0" borderId="0" xfId="1" applyNumberFormat="1" applyFont="1" applyFill="1" applyBorder="1" applyAlignment="1">
      <alignment vertical="center"/>
    </xf>
    <xf numFmtId="164" fontId="8" fillId="22" borderId="25" xfId="1" applyNumberFormat="1" applyFont="1" applyFill="1" applyBorder="1"/>
    <xf numFmtId="164" fontId="4" fillId="22" borderId="26" xfId="1" applyNumberFormat="1" applyFont="1" applyFill="1" applyBorder="1"/>
    <xf numFmtId="164" fontId="4" fillId="22" borderId="26" xfId="1" applyNumberFormat="1" applyFont="1" applyFill="1" applyBorder="1" applyAlignment="1"/>
    <xf numFmtId="164" fontId="2" fillId="0" borderId="0" xfId="0" applyNumberFormat="1" applyFont="1"/>
    <xf numFmtId="0" fontId="29" fillId="7" borderId="1" xfId="0" applyFont="1" applyFill="1" applyBorder="1" applyAlignment="1">
      <alignment horizontal="center"/>
    </xf>
    <xf numFmtId="164" fontId="37" fillId="21" borderId="27" xfId="1" quotePrefix="1" applyNumberFormat="1" applyFont="1" applyFill="1" applyBorder="1" applyAlignment="1"/>
    <xf numFmtId="164" fontId="10" fillId="0" borderId="1" xfId="0" applyNumberFormat="1" applyFont="1" applyBorder="1"/>
    <xf numFmtId="0" fontId="42" fillId="0" borderId="5" xfId="0" applyFont="1" applyBorder="1" applyAlignment="1">
      <alignment vertical="center"/>
    </xf>
    <xf numFmtId="164" fontId="15" fillId="0" borderId="6" xfId="0" applyNumberFormat="1" applyFont="1" applyBorder="1"/>
    <xf numFmtId="164" fontId="15" fillId="0" borderId="6" xfId="1" applyNumberFormat="1" applyFont="1" applyFill="1" applyBorder="1"/>
    <xf numFmtId="164" fontId="15" fillId="10" borderId="6" xfId="0" applyNumberFormat="1" applyFont="1" applyFill="1" applyBorder="1"/>
    <xf numFmtId="0" fontId="4" fillId="0" borderId="1" xfId="0" applyFont="1" applyBorder="1"/>
    <xf numFmtId="164" fontId="0" fillId="0" borderId="1" xfId="1" applyNumberFormat="1" applyFont="1" applyBorder="1" applyAlignment="1">
      <alignment horizontal="center"/>
    </xf>
    <xf numFmtId="164" fontId="4" fillId="0" borderId="1" xfId="1" applyNumberFormat="1" applyFont="1" applyBorder="1"/>
    <xf numFmtId="0" fontId="6" fillId="0" borderId="1" xfId="0" applyFont="1" applyBorder="1" applyAlignment="1">
      <alignment vertical="center"/>
    </xf>
    <xf numFmtId="164" fontId="6" fillId="0" borderId="1" xfId="0" applyNumberFormat="1" applyFont="1" applyBorder="1" applyAlignment="1">
      <alignment vertical="center"/>
    </xf>
    <xf numFmtId="164" fontId="8" fillId="0" borderId="1" xfId="1" applyNumberFormat="1" applyFont="1" applyBorder="1"/>
    <xf numFmtId="164" fontId="41" fillId="7" borderId="1" xfId="0" applyNumberFormat="1" applyFont="1" applyFill="1" applyBorder="1" applyAlignment="1">
      <alignment vertical="center"/>
    </xf>
    <xf numFmtId="0" fontId="15" fillId="0" borderId="1" xfId="0" applyFont="1" applyBorder="1"/>
    <xf numFmtId="0" fontId="43" fillId="0" borderId="5" xfId="0" applyFont="1" applyBorder="1" applyAlignment="1">
      <alignment vertical="center"/>
    </xf>
    <xf numFmtId="0" fontId="6" fillId="0" borderId="8" xfId="0" applyFont="1" applyBorder="1" applyAlignment="1">
      <alignment horizontal="right"/>
    </xf>
    <xf numFmtId="164" fontId="6" fillId="0" borderId="8" xfId="0" applyNumberFormat="1" applyFont="1" applyBorder="1" applyAlignment="1">
      <alignment horizontal="right"/>
    </xf>
    <xf numFmtId="164" fontId="41" fillId="7" borderId="8" xfId="0" applyNumberFormat="1" applyFont="1" applyFill="1" applyBorder="1"/>
    <xf numFmtId="164" fontId="44" fillId="0" borderId="26" xfId="1" applyNumberFormat="1" applyFont="1" applyFill="1" applyBorder="1"/>
    <xf numFmtId="164" fontId="44" fillId="0" borderId="26" xfId="1" applyNumberFormat="1" applyFont="1" applyFill="1" applyBorder="1" applyAlignment="1"/>
    <xf numFmtId="164" fontId="44" fillId="0" borderId="25" xfId="1" applyNumberFormat="1" applyFont="1" applyFill="1" applyBorder="1" applyAlignment="1">
      <alignment horizontal="left"/>
    </xf>
    <xf numFmtId="164" fontId="44" fillId="0" borderId="25" xfId="1" applyNumberFormat="1" applyFont="1" applyFill="1" applyBorder="1" applyAlignment="1"/>
    <xf numFmtId="164" fontId="44" fillId="0" borderId="25" xfId="1" applyNumberFormat="1" applyFont="1" applyFill="1" applyBorder="1"/>
    <xf numFmtId="164" fontId="44" fillId="0" borderId="25" xfId="1" applyNumberFormat="1" applyFont="1" applyFill="1" applyBorder="1" applyAlignment="1">
      <alignment horizontal="left" vertical="top" wrapText="1"/>
    </xf>
    <xf numFmtId="164" fontId="47" fillId="0" borderId="1" xfId="1" applyNumberFormat="1" applyFont="1" applyFill="1" applyBorder="1" applyAlignment="1">
      <alignment horizontal="center" vertical="center"/>
    </xf>
    <xf numFmtId="164" fontId="47" fillId="0" borderId="1" xfId="1" quotePrefix="1" applyNumberFormat="1" applyFont="1" applyFill="1" applyBorder="1" applyAlignment="1">
      <alignment horizontal="center" vertical="center"/>
    </xf>
    <xf numFmtId="164" fontId="47" fillId="0" borderId="1" xfId="1" quotePrefix="1" applyNumberFormat="1" applyFont="1" applyFill="1" applyBorder="1" applyAlignment="1">
      <alignment horizontal="center" vertical="center" wrapText="1"/>
    </xf>
    <xf numFmtId="164" fontId="46" fillId="0" borderId="25" xfId="1" applyNumberFormat="1" applyFont="1" applyFill="1" applyBorder="1"/>
    <xf numFmtId="164" fontId="46" fillId="0" borderId="26" xfId="1" applyNumberFormat="1" applyFont="1" applyFill="1" applyBorder="1"/>
    <xf numFmtId="164" fontId="46" fillId="0" borderId="25" xfId="1" applyNumberFormat="1" applyFont="1" applyFill="1" applyBorder="1" applyAlignment="1">
      <alignment horizontal="left"/>
    </xf>
    <xf numFmtId="164" fontId="47" fillId="0" borderId="1" xfId="1" applyNumberFormat="1" applyFont="1" applyFill="1" applyBorder="1" applyAlignment="1">
      <alignment horizontal="center" vertical="center" wrapText="1"/>
    </xf>
    <xf numFmtId="164" fontId="46" fillId="0" borderId="26" xfId="1" applyNumberFormat="1" applyFont="1" applyFill="1" applyBorder="1" applyAlignment="1">
      <alignment vertical="center"/>
    </xf>
    <xf numFmtId="164" fontId="46" fillId="0" borderId="25" xfId="1" applyNumberFormat="1" applyFont="1" applyFill="1" applyBorder="1" applyAlignment="1">
      <alignment vertical="center"/>
    </xf>
    <xf numFmtId="164" fontId="46" fillId="0" borderId="25" xfId="1" applyNumberFormat="1" applyFont="1" applyFill="1" applyBorder="1" applyAlignment="1">
      <alignment horizontal="left" vertical="center" wrapText="1"/>
    </xf>
    <xf numFmtId="164" fontId="23" fillId="0" borderId="0" xfId="0" applyNumberFormat="1" applyFont="1" applyAlignment="1">
      <alignment vertical="center"/>
    </xf>
    <xf numFmtId="164" fontId="48" fillId="0" borderId="1" xfId="1" applyNumberFormat="1" applyFont="1" applyFill="1" applyBorder="1" applyAlignment="1">
      <alignment vertical="center"/>
    </xf>
    <xf numFmtId="164" fontId="28" fillId="2" borderId="1" xfId="1" applyNumberFormat="1" applyFont="1" applyFill="1" applyBorder="1" applyAlignment="1">
      <alignment horizontal="centerContinuous" vertical="center"/>
    </xf>
    <xf numFmtId="164" fontId="10" fillId="0" borderId="0" xfId="0" applyNumberFormat="1" applyFont="1"/>
    <xf numFmtId="0" fontId="10" fillId="0" borderId="0" xfId="0" applyFont="1"/>
    <xf numFmtId="164" fontId="10" fillId="0" borderId="0" xfId="1" applyNumberFormat="1" applyFont="1"/>
    <xf numFmtId="43" fontId="10" fillId="0" borderId="0" xfId="1" applyFont="1"/>
    <xf numFmtId="0" fontId="29" fillId="0" borderId="9" xfId="0" applyFont="1" applyBorder="1" applyAlignment="1">
      <alignment vertical="center" textRotation="90"/>
    </xf>
    <xf numFmtId="164" fontId="29" fillId="0" borderId="9" xfId="0" applyNumberFormat="1" applyFont="1" applyBorder="1" applyAlignment="1">
      <alignment vertical="center"/>
    </xf>
    <xf numFmtId="0" fontId="29" fillId="0" borderId="7" xfId="0" applyFont="1" applyBorder="1" applyAlignment="1">
      <alignment vertical="center" textRotation="90"/>
    </xf>
    <xf numFmtId="164" fontId="29" fillId="0" borderId="7" xfId="0" applyNumberFormat="1" applyFont="1" applyBorder="1" applyAlignment="1">
      <alignment vertical="center"/>
    </xf>
    <xf numFmtId="164" fontId="10" fillId="0" borderId="0" xfId="1" applyNumberFormat="1" applyFont="1" applyFill="1"/>
    <xf numFmtId="0" fontId="29" fillId="0" borderId="8" xfId="0" applyFont="1" applyBorder="1" applyAlignment="1">
      <alignment vertical="center" textRotation="90"/>
    </xf>
    <xf numFmtId="164" fontId="29" fillId="0" borderId="8" xfId="0" applyNumberFormat="1" applyFont="1" applyBorder="1" applyAlignment="1">
      <alignment vertical="center"/>
    </xf>
    <xf numFmtId="0" fontId="49" fillId="0" borderId="1" xfId="0" applyFont="1" applyBorder="1" applyAlignment="1">
      <alignment horizontal="center" vertical="center"/>
    </xf>
    <xf numFmtId="164" fontId="49" fillId="0" borderId="1" xfId="0" applyNumberFormat="1" applyFont="1" applyBorder="1" applyAlignment="1">
      <alignment horizontal="center" vertical="center"/>
    </xf>
    <xf numFmtId="164" fontId="40" fillId="0" borderId="1" xfId="1" applyNumberFormat="1" applyFont="1" applyFill="1" applyBorder="1"/>
    <xf numFmtId="164" fontId="40" fillId="0" borderId="1" xfId="0" applyNumberFormat="1" applyFont="1" applyBorder="1"/>
    <xf numFmtId="0" fontId="40" fillId="0" borderId="0" xfId="0" applyFont="1"/>
    <xf numFmtId="164" fontId="40" fillId="0" borderId="0" xfId="1" applyNumberFormat="1" applyFont="1"/>
    <xf numFmtId="0" fontId="29" fillId="2" borderId="9" xfId="0" applyFont="1" applyFill="1" applyBorder="1" applyAlignment="1">
      <alignment vertical="center" textRotation="90"/>
    </xf>
    <xf numFmtId="164" fontId="29" fillId="2" borderId="9" xfId="0" applyNumberFormat="1" applyFont="1" applyFill="1" applyBorder="1" applyAlignment="1">
      <alignment vertical="center"/>
    </xf>
    <xf numFmtId="164" fontId="10" fillId="0" borderId="1" xfId="1" applyNumberFormat="1" applyFont="1" applyFill="1" applyBorder="1"/>
    <xf numFmtId="0" fontId="29" fillId="0" borderId="1" xfId="0" applyFont="1" applyBorder="1" applyAlignment="1">
      <alignment vertical="center" textRotation="90"/>
    </xf>
    <xf numFmtId="164" fontId="29" fillId="0" borderId="1" xfId="0" applyNumberFormat="1" applyFont="1" applyBorder="1" applyAlignment="1">
      <alignment vertical="center"/>
    </xf>
    <xf numFmtId="0" fontId="29" fillId="0" borderId="9" xfId="0" applyFont="1" applyBorder="1" applyAlignment="1">
      <alignment horizontal="center" vertical="center" textRotation="90"/>
    </xf>
    <xf numFmtId="164" fontId="29" fillId="0" borderId="9" xfId="0" applyNumberFormat="1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164" fontId="29" fillId="0" borderId="8" xfId="0" applyNumberFormat="1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4" fontId="29" fillId="0" borderId="1" xfId="0" applyNumberFormat="1" applyFont="1" applyBorder="1" applyAlignment="1">
      <alignment horizontal="center" vertical="center"/>
    </xf>
    <xf numFmtId="164" fontId="10" fillId="0" borderId="6" xfId="0" applyNumberFormat="1" applyFont="1" applyBorder="1"/>
    <xf numFmtId="0" fontId="29" fillId="2" borderId="7" xfId="0" applyFont="1" applyFill="1" applyBorder="1" applyAlignment="1">
      <alignment horizontal="center" vertical="center" textRotation="90"/>
    </xf>
    <xf numFmtId="164" fontId="29" fillId="2" borderId="7" xfId="0" applyNumberFormat="1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vertical="center" textRotation="90"/>
    </xf>
    <xf numFmtId="164" fontId="29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9" fillId="2" borderId="9" xfId="0" applyFont="1" applyFill="1" applyBorder="1" applyAlignment="1">
      <alignment horizontal="center" vertical="center" textRotation="90"/>
    </xf>
    <xf numFmtId="164" fontId="29" fillId="2" borderId="9" xfId="0" applyNumberFormat="1" applyFont="1" applyFill="1" applyBorder="1" applyAlignment="1">
      <alignment horizontal="center" vertical="center"/>
    </xf>
    <xf numFmtId="0" fontId="29" fillId="0" borderId="8" xfId="0" applyFont="1" applyBorder="1" applyAlignment="1">
      <alignment horizontal="center" vertical="center" textRotation="90"/>
    </xf>
    <xf numFmtId="0" fontId="49" fillId="0" borderId="1" xfId="0" applyFont="1" applyBorder="1" applyAlignment="1">
      <alignment vertical="center" textRotation="90"/>
    </xf>
    <xf numFmtId="164" fontId="49" fillId="0" borderId="1" xfId="0" applyNumberFormat="1" applyFont="1" applyBorder="1" applyAlignment="1">
      <alignment vertical="center"/>
    </xf>
    <xf numFmtId="0" fontId="49" fillId="2" borderId="9" xfId="0" applyFont="1" applyFill="1" applyBorder="1" applyAlignment="1">
      <alignment vertical="center" textRotation="90"/>
    </xf>
    <xf numFmtId="164" fontId="49" fillId="2" borderId="9" xfId="0" applyNumberFormat="1" applyFont="1" applyFill="1" applyBorder="1" applyAlignment="1">
      <alignment vertical="center"/>
    </xf>
    <xf numFmtId="164" fontId="47" fillId="0" borderId="25" xfId="1" applyNumberFormat="1" applyFont="1" applyFill="1" applyBorder="1" applyAlignment="1">
      <alignment vertical="center"/>
    </xf>
    <xf numFmtId="0" fontId="51" fillId="7" borderId="1" xfId="0" applyFont="1" applyFill="1" applyBorder="1" applyAlignment="1">
      <alignment horizontal="center" vertical="center"/>
    </xf>
    <xf numFmtId="0" fontId="51" fillId="7" borderId="0" xfId="0" applyFont="1" applyFill="1" applyAlignment="1">
      <alignment horizontal="center" vertical="center"/>
    </xf>
    <xf numFmtId="0" fontId="52" fillId="0" borderId="0" xfId="0" applyFont="1" applyAlignment="1">
      <alignment vertical="center"/>
    </xf>
    <xf numFmtId="164" fontId="52" fillId="0" borderId="0" xfId="1" applyNumberFormat="1" applyFont="1" applyAlignment="1">
      <alignment vertical="center"/>
    </xf>
    <xf numFmtId="0" fontId="53" fillId="7" borderId="1" xfId="0" applyFont="1" applyFill="1" applyBorder="1" applyAlignment="1">
      <alignment horizontal="center" vertical="center"/>
    </xf>
    <xf numFmtId="0" fontId="53" fillId="7" borderId="0" xfId="0" applyFont="1" applyFill="1" applyAlignment="1">
      <alignment horizontal="center" vertical="center"/>
    </xf>
    <xf numFmtId="0" fontId="54" fillId="0" borderId="0" xfId="0" applyFont="1" applyAlignment="1">
      <alignment vertical="center"/>
    </xf>
    <xf numFmtId="164" fontId="54" fillId="0" borderId="0" xfId="1" applyNumberFormat="1" applyFont="1" applyAlignment="1">
      <alignment vertical="center"/>
    </xf>
    <xf numFmtId="164" fontId="52" fillId="0" borderId="0" xfId="0" applyNumberFormat="1" applyFont="1" applyAlignment="1">
      <alignment vertical="center"/>
    </xf>
    <xf numFmtId="0" fontId="55" fillId="7" borderId="1" xfId="0" applyFont="1" applyFill="1" applyBorder="1" applyAlignment="1">
      <alignment horizontal="center" vertical="center"/>
    </xf>
    <xf numFmtId="0" fontId="55" fillId="7" borderId="0" xfId="0" applyFont="1" applyFill="1" applyAlignment="1">
      <alignment horizontal="center" vertical="center"/>
    </xf>
    <xf numFmtId="164" fontId="56" fillId="0" borderId="0" xfId="0" applyNumberFormat="1" applyFont="1" applyAlignment="1">
      <alignment vertical="center"/>
    </xf>
    <xf numFmtId="164" fontId="56" fillId="0" borderId="0" xfId="1" applyNumberFormat="1" applyFont="1" applyAlignment="1">
      <alignment vertical="center"/>
    </xf>
    <xf numFmtId="0" fontId="56" fillId="0" borderId="0" xfId="0" applyFont="1" applyAlignment="1">
      <alignment vertical="center"/>
    </xf>
    <xf numFmtId="164" fontId="51" fillId="7" borderId="0" xfId="0" applyNumberFormat="1" applyFont="1" applyFill="1" applyAlignment="1">
      <alignment horizontal="center" vertical="center"/>
    </xf>
    <xf numFmtId="164" fontId="50" fillId="0" borderId="1" xfId="1" applyNumberFormat="1" applyFont="1" applyBorder="1" applyAlignment="1">
      <alignment horizontal="right" vertical="center"/>
    </xf>
    <xf numFmtId="164" fontId="50" fillId="0" borderId="1" xfId="1" applyNumberFormat="1" applyFont="1" applyBorder="1" applyAlignment="1">
      <alignment horizontal="center" vertical="center"/>
    </xf>
    <xf numFmtId="164" fontId="50" fillId="2" borderId="1" xfId="1" applyNumberFormat="1" applyFont="1" applyFill="1" applyBorder="1" applyAlignment="1">
      <alignment horizontal="center" vertical="center"/>
    </xf>
    <xf numFmtId="164" fontId="40" fillId="0" borderId="1" xfId="1" applyNumberFormat="1" applyFont="1" applyBorder="1" applyAlignment="1">
      <alignment vertical="center"/>
    </xf>
    <xf numFmtId="164" fontId="50" fillId="0" borderId="1" xfId="1" applyNumberFormat="1" applyFont="1" applyBorder="1" applyAlignment="1">
      <alignment vertical="center"/>
    </xf>
    <xf numFmtId="164" fontId="49" fillId="0" borderId="1" xfId="1" applyNumberFormat="1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164" fontId="28" fillId="0" borderId="1" xfId="1" applyNumberFormat="1" applyFont="1" applyBorder="1" applyAlignment="1">
      <alignment horizontal="right" vertical="center"/>
    </xf>
    <xf numFmtId="164" fontId="28" fillId="0" borderId="1" xfId="1" applyNumberFormat="1" applyFont="1" applyBorder="1" applyAlignment="1">
      <alignment horizontal="center" vertical="center"/>
    </xf>
    <xf numFmtId="164" fontId="28" fillId="2" borderId="1" xfId="1" applyNumberFormat="1" applyFont="1" applyFill="1" applyBorder="1" applyAlignment="1">
      <alignment horizontal="center" vertical="center"/>
    </xf>
    <xf numFmtId="164" fontId="10" fillId="0" borderId="1" xfId="1" applyNumberFormat="1" applyFont="1" applyBorder="1" applyAlignment="1">
      <alignment vertical="center"/>
    </xf>
    <xf numFmtId="164" fontId="28" fillId="0" borderId="1" xfId="1" applyNumberFormat="1" applyFont="1" applyBorder="1" applyAlignment="1">
      <alignment vertical="center"/>
    </xf>
    <xf numFmtId="164" fontId="29" fillId="0" borderId="1" xfId="1" applyNumberFormat="1" applyFont="1" applyBorder="1" applyAlignment="1">
      <alignment vertical="center"/>
    </xf>
    <xf numFmtId="164" fontId="28" fillId="0" borderId="1" xfId="1" applyNumberFormat="1" applyFont="1" applyFill="1" applyBorder="1" applyAlignment="1">
      <alignment horizontal="center" vertical="center"/>
    </xf>
    <xf numFmtId="164" fontId="10" fillId="0" borderId="1" xfId="0" applyNumberFormat="1" applyFont="1" applyBorder="1" applyAlignment="1">
      <alignment vertical="center"/>
    </xf>
    <xf numFmtId="164" fontId="10" fillId="0" borderId="1" xfId="1" applyNumberFormat="1" applyFont="1" applyBorder="1" applyAlignment="1">
      <alignment horizontal="center" vertical="center"/>
    </xf>
    <xf numFmtId="164" fontId="10" fillId="13" borderId="1" xfId="0" applyNumberFormat="1" applyFont="1" applyFill="1" applyBorder="1" applyAlignment="1">
      <alignment vertical="center"/>
    </xf>
    <xf numFmtId="164" fontId="28" fillId="0" borderId="8" xfId="1" applyNumberFormat="1" applyFont="1" applyFill="1" applyBorder="1" applyAlignment="1">
      <alignment horizontal="center" vertical="center"/>
    </xf>
    <xf numFmtId="164" fontId="10" fillId="0" borderId="8" xfId="1" applyNumberFormat="1" applyFont="1" applyFill="1" applyBorder="1" applyAlignment="1">
      <alignment vertical="center"/>
    </xf>
    <xf numFmtId="164" fontId="28" fillId="0" borderId="8" xfId="1" applyNumberFormat="1" applyFont="1" applyFill="1" applyBorder="1" applyAlignment="1">
      <alignment vertical="center"/>
    </xf>
    <xf numFmtId="164" fontId="29" fillId="0" borderId="8" xfId="1" applyNumberFormat="1" applyFont="1" applyFill="1" applyBorder="1" applyAlignment="1">
      <alignment vertical="center"/>
    </xf>
    <xf numFmtId="164" fontId="10" fillId="9" borderId="8" xfId="0" applyNumberFormat="1" applyFont="1" applyFill="1" applyBorder="1" applyAlignment="1">
      <alignment vertical="center"/>
    </xf>
    <xf numFmtId="164" fontId="28" fillId="2" borderId="8" xfId="1" applyNumberFormat="1" applyFont="1" applyFill="1" applyBorder="1" applyAlignment="1">
      <alignment horizontal="center" vertical="center"/>
    </xf>
    <xf numFmtId="164" fontId="10" fillId="0" borderId="8" xfId="1" applyNumberFormat="1" applyFont="1" applyBorder="1" applyAlignment="1">
      <alignment vertical="center"/>
    </xf>
    <xf numFmtId="164" fontId="29" fillId="0" borderId="8" xfId="1" applyNumberFormat="1" applyFont="1" applyBorder="1" applyAlignment="1">
      <alignment vertical="center"/>
    </xf>
    <xf numFmtId="164" fontId="10" fillId="13" borderId="8" xfId="0" applyNumberFormat="1" applyFont="1" applyFill="1" applyBorder="1" applyAlignment="1">
      <alignment vertical="center"/>
    </xf>
    <xf numFmtId="0" fontId="29" fillId="2" borderId="1" xfId="0" applyFont="1" applyFill="1" applyBorder="1" applyAlignment="1">
      <alignment vertical="center"/>
    </xf>
    <xf numFmtId="164" fontId="29" fillId="0" borderId="1" xfId="1" applyNumberFormat="1" applyFont="1" applyFill="1" applyBorder="1" applyAlignment="1">
      <alignment vertical="center"/>
    </xf>
    <xf numFmtId="164" fontId="50" fillId="0" borderId="1" xfId="1" applyNumberFormat="1" applyFont="1" applyFill="1" applyBorder="1" applyAlignment="1">
      <alignment vertical="center"/>
    </xf>
    <xf numFmtId="164" fontId="50" fillId="0" borderId="1" xfId="1" applyNumberFormat="1" applyFont="1" applyFill="1" applyBorder="1" applyAlignment="1">
      <alignment horizontal="center" vertical="center"/>
    </xf>
    <xf numFmtId="164" fontId="40" fillId="13" borderId="1" xfId="0" applyNumberFormat="1" applyFont="1" applyFill="1" applyBorder="1" applyAlignment="1">
      <alignment vertical="center"/>
    </xf>
    <xf numFmtId="164" fontId="28" fillId="2" borderId="1" xfId="1" applyNumberFormat="1" applyFont="1" applyFill="1" applyBorder="1" applyAlignment="1">
      <alignment vertical="center"/>
    </xf>
    <xf numFmtId="164" fontId="10" fillId="0" borderId="1" xfId="1" applyNumberFormat="1" applyFont="1" applyFill="1" applyBorder="1" applyAlignment="1">
      <alignment vertical="center"/>
    </xf>
    <xf numFmtId="164" fontId="7" fillId="0" borderId="8" xfId="1" applyNumberFormat="1" applyFont="1" applyBorder="1" applyAlignment="1">
      <alignment vertical="center"/>
    </xf>
    <xf numFmtId="164" fontId="28" fillId="0" borderId="1" xfId="1" applyNumberFormat="1" applyFont="1" applyFill="1" applyBorder="1" applyAlignment="1">
      <alignment horizontal="right" vertical="center"/>
    </xf>
    <xf numFmtId="164" fontId="39" fillId="8" borderId="1" xfId="0" applyNumberFormat="1" applyFont="1" applyFill="1" applyBorder="1" applyAlignment="1">
      <alignment vertical="center"/>
    </xf>
    <xf numFmtId="164" fontId="39" fillId="8" borderId="0" xfId="0" applyNumberFormat="1" applyFont="1" applyFill="1"/>
    <xf numFmtId="0" fontId="39" fillId="0" borderId="0" xfId="0" applyFont="1"/>
    <xf numFmtId="164" fontId="39" fillId="0" borderId="0" xfId="1" applyNumberFormat="1" applyFont="1"/>
    <xf numFmtId="164" fontId="38" fillId="7" borderId="1" xfId="0" applyNumberFormat="1" applyFont="1" applyFill="1" applyBorder="1" applyAlignment="1">
      <alignment vertical="center"/>
    </xf>
    <xf numFmtId="164" fontId="58" fillId="0" borderId="1" xfId="0" applyNumberFormat="1" applyFont="1" applyBorder="1" applyAlignment="1">
      <alignment horizontal="right" vertical="center"/>
    </xf>
    <xf numFmtId="0" fontId="28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59" fillId="4" borderId="0" xfId="0" applyFont="1" applyFill="1" applyAlignment="1">
      <alignment vertical="center"/>
    </xf>
    <xf numFmtId="0" fontId="57" fillId="0" borderId="0" xfId="0" applyFont="1"/>
    <xf numFmtId="164" fontId="57" fillId="0" borderId="0" xfId="1" applyNumberFormat="1" applyFont="1"/>
    <xf numFmtId="0" fontId="59" fillId="19" borderId="4" xfId="0" applyFont="1" applyFill="1" applyBorder="1" applyAlignment="1">
      <alignment vertical="center"/>
    </xf>
    <xf numFmtId="0" fontId="59" fillId="19" borderId="23" xfId="0" applyFont="1" applyFill="1" applyBorder="1" applyAlignment="1">
      <alignment vertical="center"/>
    </xf>
    <xf numFmtId="164" fontId="54" fillId="0" borderId="0" xfId="0" applyNumberFormat="1" applyFont="1" applyAlignment="1">
      <alignment vertical="center"/>
    </xf>
    <xf numFmtId="164" fontId="46" fillId="0" borderId="25" xfId="1" applyNumberFormat="1" applyFont="1" applyFill="1" applyBorder="1" applyAlignment="1">
      <alignment wrapText="1"/>
    </xf>
    <xf numFmtId="0" fontId="18" fillId="0" borderId="28" xfId="0" applyFont="1" applyBorder="1" applyAlignment="1">
      <alignment vertical="center"/>
    </xf>
    <xf numFmtId="14" fontId="18" fillId="0" borderId="29" xfId="0" applyNumberFormat="1" applyFont="1" applyBorder="1" applyAlignment="1">
      <alignment vertical="center"/>
    </xf>
    <xf numFmtId="0" fontId="21" fillId="0" borderId="29" xfId="0" applyFont="1" applyBorder="1" applyAlignment="1">
      <alignment vertical="center"/>
    </xf>
    <xf numFmtId="164" fontId="19" fillId="0" borderId="29" xfId="1" applyNumberFormat="1" applyFont="1" applyFill="1" applyBorder="1" applyAlignment="1">
      <alignment vertical="center"/>
    </xf>
    <xf numFmtId="0" fontId="18" fillId="0" borderId="29" xfId="0" applyFont="1" applyBorder="1" applyAlignment="1">
      <alignment vertical="center"/>
    </xf>
    <xf numFmtId="0" fontId="19" fillId="0" borderId="29" xfId="0" applyFont="1" applyBorder="1" applyAlignment="1">
      <alignment horizontal="center" vertical="center"/>
    </xf>
    <xf numFmtId="164" fontId="18" fillId="0" borderId="29" xfId="0" applyNumberFormat="1" applyFont="1" applyBorder="1" applyAlignment="1">
      <alignment horizontal="right" vertical="center"/>
    </xf>
    <xf numFmtId="164" fontId="18" fillId="0" borderId="29" xfId="0" applyNumberFormat="1" applyFont="1" applyBorder="1" applyAlignment="1">
      <alignment vertical="center"/>
    </xf>
    <xf numFmtId="164" fontId="18" fillId="0" borderId="29" xfId="1" applyNumberFormat="1" applyFont="1" applyFill="1" applyBorder="1" applyAlignment="1">
      <alignment vertical="center"/>
    </xf>
    <xf numFmtId="164" fontId="19" fillId="0" borderId="29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0" fontId="18" fillId="0" borderId="23" xfId="0" applyFont="1" applyBorder="1" applyAlignment="1">
      <alignment vertical="center"/>
    </xf>
    <xf numFmtId="164" fontId="40" fillId="0" borderId="1" xfId="0" applyNumberFormat="1" applyFont="1" applyBorder="1" applyAlignment="1">
      <alignment vertical="center"/>
    </xf>
    <xf numFmtId="164" fontId="10" fillId="18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58" fillId="0" borderId="24" xfId="0" applyFont="1" applyBorder="1" applyAlignment="1">
      <alignment vertical="center"/>
    </xf>
    <xf numFmtId="0" fontId="58" fillId="0" borderId="6" xfId="0" applyFont="1" applyBorder="1" applyAlignment="1">
      <alignment vertical="center"/>
    </xf>
    <xf numFmtId="164" fontId="39" fillId="8" borderId="7" xfId="0" applyNumberFormat="1" applyFont="1" applyFill="1" applyBorder="1"/>
    <xf numFmtId="0" fontId="53" fillId="7" borderId="8" xfId="0" applyFont="1" applyFill="1" applyBorder="1" applyAlignment="1">
      <alignment horizontal="center" vertical="center"/>
    </xf>
    <xf numFmtId="0" fontId="36" fillId="0" borderId="0" xfId="0" applyFont="1" applyAlignment="1">
      <alignment horizontal="right" vertical="center"/>
    </xf>
    <xf numFmtId="164" fontId="39" fillId="0" borderId="0" xfId="0" applyNumberFormat="1" applyFont="1" applyAlignment="1">
      <alignment vertical="center"/>
    </xf>
    <xf numFmtId="164" fontId="39" fillId="0" borderId="0" xfId="0" applyNumberFormat="1" applyFont="1"/>
    <xf numFmtId="164" fontId="39" fillId="0" borderId="0" xfId="1" applyNumberFormat="1" applyFont="1" applyFill="1" applyBorder="1"/>
    <xf numFmtId="0" fontId="36" fillId="0" borderId="1" xfId="0" applyFont="1" applyBorder="1" applyAlignment="1">
      <alignment vertical="center"/>
    </xf>
    <xf numFmtId="164" fontId="36" fillId="0" borderId="1" xfId="0" applyNumberFormat="1" applyFont="1" applyBorder="1" applyAlignment="1">
      <alignment vertical="center"/>
    </xf>
    <xf numFmtId="164" fontId="27" fillId="0" borderId="1" xfId="0" applyNumberFormat="1" applyFont="1" applyBorder="1" applyAlignment="1">
      <alignment vertical="center"/>
    </xf>
    <xf numFmtId="164" fontId="29" fillId="0" borderId="1" xfId="0" applyNumberFormat="1" applyFont="1" applyBorder="1" applyAlignment="1">
      <alignment horizontal="right" vertical="center"/>
    </xf>
    <xf numFmtId="164" fontId="10" fillId="8" borderId="1" xfId="0" applyNumberFormat="1" applyFont="1" applyFill="1" applyBorder="1" applyAlignment="1">
      <alignment vertical="center"/>
    </xf>
    <xf numFmtId="164" fontId="7" fillId="7" borderId="1" xfId="0" applyNumberFormat="1" applyFont="1" applyFill="1" applyBorder="1" applyAlignment="1">
      <alignment vertical="center"/>
    </xf>
    <xf numFmtId="164" fontId="8" fillId="7" borderId="1" xfId="0" applyNumberFormat="1" applyFont="1" applyFill="1" applyBorder="1" applyAlignment="1">
      <alignment vertical="center"/>
    </xf>
    <xf numFmtId="164" fontId="18" fillId="0" borderId="1" xfId="1" applyNumberFormat="1" applyFont="1" applyFill="1" applyBorder="1" applyAlignment="1">
      <alignment horizontal="right" vertical="center"/>
    </xf>
    <xf numFmtId="0" fontId="12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vertical="center"/>
    </xf>
    <xf numFmtId="0" fontId="50" fillId="0" borderId="1" xfId="0" applyFont="1" applyBorder="1" applyAlignment="1">
      <alignment vertical="center"/>
    </xf>
    <xf numFmtId="164" fontId="37" fillId="0" borderId="27" xfId="1" applyNumberFormat="1" applyFont="1" applyFill="1" applyBorder="1"/>
    <xf numFmtId="164" fontId="4" fillId="0" borderId="26" xfId="1" applyNumberFormat="1" applyFont="1" applyFill="1" applyBorder="1"/>
    <xf numFmtId="164" fontId="4" fillId="0" borderId="25" xfId="1" applyNumberFormat="1" applyFont="1" applyFill="1" applyBorder="1"/>
    <xf numFmtId="16" fontId="18" fillId="0" borderId="0" xfId="0" applyNumberFormat="1" applyFont="1" applyAlignment="1">
      <alignment vertical="center"/>
    </xf>
    <xf numFmtId="0" fontId="29" fillId="18" borderId="1" xfId="0" applyFont="1" applyFill="1" applyBorder="1" applyAlignment="1">
      <alignment vertical="center"/>
    </xf>
    <xf numFmtId="164" fontId="35" fillId="0" borderId="1" xfId="0" applyNumberFormat="1" applyFont="1" applyBorder="1" applyAlignment="1">
      <alignment vertical="center"/>
    </xf>
    <xf numFmtId="164" fontId="4" fillId="0" borderId="26" xfId="1" applyNumberFormat="1" applyFont="1" applyFill="1" applyBorder="1" applyAlignment="1">
      <alignment wrapText="1"/>
    </xf>
    <xf numFmtId="164" fontId="15" fillId="0" borderId="1" xfId="1" applyNumberFormat="1" applyFont="1" applyBorder="1" applyAlignment="1">
      <alignment vertical="center"/>
    </xf>
    <xf numFmtId="164" fontId="60" fillId="0" borderId="1" xfId="1" applyNumberFormat="1" applyFont="1" applyBorder="1" applyAlignment="1">
      <alignment vertical="center"/>
    </xf>
    <xf numFmtId="164" fontId="60" fillId="0" borderId="1" xfId="1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vertical="center"/>
    </xf>
    <xf numFmtId="164" fontId="60" fillId="0" borderId="1" xfId="1" applyNumberFormat="1" applyFont="1" applyFill="1" applyBorder="1" applyAlignment="1">
      <alignment vertical="center"/>
    </xf>
    <xf numFmtId="164" fontId="28" fillId="0" borderId="1" xfId="1" applyNumberFormat="1" applyFont="1" applyFill="1" applyBorder="1"/>
    <xf numFmtId="0" fontId="61" fillId="0" borderId="1" xfId="0" applyFont="1" applyBorder="1"/>
    <xf numFmtId="164" fontId="10" fillId="0" borderId="0" xfId="0" applyNumberFormat="1" applyFont="1" applyAlignment="1">
      <alignment horizontal="right"/>
    </xf>
    <xf numFmtId="164" fontId="53" fillId="7" borderId="0" xfId="0" applyNumberFormat="1" applyFont="1" applyFill="1" applyAlignment="1">
      <alignment horizontal="center" vertical="center"/>
    </xf>
    <xf numFmtId="164" fontId="35" fillId="13" borderId="1" xfId="0" applyNumberFormat="1" applyFont="1" applyFill="1" applyBorder="1"/>
    <xf numFmtId="164" fontId="50" fillId="10" borderId="1" xfId="1" applyNumberFormat="1" applyFont="1" applyFill="1" applyBorder="1" applyAlignment="1">
      <alignment horizontal="center" vertical="center"/>
    </xf>
    <xf numFmtId="164" fontId="5" fillId="10" borderId="1" xfId="1" applyNumberFormat="1" applyFont="1" applyFill="1" applyBorder="1" applyAlignment="1">
      <alignment horizontal="center"/>
    </xf>
    <xf numFmtId="0" fontId="28" fillId="3" borderId="1" xfId="0" applyFont="1" applyFill="1" applyBorder="1" applyAlignment="1">
      <alignment vertical="center"/>
    </xf>
    <xf numFmtId="0" fontId="29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164" fontId="66" fillId="12" borderId="2" xfId="1" quotePrefix="1" applyNumberFormat="1" applyFont="1" applyFill="1" applyBorder="1" applyAlignment="1">
      <alignment vertical="center" textRotation="90"/>
    </xf>
    <xf numFmtId="164" fontId="46" fillId="0" borderId="31" xfId="1" applyNumberFormat="1" applyFont="1" applyFill="1" applyBorder="1"/>
    <xf numFmtId="164" fontId="46" fillId="0" borderId="31" xfId="1" applyNumberFormat="1" applyFont="1" applyFill="1" applyBorder="1" applyAlignment="1">
      <alignment wrapText="1"/>
    </xf>
    <xf numFmtId="164" fontId="46" fillId="0" borderId="32" xfId="1" applyNumberFormat="1" applyFont="1" applyFill="1" applyBorder="1" applyAlignment="1">
      <alignment vertical="center"/>
    </xf>
    <xf numFmtId="0" fontId="19" fillId="0" borderId="5" xfId="0" applyFont="1" applyBorder="1" applyAlignment="1">
      <alignment vertical="center"/>
    </xf>
    <xf numFmtId="164" fontId="47" fillId="0" borderId="7" xfId="1" applyNumberFormat="1" applyFont="1" applyFill="1" applyBorder="1" applyAlignment="1">
      <alignment horizontal="center" vertical="center"/>
    </xf>
    <xf numFmtId="164" fontId="65" fillId="12" borderId="7" xfId="1" quotePrefix="1" applyNumberFormat="1" applyFont="1" applyFill="1" applyBorder="1" applyAlignment="1">
      <alignment horizontal="center" vertical="center"/>
    </xf>
    <xf numFmtId="164" fontId="65" fillId="0" borderId="1" xfId="1" quotePrefix="1" applyNumberFormat="1" applyFont="1" applyFill="1" applyBorder="1" applyAlignment="1">
      <alignment horizontal="center" vertical="center"/>
    </xf>
    <xf numFmtId="0" fontId="49" fillId="13" borderId="1" xfId="0" applyFont="1" applyFill="1" applyBorder="1" applyAlignment="1">
      <alignment vertical="center"/>
    </xf>
    <xf numFmtId="0" fontId="29" fillId="13" borderId="1" xfId="0" applyFont="1" applyFill="1" applyBorder="1" applyAlignment="1">
      <alignment vertical="center"/>
    </xf>
    <xf numFmtId="0" fontId="7" fillId="13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28" fillId="13" borderId="1" xfId="0" applyFont="1" applyFill="1" applyBorder="1" applyAlignment="1">
      <alignment vertical="center"/>
    </xf>
    <xf numFmtId="0" fontId="49" fillId="0" borderId="1" xfId="0" applyFont="1" applyBorder="1" applyAlignment="1">
      <alignment vertical="center"/>
    </xf>
    <xf numFmtId="0" fontId="51" fillId="7" borderId="5" xfId="0" applyFont="1" applyFill="1" applyBorder="1" applyAlignment="1">
      <alignment horizontal="center" vertical="center"/>
    </xf>
    <xf numFmtId="0" fontId="51" fillId="7" borderId="24" xfId="0" applyFont="1" applyFill="1" applyBorder="1" applyAlignment="1">
      <alignment horizontal="center" vertical="center"/>
    </xf>
    <xf numFmtId="0" fontId="51" fillId="7" borderId="6" xfId="0" applyFont="1" applyFill="1" applyBorder="1" applyAlignment="1">
      <alignment horizontal="center" vertical="center"/>
    </xf>
    <xf numFmtId="0" fontId="53" fillId="7" borderId="5" xfId="0" applyFont="1" applyFill="1" applyBorder="1" applyAlignment="1">
      <alignment horizontal="center" vertical="center"/>
    </xf>
    <xf numFmtId="0" fontId="53" fillId="7" borderId="24" xfId="0" applyFont="1" applyFill="1" applyBorder="1" applyAlignment="1">
      <alignment horizontal="center" vertical="center"/>
    </xf>
    <xf numFmtId="0" fontId="53" fillId="7" borderId="6" xfId="0" applyFont="1" applyFill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0" fontId="36" fillId="0" borderId="6" xfId="0" applyFont="1" applyBorder="1" applyAlignment="1">
      <alignment horizontal="center" vertical="center"/>
    </xf>
    <xf numFmtId="0" fontId="55" fillId="7" borderId="5" xfId="0" applyFont="1" applyFill="1" applyBorder="1" applyAlignment="1">
      <alignment horizontal="center" vertical="center"/>
    </xf>
    <xf numFmtId="0" fontId="55" fillId="7" borderId="24" xfId="0" applyFont="1" applyFill="1" applyBorder="1" applyAlignment="1">
      <alignment horizontal="center" vertical="center"/>
    </xf>
    <xf numFmtId="0" fontId="55" fillId="7" borderId="6" xfId="0" applyFont="1" applyFill="1" applyBorder="1" applyAlignment="1">
      <alignment horizontal="center" vertical="center"/>
    </xf>
    <xf numFmtId="164" fontId="38" fillId="23" borderId="3" xfId="1" applyNumberFormat="1" applyFont="1" applyFill="1" applyBorder="1" applyAlignment="1">
      <alignment horizontal="center"/>
    </xf>
    <xf numFmtId="164" fontId="38" fillId="23" borderId="2" xfId="1" applyNumberFormat="1" applyFont="1" applyFill="1" applyBorder="1" applyAlignment="1">
      <alignment horizontal="center"/>
    </xf>
    <xf numFmtId="0" fontId="59" fillId="19" borderId="2" xfId="0" applyFont="1" applyFill="1" applyBorder="1" applyAlignment="1">
      <alignment horizontal="center" vertical="center"/>
    </xf>
    <xf numFmtId="0" fontId="59" fillId="19" borderId="22" xfId="0" applyFont="1" applyFill="1" applyBorder="1" applyAlignment="1">
      <alignment horizontal="center" vertical="center"/>
    </xf>
    <xf numFmtId="0" fontId="59" fillId="19" borderId="3" xfId="0" applyFont="1" applyFill="1" applyBorder="1" applyAlignment="1">
      <alignment horizontal="right" vertical="center"/>
    </xf>
    <xf numFmtId="0" fontId="59" fillId="19" borderId="2" xfId="0" applyFont="1" applyFill="1" applyBorder="1" applyAlignment="1">
      <alignment horizontal="right" vertical="center"/>
    </xf>
    <xf numFmtId="0" fontId="59" fillId="19" borderId="21" xfId="0" applyFont="1" applyFill="1" applyBorder="1" applyAlignment="1">
      <alignment horizontal="right" vertical="center"/>
    </xf>
    <xf numFmtId="0" fontId="59" fillId="19" borderId="22" xfId="0" applyFont="1" applyFill="1" applyBorder="1" applyAlignment="1">
      <alignment horizontal="right" vertical="center"/>
    </xf>
    <xf numFmtId="0" fontId="58" fillId="0" borderId="5" xfId="0" applyFont="1" applyBorder="1" applyAlignment="1">
      <alignment horizontal="center" vertical="center"/>
    </xf>
    <xf numFmtId="0" fontId="58" fillId="0" borderId="24" xfId="0" applyFont="1" applyBorder="1" applyAlignment="1">
      <alignment horizontal="center" vertical="center"/>
    </xf>
    <xf numFmtId="0" fontId="27" fillId="0" borderId="5" xfId="0" applyFont="1" applyBorder="1" applyAlignment="1">
      <alignment horizontal="right" vertical="center"/>
    </xf>
    <xf numFmtId="0" fontId="27" fillId="0" borderId="24" xfId="0" applyFont="1" applyBorder="1" applyAlignment="1">
      <alignment horizontal="right" vertical="center"/>
    </xf>
    <xf numFmtId="0" fontId="27" fillId="0" borderId="6" xfId="0" applyFont="1" applyBorder="1" applyAlignment="1">
      <alignment horizontal="right" vertical="center"/>
    </xf>
    <xf numFmtId="0" fontId="29" fillId="0" borderId="7" xfId="0" applyFont="1" applyBorder="1" applyAlignment="1">
      <alignment horizontal="center" vertical="center" textRotation="90"/>
    </xf>
    <xf numFmtId="0" fontId="29" fillId="0" borderId="9" xfId="0" applyFont="1" applyBorder="1" applyAlignment="1">
      <alignment horizontal="center" vertical="center" textRotation="90"/>
    </xf>
    <xf numFmtId="0" fontId="29" fillId="0" borderId="8" xfId="0" applyFont="1" applyBorder="1" applyAlignment="1">
      <alignment horizontal="center" vertical="center" textRotation="90"/>
    </xf>
    <xf numFmtId="164" fontId="29" fillId="0" borderId="7" xfId="1" applyNumberFormat="1" applyFont="1" applyFill="1" applyBorder="1" applyAlignment="1">
      <alignment horizontal="center" vertical="center"/>
    </xf>
    <xf numFmtId="164" fontId="29" fillId="0" borderId="9" xfId="1" applyNumberFormat="1" applyFont="1" applyFill="1" applyBorder="1" applyAlignment="1">
      <alignment horizontal="center" vertical="center"/>
    </xf>
    <xf numFmtId="164" fontId="29" fillId="0" borderId="8" xfId="1" applyNumberFormat="1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right" vertical="center"/>
    </xf>
    <xf numFmtId="0" fontId="24" fillId="0" borderId="5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17" fillId="10" borderId="36" xfId="0" applyFont="1" applyFill="1" applyBorder="1" applyAlignment="1">
      <alignment horizontal="center" vertical="center"/>
    </xf>
    <xf numFmtId="0" fontId="17" fillId="10" borderId="2" xfId="0" applyFont="1" applyFill="1" applyBorder="1" applyAlignment="1">
      <alignment horizontal="center" vertical="center"/>
    </xf>
    <xf numFmtId="0" fontId="17" fillId="10" borderId="37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24" fillId="0" borderId="20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17" fillId="9" borderId="10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12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7" fillId="20" borderId="10" xfId="0" applyFont="1" applyFill="1" applyBorder="1" applyAlignment="1">
      <alignment horizontal="center" vertical="center"/>
    </xf>
    <xf numFmtId="0" fontId="17" fillId="20" borderId="11" xfId="0" applyFont="1" applyFill="1" applyBorder="1" applyAlignment="1">
      <alignment horizontal="center" vertical="center"/>
    </xf>
    <xf numFmtId="0" fontId="17" fillId="20" borderId="12" xfId="0" applyFont="1" applyFill="1" applyBorder="1" applyAlignment="1">
      <alignment horizontal="center" vertical="center"/>
    </xf>
    <xf numFmtId="0" fontId="17" fillId="10" borderId="3" xfId="0" applyFont="1" applyFill="1" applyBorder="1" applyAlignment="1">
      <alignment horizontal="center" vertical="center"/>
    </xf>
    <xf numFmtId="0" fontId="17" fillId="10" borderId="4" xfId="0" applyFont="1" applyFill="1" applyBorder="1" applyAlignment="1">
      <alignment horizontal="center" vertical="center"/>
    </xf>
    <xf numFmtId="0" fontId="17" fillId="8" borderId="10" xfId="0" applyFont="1" applyFill="1" applyBorder="1" applyAlignment="1">
      <alignment horizontal="center" vertical="center"/>
    </xf>
    <xf numFmtId="0" fontId="17" fillId="8" borderId="11" xfId="0" applyFont="1" applyFill="1" applyBorder="1" applyAlignment="1">
      <alignment horizontal="center" vertical="center"/>
    </xf>
    <xf numFmtId="0" fontId="17" fillId="8" borderId="12" xfId="0" applyFont="1" applyFill="1" applyBorder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7" fillId="10" borderId="10" xfId="0" applyFont="1" applyFill="1" applyBorder="1" applyAlignment="1">
      <alignment horizontal="center" vertical="center"/>
    </xf>
    <xf numFmtId="0" fontId="17" fillId="10" borderId="11" xfId="0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7" fillId="11" borderId="10" xfId="0" applyFont="1" applyFill="1" applyBorder="1" applyAlignment="1">
      <alignment horizontal="center" vertical="center"/>
    </xf>
    <xf numFmtId="0" fontId="17" fillId="11" borderId="11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12" xfId="0" applyFont="1" applyFill="1" applyBorder="1" applyAlignment="1">
      <alignment horizontal="center" vertical="center"/>
    </xf>
    <xf numFmtId="0" fontId="17" fillId="13" borderId="10" xfId="0" applyFont="1" applyFill="1" applyBorder="1" applyAlignment="1">
      <alignment horizontal="center" vertical="center"/>
    </xf>
    <xf numFmtId="0" fontId="17" fillId="13" borderId="11" xfId="0" applyFont="1" applyFill="1" applyBorder="1" applyAlignment="1">
      <alignment horizontal="center" vertical="center"/>
    </xf>
    <xf numFmtId="0" fontId="17" fillId="13" borderId="12" xfId="0" applyFont="1" applyFill="1" applyBorder="1" applyAlignment="1">
      <alignment horizontal="center" vertical="center"/>
    </xf>
    <xf numFmtId="0" fontId="17" fillId="16" borderId="10" xfId="0" applyFont="1" applyFill="1" applyBorder="1" applyAlignment="1">
      <alignment horizontal="center" vertical="center"/>
    </xf>
    <xf numFmtId="0" fontId="17" fillId="16" borderId="11" xfId="0" applyFont="1" applyFill="1" applyBorder="1" applyAlignment="1">
      <alignment horizontal="center" vertical="center"/>
    </xf>
    <xf numFmtId="0" fontId="17" fillId="16" borderId="12" xfId="0" applyFont="1" applyFill="1" applyBorder="1" applyAlignment="1">
      <alignment horizontal="center" vertical="center"/>
    </xf>
    <xf numFmtId="0" fontId="17" fillId="15" borderId="10" xfId="0" applyFont="1" applyFill="1" applyBorder="1" applyAlignment="1">
      <alignment horizontal="center" vertical="center"/>
    </xf>
    <xf numFmtId="0" fontId="17" fillId="15" borderId="11" xfId="0" applyFont="1" applyFill="1" applyBorder="1" applyAlignment="1">
      <alignment horizontal="center" vertical="center"/>
    </xf>
    <xf numFmtId="0" fontId="17" fillId="15" borderId="12" xfId="0" applyFont="1" applyFill="1" applyBorder="1" applyAlignment="1">
      <alignment horizontal="center" vertical="center"/>
    </xf>
    <xf numFmtId="0" fontId="17" fillId="8" borderId="14" xfId="0" applyFont="1" applyFill="1" applyBorder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8" borderId="15" xfId="0" applyFont="1" applyFill="1" applyBorder="1" applyAlignment="1">
      <alignment horizontal="center" vertical="center"/>
    </xf>
    <xf numFmtId="0" fontId="17" fillId="9" borderId="3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17" fillId="14" borderId="10" xfId="0" applyFont="1" applyFill="1" applyBorder="1" applyAlignment="1">
      <alignment horizontal="center" vertical="center"/>
    </xf>
    <xf numFmtId="0" fontId="17" fillId="14" borderId="11" xfId="0" applyFont="1" applyFill="1" applyBorder="1" applyAlignment="1">
      <alignment horizontal="center" vertical="center"/>
    </xf>
    <xf numFmtId="0" fontId="17" fillId="14" borderId="12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164" fontId="9" fillId="0" borderId="0" xfId="1" applyNumberFormat="1" applyFont="1" applyFill="1" applyBorder="1" applyAlignment="1">
      <alignment horizontal="right" vertical="top"/>
    </xf>
    <xf numFmtId="0" fontId="17" fillId="17" borderId="10" xfId="0" applyFont="1" applyFill="1" applyBorder="1" applyAlignment="1">
      <alignment horizontal="center" vertical="center"/>
    </xf>
    <xf numFmtId="0" fontId="17" fillId="17" borderId="11" xfId="0" applyFont="1" applyFill="1" applyBorder="1" applyAlignment="1">
      <alignment horizontal="center" vertical="center"/>
    </xf>
    <xf numFmtId="0" fontId="17" fillId="17" borderId="12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/>
    </xf>
    <xf numFmtId="164" fontId="66" fillId="0" borderId="30" xfId="1" quotePrefix="1" applyNumberFormat="1" applyFont="1" applyFill="1" applyBorder="1" applyAlignment="1">
      <alignment horizontal="center" vertical="center" textRotation="90"/>
    </xf>
    <xf numFmtId="164" fontId="66" fillId="0" borderId="30" xfId="1" applyNumberFormat="1" applyFont="1" applyFill="1" applyBorder="1" applyAlignment="1">
      <alignment horizontal="center" vertical="center" textRotation="90"/>
    </xf>
    <xf numFmtId="164" fontId="66" fillId="0" borderId="26" xfId="1" applyNumberFormat="1" applyFont="1" applyFill="1" applyBorder="1" applyAlignment="1">
      <alignment horizontal="center" vertical="center" textRotation="90"/>
    </xf>
    <xf numFmtId="164" fontId="66" fillId="0" borderId="1" xfId="1" quotePrefix="1" applyNumberFormat="1" applyFont="1" applyFill="1" applyBorder="1" applyAlignment="1">
      <alignment horizontal="center" vertical="center" textRotation="90"/>
    </xf>
    <xf numFmtId="164" fontId="47" fillId="0" borderId="33" xfId="1" quotePrefix="1" applyNumberFormat="1" applyFont="1" applyFill="1" applyBorder="1" applyAlignment="1">
      <alignment horizontal="center" vertical="center" textRotation="90"/>
    </xf>
    <xf numFmtId="164" fontId="47" fillId="0" borderId="34" xfId="1" quotePrefix="1" applyNumberFormat="1" applyFont="1" applyFill="1" applyBorder="1" applyAlignment="1">
      <alignment horizontal="center" vertical="center" textRotation="90"/>
    </xf>
    <xf numFmtId="164" fontId="47" fillId="0" borderId="35" xfId="1" quotePrefix="1" applyNumberFormat="1" applyFont="1" applyFill="1" applyBorder="1" applyAlignment="1">
      <alignment horizontal="center" vertical="center" textRotation="90"/>
    </xf>
    <xf numFmtId="17" fontId="8" fillId="0" borderId="2" xfId="0" applyNumberFormat="1" applyFont="1" applyBorder="1" applyAlignment="1">
      <alignment horizontal="center" vertical="center"/>
    </xf>
    <xf numFmtId="17" fontId="8" fillId="0" borderId="0" xfId="0" applyNumberFormat="1" applyFont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285751</xdr:colOff>
      <xdr:row>2</xdr:row>
      <xdr:rowOff>1248833</xdr:rowOff>
    </xdr:from>
    <xdr:to>
      <xdr:col>23</xdr:col>
      <xdr:colOff>190500</xdr:colOff>
      <xdr:row>3</xdr:row>
      <xdr:rowOff>10583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23</xdr:col>
      <xdr:colOff>374651</xdr:colOff>
      <xdr:row>2</xdr:row>
      <xdr:rowOff>670983</xdr:rowOff>
    </xdr:from>
    <xdr:to>
      <xdr:col>26</xdr:col>
      <xdr:colOff>423334</xdr:colOff>
      <xdr:row>2</xdr:row>
      <xdr:rowOff>1104900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etty%20Cash%20calculation.xlsx" TargetMode="External"/><Relationship Id="rId1" Type="http://schemas.openxmlformats.org/officeDocument/2006/relationships/externalLinkPath" Target="/Pioneer/Petty%20Cash%20calc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sh"/>
      <sheetName val="staff"/>
      <sheetName val="Nadeem bhai"/>
      <sheetName val="cb"/>
      <sheetName val="Bilal bhai"/>
      <sheetName val="Cash Book (DIB)"/>
      <sheetName val="Cash Book (MCB)"/>
      <sheetName val="PES MCB"/>
      <sheetName val="Cash Book"/>
      <sheetName val="Petty cash (old)"/>
      <sheetName val="Absentees"/>
    </sheetNames>
    <sheetDataSet>
      <sheetData sheetId="0">
        <row r="5948">
          <cell r="I5948">
            <v>976968.41666666674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35"/>
  <sheetViews>
    <sheetView view="pageBreakPreview" zoomScaleNormal="90" zoomScaleSheetLayoutView="100" workbookViewId="0">
      <pane ySplit="3" topLeftCell="A22" activePane="bottomLeft" state="frozen"/>
      <selection pane="bottomLeft" activeCell="Q27" sqref="Q27"/>
    </sheetView>
  </sheetViews>
  <sheetFormatPr defaultRowHeight="12.75" x14ac:dyDescent="0.2"/>
  <cols>
    <col min="1" max="1" width="3.140625" style="284" customWidth="1"/>
    <col min="2" max="2" width="20.7109375" style="1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7.7109375" style="2" customWidth="1"/>
    <col min="9" max="9" width="11.85546875" style="2" customWidth="1"/>
    <col min="10" max="10" width="11.28515625" style="2" customWidth="1"/>
    <col min="11" max="12" width="12" style="2" customWidth="1"/>
    <col min="13" max="13" width="10" style="2" customWidth="1"/>
    <col min="14" max="14" width="11" style="3" customWidth="1"/>
    <col min="15" max="15" width="10.85546875" style="2" customWidth="1"/>
    <col min="16" max="16" width="11.5703125" style="3" customWidth="1"/>
    <col min="17" max="17" width="17" customWidth="1"/>
    <col min="18" max="19" width="14.7109375" hidden="1" customWidth="1"/>
    <col min="20" max="20" width="18.28515625" style="14" customWidth="1"/>
    <col min="21" max="21" width="19.5703125" bestFit="1" customWidth="1"/>
    <col min="22" max="22" width="17.42578125" style="2" customWidth="1"/>
    <col min="23" max="23" width="16.140625" bestFit="1" customWidth="1"/>
    <col min="24" max="24" width="13.140625" bestFit="1" customWidth="1"/>
    <col min="25" max="25" width="9.85546875" bestFit="1" customWidth="1"/>
    <col min="26" max="26" width="11.5703125" bestFit="1" customWidth="1"/>
  </cols>
  <sheetData>
    <row r="1" spans="1:22" s="286" customFormat="1" ht="12.75" customHeight="1" x14ac:dyDescent="0.4">
      <c r="A1" s="377" t="s">
        <v>82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5" t="str">
        <f>'Salary Record'!J1</f>
        <v>April</v>
      </c>
      <c r="O1" s="375"/>
      <c r="P1" s="375">
        <f>'Salary Record'!K1</f>
        <v>2023</v>
      </c>
      <c r="Q1" s="288"/>
      <c r="R1" s="285"/>
      <c r="S1" s="285"/>
      <c r="T1" s="285"/>
      <c r="V1" s="287"/>
    </row>
    <row r="2" spans="1:22" s="286" customFormat="1" ht="15.6" customHeight="1" x14ac:dyDescent="0.4">
      <c r="A2" s="379"/>
      <c r="B2" s="380"/>
      <c r="C2" s="380"/>
      <c r="D2" s="380"/>
      <c r="E2" s="380"/>
      <c r="F2" s="380"/>
      <c r="G2" s="380"/>
      <c r="H2" s="380"/>
      <c r="I2" s="380"/>
      <c r="J2" s="380"/>
      <c r="K2" s="380"/>
      <c r="L2" s="380"/>
      <c r="M2" s="380"/>
      <c r="N2" s="376"/>
      <c r="O2" s="376"/>
      <c r="P2" s="376"/>
      <c r="Q2" s="289"/>
      <c r="R2" s="285"/>
      <c r="S2" s="285"/>
      <c r="T2" s="285"/>
      <c r="V2" s="287"/>
    </row>
    <row r="3" spans="1:22" ht="39.75" customHeight="1" x14ac:dyDescent="0.2">
      <c r="A3" s="6"/>
      <c r="B3" s="323"/>
      <c r="C3" s="7"/>
      <c r="D3" s="7"/>
      <c r="E3" s="25" t="s">
        <v>30</v>
      </c>
      <c r="F3" s="27" t="s">
        <v>38</v>
      </c>
      <c r="G3" s="25" t="s">
        <v>39</v>
      </c>
      <c r="H3" s="25" t="s">
        <v>26</v>
      </c>
      <c r="I3" s="25" t="s">
        <v>27</v>
      </c>
      <c r="J3" s="25" t="s">
        <v>28</v>
      </c>
      <c r="K3" s="25" t="s">
        <v>29</v>
      </c>
      <c r="L3" s="25" t="s">
        <v>17</v>
      </c>
      <c r="M3" s="25" t="s">
        <v>21</v>
      </c>
      <c r="N3" s="25" t="s">
        <v>20</v>
      </c>
      <c r="O3" s="26" t="s">
        <v>22</v>
      </c>
      <c r="P3" s="25" t="s">
        <v>23</v>
      </c>
      <c r="Q3" s="25" t="s">
        <v>64</v>
      </c>
      <c r="R3" s="25" t="s">
        <v>111</v>
      </c>
      <c r="S3" s="25" t="s">
        <v>64</v>
      </c>
      <c r="T3" s="129"/>
    </row>
    <row r="4" spans="1:22" s="180" customFormat="1" ht="15.75" x14ac:dyDescent="0.2">
      <c r="A4" s="278">
        <v>1</v>
      </c>
      <c r="B4" s="243" t="s">
        <v>10</v>
      </c>
      <c r="C4" s="263"/>
      <c r="D4" s="212">
        <f>E4</f>
        <v>0</v>
      </c>
      <c r="E4" s="246">
        <v>0</v>
      </c>
      <c r="F4" s="178"/>
      <c r="G4" s="246"/>
      <c r="H4" s="246"/>
      <c r="I4" s="246"/>
      <c r="J4" s="246"/>
      <c r="K4" s="246"/>
      <c r="L4" s="248"/>
      <c r="M4" s="248"/>
      <c r="N4" s="249"/>
      <c r="O4" s="248"/>
      <c r="P4" s="249"/>
      <c r="Q4" s="253"/>
      <c r="R4" s="143">
        <v>0</v>
      </c>
      <c r="S4" s="143"/>
      <c r="T4" s="179"/>
      <c r="V4" s="181"/>
    </row>
    <row r="5" spans="1:22" s="180" customFormat="1" ht="15.75" x14ac:dyDescent="0.2">
      <c r="A5" s="279">
        <v>2</v>
      </c>
      <c r="B5" s="243" t="s">
        <v>3</v>
      </c>
      <c r="C5" s="243"/>
      <c r="D5" s="200">
        <f>E5</f>
        <v>0</v>
      </c>
      <c r="E5" s="250">
        <v>0</v>
      </c>
      <c r="F5" s="250"/>
      <c r="G5" s="250"/>
      <c r="H5" s="250"/>
      <c r="I5" s="250"/>
      <c r="J5" s="250"/>
      <c r="K5" s="250"/>
      <c r="L5" s="110"/>
      <c r="M5" s="110"/>
      <c r="N5" s="264"/>
      <c r="O5" s="110"/>
      <c r="P5" s="264"/>
      <c r="Q5" s="251"/>
      <c r="R5" s="143">
        <v>0</v>
      </c>
      <c r="S5" s="143"/>
      <c r="T5" s="179"/>
      <c r="V5" s="181"/>
    </row>
    <row r="6" spans="1:22" ht="23.25" x14ac:dyDescent="0.25">
      <c r="A6" s="362" t="s">
        <v>91</v>
      </c>
      <c r="B6" s="363"/>
      <c r="C6" s="363"/>
      <c r="D6" s="363"/>
      <c r="E6" s="363"/>
      <c r="F6" s="363"/>
      <c r="G6" s="363"/>
      <c r="H6" s="363"/>
      <c r="I6" s="363"/>
      <c r="J6" s="363"/>
      <c r="K6" s="363"/>
      <c r="L6" s="363"/>
      <c r="M6" s="363"/>
      <c r="N6" s="363"/>
      <c r="O6" s="363"/>
      <c r="P6" s="363"/>
      <c r="Q6" s="364"/>
      <c r="R6" s="141"/>
      <c r="S6" s="141"/>
      <c r="T6" s="131"/>
    </row>
    <row r="7" spans="1:22" s="180" customFormat="1" ht="15.75" x14ac:dyDescent="0.2">
      <c r="A7" s="278">
        <v>1</v>
      </c>
      <c r="B7" s="243" t="s">
        <v>19</v>
      </c>
      <c r="C7" s="386" t="s">
        <v>37</v>
      </c>
      <c r="D7" s="389">
        <f>SUM(Q7:Q10)</f>
        <v>0</v>
      </c>
      <c r="E7" s="110">
        <v>20000</v>
      </c>
      <c r="F7" s="110"/>
      <c r="G7" s="250"/>
      <c r="H7" s="110"/>
      <c r="I7" s="110"/>
      <c r="J7" s="110"/>
      <c r="K7" s="110"/>
      <c r="L7" s="248"/>
      <c r="M7" s="248"/>
      <c r="N7" s="249"/>
      <c r="O7" s="248"/>
      <c r="P7" s="249"/>
      <c r="Q7" s="253">
        <v>0</v>
      </c>
      <c r="R7" s="143"/>
      <c r="S7" s="143"/>
      <c r="T7" s="179"/>
      <c r="U7" s="179"/>
      <c r="V7" s="181"/>
    </row>
    <row r="8" spans="1:22" s="180" customFormat="1" ht="15.75" x14ac:dyDescent="0.2">
      <c r="A8" s="279">
        <v>2</v>
      </c>
      <c r="B8" s="243" t="s">
        <v>173</v>
      </c>
      <c r="C8" s="387"/>
      <c r="D8" s="390"/>
      <c r="E8" s="110">
        <v>25000</v>
      </c>
      <c r="F8" s="110"/>
      <c r="G8" s="250"/>
      <c r="H8" s="110"/>
      <c r="I8" s="110"/>
      <c r="J8" s="110"/>
      <c r="K8" s="110"/>
      <c r="L8" s="248"/>
      <c r="M8" s="248"/>
      <c r="N8" s="249"/>
      <c r="O8" s="248"/>
      <c r="P8" s="249"/>
      <c r="Q8" s="253">
        <v>0</v>
      </c>
      <c r="R8" s="143"/>
      <c r="S8" s="143"/>
      <c r="T8" s="179"/>
      <c r="U8" s="179"/>
      <c r="V8" s="181"/>
    </row>
    <row r="9" spans="1:22" s="180" customFormat="1" ht="15.75" x14ac:dyDescent="0.2">
      <c r="A9" s="278">
        <v>3</v>
      </c>
      <c r="B9" s="243" t="s">
        <v>31</v>
      </c>
      <c r="C9" s="387"/>
      <c r="D9" s="390"/>
      <c r="E9" s="110">
        <v>20000</v>
      </c>
      <c r="F9" s="110"/>
      <c r="G9" s="250"/>
      <c r="H9" s="110"/>
      <c r="I9" s="110"/>
      <c r="J9" s="110"/>
      <c r="K9" s="110"/>
      <c r="L9" s="248"/>
      <c r="M9" s="248"/>
      <c r="N9" s="249"/>
      <c r="O9" s="248"/>
      <c r="P9" s="249"/>
      <c r="Q9" s="253">
        <v>0</v>
      </c>
      <c r="R9" s="143"/>
      <c r="S9" s="143"/>
      <c r="T9" s="179"/>
      <c r="V9" s="181"/>
    </row>
    <row r="10" spans="1:22" s="180" customFormat="1" ht="15.75" x14ac:dyDescent="0.2">
      <c r="A10" s="279">
        <v>4</v>
      </c>
      <c r="B10" s="243" t="s">
        <v>8</v>
      </c>
      <c r="C10" s="388"/>
      <c r="D10" s="391"/>
      <c r="E10" s="110">
        <v>15000</v>
      </c>
      <c r="F10" s="110"/>
      <c r="G10" s="250"/>
      <c r="H10" s="110"/>
      <c r="I10" s="110"/>
      <c r="J10" s="110"/>
      <c r="K10" s="110"/>
      <c r="L10" s="248"/>
      <c r="M10" s="248"/>
      <c r="N10" s="249"/>
      <c r="O10" s="248"/>
      <c r="P10" s="249"/>
      <c r="Q10" s="253">
        <v>0</v>
      </c>
      <c r="R10" s="143"/>
      <c r="S10" s="143"/>
      <c r="T10" s="179"/>
      <c r="V10" s="182"/>
    </row>
    <row r="11" spans="1:22" s="274" customFormat="1" ht="21" x14ac:dyDescent="0.3">
      <c r="A11" s="368" t="s">
        <v>2</v>
      </c>
      <c r="B11" s="369"/>
      <c r="C11" s="315"/>
      <c r="D11" s="315"/>
      <c r="E11" s="317">
        <f>SUM(E7:E10)</f>
        <v>80000</v>
      </c>
      <c r="F11" s="315"/>
      <c r="G11" s="315"/>
      <c r="H11" s="315"/>
      <c r="I11" s="315"/>
      <c r="J11" s="315"/>
      <c r="K11" s="315"/>
      <c r="L11" s="315"/>
      <c r="M11" s="315"/>
      <c r="N11" s="315"/>
      <c r="O11" s="315"/>
      <c r="P11" s="315"/>
      <c r="Q11" s="272">
        <f>SUM(Q7:Q10)</f>
        <v>0</v>
      </c>
      <c r="R11" s="309">
        <f t="shared" ref="R11:S11" si="0">SUM(R7:R10)</f>
        <v>0</v>
      </c>
      <c r="S11" s="309">
        <f t="shared" si="0"/>
        <v>0</v>
      </c>
      <c r="T11" s="273"/>
      <c r="V11" s="275"/>
    </row>
    <row r="12" spans="1:22" s="274" customFormat="1" ht="21" x14ac:dyDescent="0.3">
      <c r="A12" s="311"/>
      <c r="B12" s="311"/>
      <c r="C12" s="311"/>
      <c r="D12" s="311"/>
      <c r="E12" s="311"/>
      <c r="F12" s="311"/>
      <c r="G12" s="311"/>
      <c r="H12" s="311"/>
      <c r="I12" s="311"/>
      <c r="J12" s="311"/>
      <c r="K12" s="311"/>
      <c r="L12" s="311"/>
      <c r="M12" s="311"/>
      <c r="N12" s="311"/>
      <c r="O12" s="311"/>
      <c r="P12" s="311"/>
      <c r="Q12" s="312"/>
      <c r="R12" s="313"/>
      <c r="S12" s="313"/>
      <c r="T12" s="313"/>
      <c r="V12" s="314"/>
    </row>
    <row r="13" spans="1:22" s="228" customFormat="1" ht="21" customHeight="1" x14ac:dyDescent="0.2">
      <c r="A13" s="365" t="s">
        <v>92</v>
      </c>
      <c r="B13" s="366"/>
      <c r="C13" s="366"/>
      <c r="D13" s="366"/>
      <c r="E13" s="366"/>
      <c r="F13" s="366"/>
      <c r="G13" s="366"/>
      <c r="H13" s="366"/>
      <c r="I13" s="366"/>
      <c r="J13" s="366"/>
      <c r="K13" s="366"/>
      <c r="L13" s="366"/>
      <c r="M13" s="366"/>
      <c r="N13" s="366"/>
      <c r="O13" s="366"/>
      <c r="P13" s="366"/>
      <c r="Q13" s="367"/>
      <c r="R13" s="310"/>
      <c r="S13" s="310"/>
      <c r="T13" s="227"/>
      <c r="V13" s="229"/>
    </row>
    <row r="14" spans="1:22" s="180" customFormat="1" ht="15.75" x14ac:dyDescent="0.2">
      <c r="A14" s="279">
        <v>1</v>
      </c>
      <c r="B14" s="357" t="str">
        <f>'Salary Record'!C75</f>
        <v>Ashraf Bhai</v>
      </c>
      <c r="C14" s="183"/>
      <c r="D14" s="184"/>
      <c r="E14" s="110">
        <f>'Salary Record'!K74</f>
        <v>65000</v>
      </c>
      <c r="F14" s="110">
        <f>'Salary Record'!C80</f>
        <v>30</v>
      </c>
      <c r="G14" s="250">
        <f>'Salary Record'!C81</f>
        <v>0</v>
      </c>
      <c r="H14" s="110">
        <f>'Salary Record'!I79</f>
        <v>0</v>
      </c>
      <c r="I14" s="110">
        <f>'Salary Record'!I78</f>
        <v>30</v>
      </c>
      <c r="J14" s="254">
        <f>'Salary Record'!K79</f>
        <v>0</v>
      </c>
      <c r="K14" s="254">
        <f>'Salary Record'!K80</f>
        <v>64999.999999999993</v>
      </c>
      <c r="L14" s="255">
        <f>'Salary Record'!G78</f>
        <v>20000</v>
      </c>
      <c r="M14" s="256">
        <f>'Salary Record'!G79</f>
        <v>0</v>
      </c>
      <c r="N14" s="257">
        <f>'Salary Record'!G80</f>
        <v>20000</v>
      </c>
      <c r="O14" s="256">
        <f>'Salary Record'!G81</f>
        <v>0</v>
      </c>
      <c r="P14" s="257">
        <f>'Salary Record'!G82</f>
        <v>20000</v>
      </c>
      <c r="Q14" s="258">
        <f>'Salary Record'!K82</f>
        <v>64999.999999999993</v>
      </c>
      <c r="R14" s="143">
        <v>22000</v>
      </c>
      <c r="S14" s="143">
        <f>Q14-R14</f>
        <v>42999.999999999993</v>
      </c>
      <c r="T14" s="179"/>
      <c r="U14" s="179"/>
      <c r="V14" s="187"/>
    </row>
    <row r="15" spans="1:22" s="180" customFormat="1" ht="15.75" x14ac:dyDescent="0.2">
      <c r="A15" s="279">
        <v>2</v>
      </c>
      <c r="B15" s="243" t="s">
        <v>15</v>
      </c>
      <c r="C15" s="183"/>
      <c r="D15" s="184"/>
      <c r="E15" s="110">
        <f>'Salary Record'!K58</f>
        <v>45000</v>
      </c>
      <c r="F15" s="110">
        <f>'Salary Record'!C64</f>
        <v>25</v>
      </c>
      <c r="G15" s="250">
        <f>'Salary Record'!C65</f>
        <v>5</v>
      </c>
      <c r="H15" s="110">
        <f>'Salary Record'!I63</f>
        <v>0</v>
      </c>
      <c r="I15" s="110">
        <f>'Salary Record'!I62</f>
        <v>30</v>
      </c>
      <c r="J15" s="246">
        <f>'Salary Record'!K63</f>
        <v>0</v>
      </c>
      <c r="K15" s="110">
        <f>'Salary Record'!K64</f>
        <v>45000</v>
      </c>
      <c r="L15" s="247">
        <f>'Salary Record'!G62</f>
        <v>0</v>
      </c>
      <c r="M15" s="247">
        <f>'Salary Record'!G63</f>
        <v>0</v>
      </c>
      <c r="N15" s="247">
        <f>'Salary Record'!G64</f>
        <v>0</v>
      </c>
      <c r="O15" s="247">
        <f>'Salary Record'!G65</f>
        <v>0</v>
      </c>
      <c r="P15" s="247">
        <f>'Salary Record'!G66</f>
        <v>0</v>
      </c>
      <c r="Q15" s="253">
        <f>'Salary Record'!K66</f>
        <v>45000</v>
      </c>
      <c r="R15" s="143"/>
      <c r="S15" s="143"/>
      <c r="T15" s="179"/>
      <c r="U15" s="179"/>
      <c r="V15" s="181"/>
    </row>
    <row r="16" spans="1:22" s="180" customFormat="1" ht="21" customHeight="1" x14ac:dyDescent="0.2">
      <c r="A16" s="278">
        <v>3</v>
      </c>
      <c r="B16" s="243" t="s">
        <v>18</v>
      </c>
      <c r="C16" s="185" t="s">
        <v>35</v>
      </c>
      <c r="D16" s="186">
        <f>SUM(Q16:Q45)</f>
        <v>1474133.3333333335</v>
      </c>
      <c r="E16" s="110">
        <f>'Salary Record'!K9</f>
        <v>60000</v>
      </c>
      <c r="F16" s="110">
        <f>'Salary Record'!C15</f>
        <v>30</v>
      </c>
      <c r="G16" s="110">
        <f>'Salary Record'!C16</f>
        <v>0</v>
      </c>
      <c r="H16" s="246">
        <f>'Salary Record'!I14</f>
        <v>0</v>
      </c>
      <c r="I16" s="110">
        <f>'Salary Record'!I13</f>
        <v>30</v>
      </c>
      <c r="J16" s="246">
        <f>'Salary Record'!K14</f>
        <v>0</v>
      </c>
      <c r="K16" s="110">
        <f>'Salary Record'!K15</f>
        <v>60000</v>
      </c>
      <c r="L16" s="247">
        <f>'Salary Record'!U9</f>
        <v>0</v>
      </c>
      <c r="M16" s="248">
        <f>'Salary Record'!V9</f>
        <v>0</v>
      </c>
      <c r="N16" s="249">
        <f>'Salary Record'!W9</f>
        <v>0</v>
      </c>
      <c r="O16" s="249">
        <f>'Salary Record'!X9</f>
        <v>0</v>
      </c>
      <c r="P16" s="249">
        <f>'Salary Record'!Y9</f>
        <v>0</v>
      </c>
      <c r="Q16" s="253">
        <f>'Salary Record'!K17</f>
        <v>60000</v>
      </c>
      <c r="R16" s="143"/>
      <c r="S16" s="143"/>
      <c r="T16" s="179"/>
      <c r="U16" s="179"/>
      <c r="V16" s="181"/>
    </row>
    <row r="17" spans="1:24" s="180" customFormat="1" ht="21" customHeight="1" x14ac:dyDescent="0.2">
      <c r="A17" s="279">
        <v>4</v>
      </c>
      <c r="B17" s="306" t="str">
        <f>'Salary Record'!C124</f>
        <v>Ahsan Khan</v>
      </c>
      <c r="C17" s="199"/>
      <c r="D17" s="200"/>
      <c r="E17" s="247">
        <f>'Salary Record'!K123</f>
        <v>38000</v>
      </c>
      <c r="F17" s="247">
        <f>'Salary Record'!C129</f>
        <v>29</v>
      </c>
      <c r="G17" s="252">
        <f>'Salary Record'!C130</f>
        <v>1</v>
      </c>
      <c r="H17" s="247">
        <f>'Salary Record'!I128</f>
        <v>0</v>
      </c>
      <c r="I17" s="247">
        <f>'Salary Record'!I127</f>
        <v>29</v>
      </c>
      <c r="J17" s="246">
        <f>'Salary Record'!K128</f>
        <v>0</v>
      </c>
      <c r="K17" s="246">
        <f>'Salary Record'!K129</f>
        <v>36733.333333333336</v>
      </c>
      <c r="L17" s="247">
        <f>'Salary Record'!G127</f>
        <v>35000</v>
      </c>
      <c r="M17" s="247">
        <f>'Salary Record'!G128</f>
        <v>0</v>
      </c>
      <c r="N17" s="249">
        <f>'Salary Record'!G129</f>
        <v>35000</v>
      </c>
      <c r="O17" s="247">
        <f>'Salary Record'!G130</f>
        <v>0</v>
      </c>
      <c r="P17" s="249">
        <f>'Salary Record'!G131</f>
        <v>35000</v>
      </c>
      <c r="Q17" s="253">
        <f>'Salary Record'!K131</f>
        <v>36733.333333333336</v>
      </c>
      <c r="R17" s="208"/>
      <c r="S17" s="143"/>
      <c r="T17" s="179"/>
      <c r="V17" s="181"/>
      <c r="W17" s="179"/>
    </row>
    <row r="18" spans="1:24" s="180" customFormat="1" ht="15.75" x14ac:dyDescent="0.2">
      <c r="A18" s="279">
        <v>5</v>
      </c>
      <c r="B18" s="243" t="str">
        <f>'Salary Record'!C26</f>
        <v>Mossi</v>
      </c>
      <c r="C18" s="188"/>
      <c r="D18" s="189"/>
      <c r="E18" s="110">
        <f>'Salary Record'!K25</f>
        <v>5000</v>
      </c>
      <c r="F18" s="110">
        <f>'Salary Record'!C31</f>
        <v>0</v>
      </c>
      <c r="G18" s="250">
        <f>'Salary Record'!C32</f>
        <v>0</v>
      </c>
      <c r="H18" s="110"/>
      <c r="I18" s="110">
        <f>'Salary Record'!I29</f>
        <v>0</v>
      </c>
      <c r="J18" s="110"/>
      <c r="K18" s="110">
        <f>'Salary Record'!K31</f>
        <v>5000</v>
      </c>
      <c r="L18" s="248">
        <f>'Salary Record'!G29</f>
        <v>0</v>
      </c>
      <c r="M18" s="248">
        <f>'Salary Record'!G30</f>
        <v>0</v>
      </c>
      <c r="N18" s="249">
        <f>'Salary Record'!G31</f>
        <v>0</v>
      </c>
      <c r="O18" s="248">
        <f>'Salary Record'!G32</f>
        <v>0</v>
      </c>
      <c r="P18" s="249">
        <f>'Salary Record'!G33</f>
        <v>0</v>
      </c>
      <c r="Q18" s="253">
        <f>'Salary Record'!K33</f>
        <v>5000</v>
      </c>
      <c r="R18" s="143"/>
      <c r="S18" s="143"/>
      <c r="T18" s="179"/>
      <c r="V18" s="181"/>
    </row>
    <row r="19" spans="1:24" s="180" customFormat="1" ht="15.75" x14ac:dyDescent="0.2">
      <c r="A19" s="278">
        <v>6</v>
      </c>
      <c r="B19" s="243" t="str">
        <f>'Salary Record'!C42</f>
        <v>Umer Farooq</v>
      </c>
      <c r="C19" s="183"/>
      <c r="D19" s="184"/>
      <c r="E19" s="110">
        <f>'Salary Record'!K41</f>
        <v>18000</v>
      </c>
      <c r="F19" s="110">
        <f>'Salary Record'!C47</f>
        <v>0</v>
      </c>
      <c r="G19" s="250">
        <f>'Salary Record'!C48</f>
        <v>0</v>
      </c>
      <c r="H19" s="110">
        <f>'Salary Record'!I46</f>
        <v>0</v>
      </c>
      <c r="I19" s="110">
        <f>'Salary Record'!I45</f>
        <v>30</v>
      </c>
      <c r="J19" s="259">
        <f>'Salary Record'!K46</f>
        <v>0</v>
      </c>
      <c r="K19" s="259">
        <f>'Salary Record'!K47</f>
        <v>18000</v>
      </c>
      <c r="L19" s="260">
        <f>'Salary Record'!G45</f>
        <v>8000</v>
      </c>
      <c r="M19" s="260">
        <f>'Salary Record'!G46</f>
        <v>0</v>
      </c>
      <c r="N19" s="261">
        <f>'Salary Record'!G47</f>
        <v>8000</v>
      </c>
      <c r="O19" s="260">
        <f>'Salary Record'!G48</f>
        <v>3000</v>
      </c>
      <c r="P19" s="261">
        <f>'Salary Record'!G49</f>
        <v>5000</v>
      </c>
      <c r="Q19" s="262">
        <f>'Salary Record'!K49</f>
        <v>15000</v>
      </c>
      <c r="R19" s="143"/>
      <c r="S19" s="143"/>
      <c r="T19" s="179"/>
      <c r="U19" s="179"/>
      <c r="V19" s="181"/>
    </row>
    <row r="20" spans="1:24" s="274" customFormat="1" ht="21" x14ac:dyDescent="0.3">
      <c r="A20" s="368" t="s">
        <v>2</v>
      </c>
      <c r="B20" s="369"/>
      <c r="C20" s="315"/>
      <c r="D20" s="315"/>
      <c r="E20" s="317">
        <f>SUM(E14:E19)</f>
        <v>231000</v>
      </c>
      <c r="F20" s="315"/>
      <c r="G20" s="315"/>
      <c r="H20" s="315"/>
      <c r="I20" s="315"/>
      <c r="J20" s="316">
        <f>SUM(J15:J19)</f>
        <v>0</v>
      </c>
      <c r="K20" s="315"/>
      <c r="L20" s="315"/>
      <c r="M20" s="315"/>
      <c r="N20" s="315"/>
      <c r="O20" s="315"/>
      <c r="P20" s="315"/>
      <c r="Q20" s="317">
        <f>SUM(Q14:Q19)</f>
        <v>226733.33333333334</v>
      </c>
      <c r="R20" s="309">
        <f t="shared" ref="R20:S20" si="1">SUM(R15:R19)</f>
        <v>0</v>
      </c>
      <c r="S20" s="309">
        <f t="shared" si="1"/>
        <v>0</v>
      </c>
      <c r="T20" s="273"/>
      <c r="U20" s="313"/>
      <c r="V20" s="275"/>
    </row>
    <row r="21" spans="1:24" s="274" customFormat="1" ht="21" x14ac:dyDescent="0.3">
      <c r="A21" s="311"/>
      <c r="B21" s="311"/>
      <c r="C21" s="311"/>
      <c r="D21" s="311"/>
      <c r="E21" s="311"/>
      <c r="F21" s="311"/>
      <c r="G21" s="311"/>
      <c r="H21" s="311"/>
      <c r="I21" s="311"/>
      <c r="J21" s="311"/>
      <c r="K21" s="311"/>
      <c r="L21" s="311"/>
      <c r="M21" s="311"/>
      <c r="N21" s="311"/>
      <c r="O21" s="311"/>
      <c r="P21" s="311"/>
      <c r="Q21" s="312"/>
      <c r="R21" s="313"/>
      <c r="S21" s="313"/>
      <c r="T21" s="313"/>
      <c r="V21" s="314"/>
    </row>
    <row r="22" spans="1:24" s="224" customFormat="1" ht="21" customHeight="1" x14ac:dyDescent="0.2">
      <c r="A22" s="362" t="s">
        <v>97</v>
      </c>
      <c r="B22" s="363"/>
      <c r="C22" s="363"/>
      <c r="D22" s="363"/>
      <c r="E22" s="363"/>
      <c r="F22" s="363"/>
      <c r="G22" s="363"/>
      <c r="H22" s="363"/>
      <c r="I22" s="363"/>
      <c r="J22" s="363"/>
      <c r="K22" s="363"/>
      <c r="L22" s="363"/>
      <c r="M22" s="363"/>
      <c r="N22" s="363"/>
      <c r="O22" s="363"/>
      <c r="P22" s="363"/>
      <c r="Q22" s="364"/>
      <c r="R22" s="222"/>
      <c r="S22" s="222"/>
      <c r="T22" s="223"/>
      <c r="U22" s="230"/>
      <c r="V22" s="225"/>
    </row>
    <row r="23" spans="1:24" s="194" customFormat="1" ht="20.25" customHeight="1" x14ac:dyDescent="0.2">
      <c r="A23" s="279">
        <v>1</v>
      </c>
      <c r="B23" s="356" t="str">
        <f>'Salary Record'!C492</f>
        <v>Khizer Mujeeb</v>
      </c>
      <c r="C23" s="190"/>
      <c r="D23" s="191"/>
      <c r="E23" s="265">
        <f>'Salary Record'!K491</f>
        <v>29500</v>
      </c>
      <c r="F23" s="265">
        <f>'Salary Record'!C497</f>
        <v>30</v>
      </c>
      <c r="G23" s="266">
        <f>'Salary Record'!C498</f>
        <v>0</v>
      </c>
      <c r="H23" s="265">
        <f>'Salary Record'!I496</f>
        <v>107</v>
      </c>
      <c r="I23" s="265">
        <f>'Salary Record'!I495</f>
        <v>30</v>
      </c>
      <c r="J23" s="239">
        <f>'Salary Record'!K496</f>
        <v>13152.083333333334</v>
      </c>
      <c r="K23" s="265">
        <f>'Salary Record'!K497</f>
        <v>42652.083333333336</v>
      </c>
      <c r="L23" s="240">
        <f>'Salary Record'!G495</f>
        <v>0</v>
      </c>
      <c r="M23" s="241">
        <f>'Salary Record'!G496</f>
        <v>0</v>
      </c>
      <c r="N23" s="242">
        <f>'Salary Record'!G497</f>
        <v>0</v>
      </c>
      <c r="O23" s="241">
        <f>'Salary Record'!G498</f>
        <v>0</v>
      </c>
      <c r="P23" s="242">
        <f>'Salary Record'!G499</f>
        <v>0</v>
      </c>
      <c r="Q23" s="304">
        <f>'Salary Record'!K499</f>
        <v>42652.083333333336</v>
      </c>
      <c r="R23" s="192"/>
      <c r="S23" s="193">
        <f>Q23-R23</f>
        <v>42652.083333333336</v>
      </c>
      <c r="T23" s="179" t="s">
        <v>139</v>
      </c>
      <c r="V23" s="195"/>
    </row>
    <row r="24" spans="1:24" ht="20.25" customHeight="1" x14ac:dyDescent="0.25">
      <c r="A24" s="281">
        <v>2</v>
      </c>
      <c r="B24" s="357" t="str">
        <f>'Salary Record'!C460</f>
        <v>Hassan Khan</v>
      </c>
      <c r="C24" s="99"/>
      <c r="D24" s="92"/>
      <c r="E24" s="22">
        <f>'Salary Record'!K459</f>
        <v>24500</v>
      </c>
      <c r="F24" s="22">
        <f>'Salary Record'!C465</f>
        <v>30</v>
      </c>
      <c r="G24" s="16">
        <f>'Salary Record'!C466</f>
        <v>0</v>
      </c>
      <c r="H24" s="22">
        <f>'Salary Record'!I464</f>
        <v>139</v>
      </c>
      <c r="I24" s="22">
        <f>'Salary Record'!I463</f>
        <v>30</v>
      </c>
      <c r="J24" s="16">
        <f>'Salary Record'!K464</f>
        <v>14189.583333333332</v>
      </c>
      <c r="K24" s="10">
        <f>'Salary Record'!K465</f>
        <v>38689.583333333328</v>
      </c>
      <c r="L24" s="9">
        <f>'Salary Record'!G463</f>
        <v>0</v>
      </c>
      <c r="M24" s="17">
        <f>'Salary Record'!G464</f>
        <v>0</v>
      </c>
      <c r="N24" s="18">
        <f>'Salary Record'!G465</f>
        <v>0</v>
      </c>
      <c r="O24" s="17">
        <f>'Salary Record'!G466</f>
        <v>0</v>
      </c>
      <c r="P24" s="18">
        <f>'Salary Record'!G467</f>
        <v>0</v>
      </c>
      <c r="Q24" s="143">
        <f>'Salary Record'!K467</f>
        <v>38689.583333333328</v>
      </c>
      <c r="R24" s="23"/>
      <c r="S24" s="23"/>
      <c r="T24" s="130"/>
    </row>
    <row r="25" spans="1:24" s="180" customFormat="1" ht="21" customHeight="1" x14ac:dyDescent="0.2">
      <c r="A25" s="279">
        <v>3</v>
      </c>
      <c r="B25" s="357" t="str">
        <f>'Salary Record'!C476</f>
        <v>Noor ul Islam</v>
      </c>
      <c r="C25" s="211"/>
      <c r="D25" s="212"/>
      <c r="E25" s="110">
        <f>'Salary Record'!K475</f>
        <v>30000</v>
      </c>
      <c r="F25" s="110">
        <f>'Salary Record'!C481</f>
        <v>30</v>
      </c>
      <c r="G25" s="250">
        <f>'Salary Record'!C482</f>
        <v>0</v>
      </c>
      <c r="H25" s="110">
        <f>'Salary Record'!I480</f>
        <v>2</v>
      </c>
      <c r="I25" s="110">
        <f>'Salary Record'!I479</f>
        <v>30</v>
      </c>
      <c r="J25" s="250">
        <f>'Salary Record'!K480</f>
        <v>250</v>
      </c>
      <c r="K25" s="246">
        <f>'Salary Record'!K481</f>
        <v>30250</v>
      </c>
      <c r="L25" s="247">
        <f>'Salary Record'!G479</f>
        <v>0</v>
      </c>
      <c r="M25" s="248">
        <f>'Salary Record'!G480</f>
        <v>0</v>
      </c>
      <c r="N25" s="249" t="str">
        <f>'Salary Record'!G481</f>
        <v/>
      </c>
      <c r="O25" s="248">
        <f>'Salary Record'!G482</f>
        <v>0</v>
      </c>
      <c r="P25" s="249" t="str">
        <f>'Salary Record'!G483</f>
        <v/>
      </c>
      <c r="Q25" s="251">
        <f>'Salary Record'!K483</f>
        <v>30250</v>
      </c>
      <c r="R25" s="143"/>
      <c r="S25" s="143"/>
      <c r="T25" s="179"/>
      <c r="V25" s="181"/>
    </row>
    <row r="26" spans="1:24" s="180" customFormat="1" ht="20.25" customHeight="1" x14ac:dyDescent="0.25">
      <c r="A26" s="281">
        <v>4</v>
      </c>
      <c r="B26" s="358" t="str">
        <f>'Salary Record'!C444</f>
        <v>Junaid</v>
      </c>
      <c r="C26" s="196"/>
      <c r="D26" s="197"/>
      <c r="E26" s="247">
        <f>'Salary Record'!K443</f>
        <v>24500</v>
      </c>
      <c r="F26" s="334">
        <f>'Salary Record'!C449</f>
        <v>30</v>
      </c>
      <c r="G26" s="335">
        <f>'Salary Record'!C450</f>
        <v>0</v>
      </c>
      <c r="H26" s="337">
        <f>'Salary Record'!I448</f>
        <v>141</v>
      </c>
      <c r="I26" s="247">
        <f>'Salary Record'!I447</f>
        <v>30</v>
      </c>
      <c r="J26" s="246">
        <f>'Salary Record'!K448</f>
        <v>14393.75</v>
      </c>
      <c r="K26" s="110">
        <f>'Salary Record'!K449</f>
        <v>38893.75</v>
      </c>
      <c r="L26" s="247">
        <f>'Salary Record'!G447</f>
        <v>0</v>
      </c>
      <c r="M26" s="247">
        <f>'Salary Record'!G448</f>
        <v>0</v>
      </c>
      <c r="N26" s="249">
        <f>'Salary Record'!G449</f>
        <v>0</v>
      </c>
      <c r="O26" s="247">
        <f>'Salary Record'!G450</f>
        <v>0</v>
      </c>
      <c r="P26" s="249">
        <f>'Salary Record'!G451</f>
        <v>0</v>
      </c>
      <c r="Q26" s="251">
        <f>'Salary Record'!K451</f>
        <v>38893.75</v>
      </c>
      <c r="R26" s="198"/>
      <c r="S26" s="143">
        <f>Q26-R26</f>
        <v>38893.75</v>
      </c>
      <c r="T26" s="179"/>
      <c r="V26" s="181"/>
      <c r="X26" s="179"/>
    </row>
    <row r="27" spans="1:24" s="274" customFormat="1" ht="21" x14ac:dyDescent="0.3">
      <c r="A27" s="368" t="s">
        <v>2</v>
      </c>
      <c r="B27" s="369"/>
      <c r="C27" s="315"/>
      <c r="D27" s="315"/>
      <c r="E27" s="317">
        <f>SUM(E23:E26)</f>
        <v>108500</v>
      </c>
      <c r="F27" s="315"/>
      <c r="G27" s="315"/>
      <c r="H27" s="315"/>
      <c r="I27" s="315"/>
      <c r="J27" s="331">
        <f>SUM(J23:J26)</f>
        <v>41985.416666666664</v>
      </c>
      <c r="K27" s="315"/>
      <c r="L27" s="315"/>
      <c r="M27" s="315"/>
      <c r="N27" s="315"/>
      <c r="O27" s="315"/>
      <c r="P27" s="315"/>
      <c r="Q27" s="272">
        <f>SUM(Q23:Q26)</f>
        <v>150485.41666666666</v>
      </c>
      <c r="R27" s="309">
        <f>SUM(R21:R26)</f>
        <v>0</v>
      </c>
      <c r="S27" s="309">
        <f>SUM(S21:S26)</f>
        <v>81545.833333333343</v>
      </c>
      <c r="T27" s="273">
        <f>Q27-Q25</f>
        <v>120235.41666666666</v>
      </c>
      <c r="V27" s="275"/>
    </row>
    <row r="28" spans="1:24" s="274" customFormat="1" ht="21" x14ac:dyDescent="0.3">
      <c r="A28" s="311"/>
      <c r="B28" s="311"/>
      <c r="C28" s="311"/>
      <c r="D28" s="311"/>
      <c r="E28" s="311"/>
      <c r="F28" s="311"/>
      <c r="G28" s="311"/>
      <c r="H28" s="311"/>
      <c r="I28" s="311"/>
      <c r="J28" s="311"/>
      <c r="K28" s="311"/>
      <c r="L28" s="311"/>
      <c r="M28" s="311"/>
      <c r="N28" s="311"/>
      <c r="O28" s="311"/>
      <c r="P28" s="311"/>
      <c r="Q28" s="312"/>
      <c r="R28" s="313"/>
      <c r="S28" s="313"/>
      <c r="T28" s="313"/>
      <c r="V28" s="314"/>
    </row>
    <row r="29" spans="1:24" s="228" customFormat="1" ht="21" customHeight="1" x14ac:dyDescent="0.2">
      <c r="A29" s="365" t="s">
        <v>96</v>
      </c>
      <c r="B29" s="366"/>
      <c r="C29" s="366"/>
      <c r="D29" s="366"/>
      <c r="E29" s="366"/>
      <c r="F29" s="366"/>
      <c r="G29" s="366"/>
      <c r="H29" s="366"/>
      <c r="I29" s="366"/>
      <c r="J29" s="366"/>
      <c r="K29" s="366"/>
      <c r="L29" s="366"/>
      <c r="M29" s="366"/>
      <c r="N29" s="366"/>
      <c r="O29" s="366"/>
      <c r="P29" s="366"/>
      <c r="Q29" s="367"/>
      <c r="R29" s="226"/>
      <c r="S29" s="226"/>
      <c r="T29" s="341"/>
      <c r="V29" s="229"/>
    </row>
    <row r="30" spans="1:24" s="180" customFormat="1" ht="21" customHeight="1" x14ac:dyDescent="0.2">
      <c r="A30" s="278">
        <v>1</v>
      </c>
      <c r="B30" s="306" t="str">
        <f>'Salary Record'!C540</f>
        <v>Ahsan Razak</v>
      </c>
      <c r="C30" s="201"/>
      <c r="D30" s="202"/>
      <c r="E30" s="110">
        <f>'Salary Record'!K539</f>
        <v>26500</v>
      </c>
      <c r="F30" s="110">
        <f>'Salary Record'!C545</f>
        <v>30</v>
      </c>
      <c r="G30" s="250">
        <f>'Salary Record'!C546</f>
        <v>0</v>
      </c>
      <c r="H30" s="110">
        <f>'Salary Record'!I544</f>
        <v>110</v>
      </c>
      <c r="I30" s="110">
        <f>'Salary Record'!I543</f>
        <v>30</v>
      </c>
      <c r="J30" s="250">
        <f>'Salary Record'!K544</f>
        <v>12145.833333333334</v>
      </c>
      <c r="K30" s="250">
        <f>'Salary Record'!K545</f>
        <v>38645.833333333336</v>
      </c>
      <c r="L30" s="269">
        <f>'Salary Record'!G543</f>
        <v>10000</v>
      </c>
      <c r="M30" s="110">
        <f>'Salary Record'!G544</f>
        <v>0</v>
      </c>
      <c r="N30" s="264">
        <f>'Salary Record'!G545</f>
        <v>10000</v>
      </c>
      <c r="O30" s="110">
        <f>'Salary Record'!G546</f>
        <v>5000</v>
      </c>
      <c r="P30" s="264">
        <f>'Salary Record'!G547</f>
        <v>5000</v>
      </c>
      <c r="Q30" s="251">
        <f>'Salary Record'!K547</f>
        <v>33645.833333333336</v>
      </c>
      <c r="R30" s="143">
        <v>5000</v>
      </c>
      <c r="S30" s="143">
        <f>Q30-R30</f>
        <v>28645.833333333336</v>
      </c>
      <c r="T30" s="179" t="s">
        <v>139</v>
      </c>
      <c r="U30" s="179"/>
      <c r="V30" s="187"/>
    </row>
    <row r="31" spans="1:24" s="180" customFormat="1" ht="21" customHeight="1" x14ac:dyDescent="0.2">
      <c r="A31" s="278">
        <v>2</v>
      </c>
      <c r="B31" s="306" t="str">
        <f>'Salary Record'!C508</f>
        <v>Suleman Dilawer</v>
      </c>
      <c r="C31" s="199"/>
      <c r="D31" s="200"/>
      <c r="E31" s="110">
        <f>'Salary Record'!K507</f>
        <v>27000</v>
      </c>
      <c r="F31" s="110">
        <f>'Salary Record'!C513</f>
        <v>30</v>
      </c>
      <c r="G31" s="250">
        <f>'Salary Record'!C514</f>
        <v>0</v>
      </c>
      <c r="H31" s="110">
        <f>'Salary Record'!I512</f>
        <v>62</v>
      </c>
      <c r="I31" s="110">
        <f>'Salary Record'!I511</f>
        <v>30</v>
      </c>
      <c r="J31" s="246">
        <f>'Salary Record'!K512</f>
        <v>6975</v>
      </c>
      <c r="K31" s="246">
        <f>'Salary Record'!K513</f>
        <v>33975</v>
      </c>
      <c r="L31" s="247">
        <f>'Salary Record'!G511</f>
        <v>5000</v>
      </c>
      <c r="M31" s="248">
        <f>'Salary Record'!G512</f>
        <v>0</v>
      </c>
      <c r="N31" s="249">
        <f>'Salary Record'!G513</f>
        <v>5000</v>
      </c>
      <c r="O31" s="248">
        <f>'Salary Record'!G514</f>
        <v>5000</v>
      </c>
      <c r="P31" s="249">
        <f>'Salary Record'!G515</f>
        <v>0</v>
      </c>
      <c r="Q31" s="251">
        <f>'Salary Record'!K515</f>
        <v>28975</v>
      </c>
      <c r="R31" s="208">
        <v>0</v>
      </c>
      <c r="S31" s="143"/>
      <c r="T31" s="179"/>
      <c r="V31" s="181"/>
    </row>
    <row r="32" spans="1:24" s="180" customFormat="1" ht="21" customHeight="1" x14ac:dyDescent="0.2">
      <c r="A32" s="278">
        <v>3</v>
      </c>
      <c r="B32" s="306" t="str">
        <f>'Salary Record'!C524</f>
        <v>Mumtaz Ali Chakar</v>
      </c>
      <c r="C32" s="199"/>
      <c r="D32" s="200"/>
      <c r="E32" s="268">
        <f>'Salary Record'!K523</f>
        <v>34500</v>
      </c>
      <c r="F32" s="268">
        <f>'Salary Record'!C529</f>
        <v>30</v>
      </c>
      <c r="G32" s="246">
        <f>'Salary Record'!C530</f>
        <v>0</v>
      </c>
      <c r="H32" s="268">
        <f>'Salary Record'!I528</f>
        <v>27</v>
      </c>
      <c r="I32" s="268">
        <f>'Salary Record'!I527</f>
        <v>30</v>
      </c>
      <c r="J32" s="246">
        <f>'Salary Record'!K528</f>
        <v>3881.25</v>
      </c>
      <c r="K32" s="110">
        <f>'Salary Record'!K529</f>
        <v>38381.25</v>
      </c>
      <c r="L32" s="247">
        <f>'Salary Record'!G527</f>
        <v>0</v>
      </c>
      <c r="M32" s="248">
        <f>'Salary Record'!G528</f>
        <v>0</v>
      </c>
      <c r="N32" s="249">
        <f>'Salary Record'!G529</f>
        <v>0</v>
      </c>
      <c r="O32" s="248">
        <f>'Salary Record'!G530</f>
        <v>0</v>
      </c>
      <c r="P32" s="249">
        <f>'Salary Record'!G531</f>
        <v>0</v>
      </c>
      <c r="Q32" s="251">
        <f>'Salary Record'!K531</f>
        <v>38381.25</v>
      </c>
      <c r="R32" s="198">
        <v>0</v>
      </c>
      <c r="S32" s="143"/>
      <c r="T32" s="179"/>
      <c r="V32" s="181"/>
    </row>
    <row r="33" spans="1:26" ht="15.75" x14ac:dyDescent="0.25">
      <c r="A33" s="278">
        <v>4</v>
      </c>
      <c r="B33" s="306" t="str">
        <f>'Salary Record'!C556</f>
        <v>Sufyan</v>
      </c>
      <c r="C33" s="102"/>
      <c r="D33" s="90"/>
      <c r="E33" s="9">
        <f>'Salary Record'!K555</f>
        <v>22000</v>
      </c>
      <c r="F33" s="9">
        <f>'Salary Record'!C561</f>
        <v>30</v>
      </c>
      <c r="G33" s="21">
        <f>'Salary Record'!C562</f>
        <v>0</v>
      </c>
      <c r="H33" s="9">
        <f>'Salary Record'!I560</f>
        <v>90</v>
      </c>
      <c r="I33" s="9">
        <f>'Salary Record'!I559</f>
        <v>30</v>
      </c>
      <c r="J33" s="16">
        <f>'Salary Record'!K560</f>
        <v>8250</v>
      </c>
      <c r="K33" s="16">
        <f>'Salary Record'!K561</f>
        <v>30250</v>
      </c>
      <c r="L33" s="9">
        <f>'Salary Record'!G559</f>
        <v>0</v>
      </c>
      <c r="M33" s="9">
        <f>'Salary Record'!G560</f>
        <v>50000</v>
      </c>
      <c r="N33" s="18">
        <f>'Salary Record'!G561</f>
        <v>50000</v>
      </c>
      <c r="O33" s="9">
        <f>'Salary Record'!G562</f>
        <v>5000</v>
      </c>
      <c r="P33" s="18">
        <f>'Salary Record'!G563</f>
        <v>45000</v>
      </c>
      <c r="Q33" s="143">
        <f>'Salary Record'!K563</f>
        <v>25250</v>
      </c>
      <c r="R33" s="145"/>
      <c r="S33" s="23"/>
      <c r="T33" s="130"/>
      <c r="U33" s="8"/>
    </row>
    <row r="34" spans="1:26" s="274" customFormat="1" ht="21" x14ac:dyDescent="0.3">
      <c r="A34" s="368" t="s">
        <v>2</v>
      </c>
      <c r="B34" s="369"/>
      <c r="C34" s="315"/>
      <c r="D34" s="315"/>
      <c r="E34" s="317">
        <f>SUM(E30:E33)</f>
        <v>110000</v>
      </c>
      <c r="F34" s="315"/>
      <c r="G34" s="315"/>
      <c r="H34" s="315"/>
      <c r="I34" s="315"/>
      <c r="J34" s="317">
        <f ca="1">SUM(J30:J81)</f>
        <v>20904.166666666664</v>
      </c>
      <c r="K34" s="315"/>
      <c r="L34" s="315"/>
      <c r="M34" s="315"/>
      <c r="N34" s="315"/>
      <c r="O34" s="315"/>
      <c r="P34" s="315"/>
      <c r="Q34" s="272">
        <f>SUM(Q30:Q33)</f>
        <v>126252.08333333334</v>
      </c>
      <c r="R34" s="309">
        <f ca="1">SUM(R29:R81)</f>
        <v>5000</v>
      </c>
      <c r="S34" s="309">
        <f ca="1">SUM(S29:S81)</f>
        <v>19757.291666666664</v>
      </c>
      <c r="T34" s="273"/>
      <c r="U34" s="313"/>
      <c r="V34" s="275"/>
    </row>
    <row r="35" spans="1:26" s="274" customFormat="1" ht="21" x14ac:dyDescent="0.3">
      <c r="A35" s="311"/>
      <c r="B35" s="311"/>
      <c r="C35" s="311"/>
      <c r="D35" s="311"/>
      <c r="E35" s="311"/>
      <c r="F35" s="311"/>
      <c r="G35" s="311"/>
      <c r="H35" s="311"/>
      <c r="I35" s="311"/>
      <c r="J35" s="311"/>
      <c r="K35" s="311"/>
      <c r="L35" s="311"/>
      <c r="M35" s="311"/>
      <c r="N35" s="311"/>
      <c r="O35" s="311"/>
      <c r="P35" s="311"/>
      <c r="Q35" s="312"/>
      <c r="R35" s="313"/>
      <c r="S35" s="313"/>
      <c r="T35" s="313"/>
      <c r="V35" s="314"/>
    </row>
    <row r="36" spans="1:26" s="235" customFormat="1" ht="21" customHeight="1" x14ac:dyDescent="0.2">
      <c r="A36" s="370" t="s">
        <v>36</v>
      </c>
      <c r="B36" s="371"/>
      <c r="C36" s="371"/>
      <c r="D36" s="371"/>
      <c r="E36" s="371"/>
      <c r="F36" s="371"/>
      <c r="G36" s="371"/>
      <c r="H36" s="371"/>
      <c r="I36" s="371"/>
      <c r="J36" s="371"/>
      <c r="K36" s="371"/>
      <c r="L36" s="371"/>
      <c r="M36" s="371"/>
      <c r="N36" s="371"/>
      <c r="O36" s="371"/>
      <c r="P36" s="371"/>
      <c r="Q36" s="372"/>
      <c r="R36" s="231"/>
      <c r="S36" s="231"/>
      <c r="T36" s="232"/>
      <c r="U36" s="233"/>
      <c r="V36" s="234"/>
    </row>
    <row r="37" spans="1:26" s="180" customFormat="1" ht="21" customHeight="1" x14ac:dyDescent="0.2">
      <c r="A37" s="279">
        <v>1</v>
      </c>
      <c r="B37" s="243" t="s">
        <v>5</v>
      </c>
      <c r="C37" s="203"/>
      <c r="D37" s="204"/>
      <c r="E37" s="250">
        <f>'Salary Record'!K187</f>
        <v>60000</v>
      </c>
      <c r="F37" s="250">
        <f>'Salary Record'!C193</f>
        <v>29</v>
      </c>
      <c r="G37" s="250">
        <f>'Salary Record'!C194</f>
        <v>1</v>
      </c>
      <c r="H37" s="250">
        <f>'Salary Record'!I192</f>
        <v>104</v>
      </c>
      <c r="I37" s="250">
        <f>'Salary Record'!I191</f>
        <v>30</v>
      </c>
      <c r="J37" s="246">
        <f>'Salary Record'!K192</f>
        <v>26000</v>
      </c>
      <c r="K37" s="246">
        <f>'Salary Record'!K193</f>
        <v>86000</v>
      </c>
      <c r="L37" s="247">
        <f>'Salary Record'!G191</f>
        <v>93200</v>
      </c>
      <c r="M37" s="248">
        <f>'Salary Record'!G192</f>
        <v>0</v>
      </c>
      <c r="N37" s="249">
        <f>'Salary Record'!G193</f>
        <v>93200</v>
      </c>
      <c r="O37" s="248">
        <f>'Salary Record'!G194</f>
        <v>5000</v>
      </c>
      <c r="P37" s="249">
        <f>'Salary Record'!G195</f>
        <v>88200</v>
      </c>
      <c r="Q37" s="251">
        <f>'Salary Record'!K195</f>
        <v>81000</v>
      </c>
      <c r="R37" s="143"/>
      <c r="S37" s="143"/>
      <c r="T37" s="179" t="s">
        <v>125</v>
      </c>
      <c r="U37" s="181"/>
      <c r="V37" s="181"/>
    </row>
    <row r="38" spans="1:26" s="180" customFormat="1" ht="21" customHeight="1" x14ac:dyDescent="0.2">
      <c r="A38" s="279">
        <v>2</v>
      </c>
      <c r="B38" s="243" t="str">
        <f>'Salary Record'!C140</f>
        <v>Amir (JPMC)</v>
      </c>
      <c r="C38" s="205"/>
      <c r="D38" s="202"/>
      <c r="E38" s="110">
        <f>'Salary Record'!K139</f>
        <v>43000</v>
      </c>
      <c r="F38" s="110">
        <f>'Salary Record'!C145</f>
        <v>27</v>
      </c>
      <c r="G38" s="250">
        <f>'Salary Record'!C146</f>
        <v>3</v>
      </c>
      <c r="H38" s="110">
        <f>'Salary Record'!I144</f>
        <v>0</v>
      </c>
      <c r="I38" s="110">
        <f>'Salary Record'!I143</f>
        <v>30</v>
      </c>
      <c r="J38" s="246">
        <f>'Salary Record'!K144</f>
        <v>0</v>
      </c>
      <c r="K38" s="246">
        <f>'Salary Record'!K145</f>
        <v>43000</v>
      </c>
      <c r="L38" s="247">
        <f>'Salary Record'!G143</f>
        <v>70500</v>
      </c>
      <c r="M38" s="247">
        <f>'Salary Record'!G144</f>
        <v>2000</v>
      </c>
      <c r="N38" s="249">
        <f>'Salary Record'!G145</f>
        <v>72500</v>
      </c>
      <c r="O38" s="247">
        <f>'Salary Record'!G146</f>
        <v>5000</v>
      </c>
      <c r="P38" s="249">
        <f>'Salary Record'!G147</f>
        <v>67500</v>
      </c>
      <c r="Q38" s="251">
        <f>'Salary Record'!K147</f>
        <v>38000</v>
      </c>
      <c r="R38" s="143"/>
      <c r="S38" s="143"/>
      <c r="T38" s="179" t="s">
        <v>128</v>
      </c>
      <c r="U38" s="179" t="s">
        <v>131</v>
      </c>
      <c r="V38" s="181"/>
    </row>
    <row r="39" spans="1:26" s="180" customFormat="1" ht="21" customHeight="1" x14ac:dyDescent="0.2">
      <c r="A39" s="279">
        <v>3</v>
      </c>
      <c r="B39" s="243" t="s">
        <v>25</v>
      </c>
      <c r="C39" s="205"/>
      <c r="D39" s="202"/>
      <c r="E39" s="110">
        <f>'Salary Record'!K155</f>
        <v>35000</v>
      </c>
      <c r="F39" s="110">
        <f>'Salary Record'!C161</f>
        <v>30</v>
      </c>
      <c r="G39" s="250">
        <f>'Salary Record'!C162</f>
        <v>0</v>
      </c>
      <c r="H39" s="110">
        <f>'Salary Record'!I160</f>
        <v>0</v>
      </c>
      <c r="I39" s="110">
        <f>'Salary Record'!I159</f>
        <v>30</v>
      </c>
      <c r="J39" s="246">
        <f>'Salary Record'!K160</f>
        <v>0</v>
      </c>
      <c r="K39" s="110">
        <f>'Salary Record'!K161</f>
        <v>35000</v>
      </c>
      <c r="L39" s="247">
        <f>'Salary Record'!G159</f>
        <v>0</v>
      </c>
      <c r="M39" s="248">
        <f>'Salary Record'!G160</f>
        <v>0</v>
      </c>
      <c r="N39" s="249">
        <f>'Salary Record'!G161</f>
        <v>0</v>
      </c>
      <c r="O39" s="248">
        <f>'Salary Record'!G162</f>
        <v>0</v>
      </c>
      <c r="P39" s="249">
        <f>'Salary Record'!G163</f>
        <v>0</v>
      </c>
      <c r="Q39" s="251">
        <f>'Salary Record'!K163</f>
        <v>35000</v>
      </c>
      <c r="R39" s="143"/>
      <c r="S39" s="143"/>
      <c r="T39" s="179" t="s">
        <v>129</v>
      </c>
      <c r="U39" s="179" t="s">
        <v>130</v>
      </c>
      <c r="V39" s="181"/>
    </row>
    <row r="40" spans="1:26" s="180" customFormat="1" ht="21" customHeight="1" x14ac:dyDescent="0.2">
      <c r="A40" s="279">
        <v>4</v>
      </c>
      <c r="B40" s="324" t="s">
        <v>4</v>
      </c>
      <c r="C40" s="196"/>
      <c r="D40" s="197"/>
      <c r="E40" s="250">
        <f>'Salary Record'!K602</f>
        <v>35000</v>
      </c>
      <c r="F40" s="250">
        <f>'Salary Record'!C608</f>
        <v>30</v>
      </c>
      <c r="G40" s="250">
        <f>'Salary Record'!C609</f>
        <v>0</v>
      </c>
      <c r="H40" s="250">
        <f>'Salary Record'!I607</f>
        <v>63</v>
      </c>
      <c r="I40" s="250">
        <f>'Salary Record'!I606</f>
        <v>30</v>
      </c>
      <c r="J40" s="246">
        <f>'Salary Record'!K607</f>
        <v>9187.5</v>
      </c>
      <c r="K40" s="110">
        <f>'Salary Record'!K608</f>
        <v>44187.5</v>
      </c>
      <c r="L40" s="247">
        <f>'Salary Record'!G606</f>
        <v>25000</v>
      </c>
      <c r="M40" s="248">
        <f>'Salary Record'!G607</f>
        <v>0</v>
      </c>
      <c r="N40" s="249">
        <f>'Salary Record'!G608</f>
        <v>25000</v>
      </c>
      <c r="O40" s="248">
        <f>'Salary Record'!G609</f>
        <v>5000</v>
      </c>
      <c r="P40" s="249">
        <f>'Salary Record'!G610</f>
        <v>20000</v>
      </c>
      <c r="Q40" s="251">
        <f>'Salary Record'!K610</f>
        <v>39187.5</v>
      </c>
      <c r="R40" s="143"/>
      <c r="S40" s="143"/>
      <c r="T40" s="179" t="s">
        <v>126</v>
      </c>
      <c r="U40" s="180" t="s">
        <v>127</v>
      </c>
      <c r="V40" s="181"/>
      <c r="W40" s="179"/>
      <c r="X40" s="179"/>
    </row>
    <row r="41" spans="1:26" s="180" customFormat="1" ht="21" customHeight="1" x14ac:dyDescent="0.2">
      <c r="A41" s="279">
        <v>5</v>
      </c>
      <c r="B41" s="359" t="str">
        <f>'Salary Record'!C204</f>
        <v>Amjad Ustad</v>
      </c>
      <c r="C41" s="199"/>
      <c r="D41" s="200"/>
      <c r="E41" s="333">
        <f>'Salary Record'!K203</f>
        <v>50000</v>
      </c>
      <c r="F41" s="247">
        <f>'Salary Record'!C209</f>
        <v>29</v>
      </c>
      <c r="G41" s="252">
        <f>'Salary Record'!C210</f>
        <v>1</v>
      </c>
      <c r="H41" s="247">
        <f>'Salary Record'!I208</f>
        <v>0</v>
      </c>
      <c r="I41" s="247">
        <f>'Salary Record'!I207</f>
        <v>30</v>
      </c>
      <c r="J41" s="246">
        <f>'Salary Record'!K208</f>
        <v>0</v>
      </c>
      <c r="K41" s="246">
        <f>'Salary Record'!K209</f>
        <v>50000</v>
      </c>
      <c r="L41" s="247">
        <f>'Salary Record'!G207</f>
        <v>33000</v>
      </c>
      <c r="M41" s="247">
        <f>'Salary Record'!G208</f>
        <v>0</v>
      </c>
      <c r="N41" s="249">
        <f>'Salary Record'!G209</f>
        <v>33000</v>
      </c>
      <c r="O41" s="247">
        <f>'Salary Record'!G210</f>
        <v>3000</v>
      </c>
      <c r="P41" s="249">
        <f>'Salary Record'!G211</f>
        <v>30000</v>
      </c>
      <c r="Q41" s="251">
        <f>'Salary Record'!K211</f>
        <v>47000</v>
      </c>
      <c r="R41" s="198"/>
      <c r="S41" s="143"/>
      <c r="T41" s="179" t="s">
        <v>163</v>
      </c>
      <c r="U41" s="179">
        <f>Q24+Q41+Q62+Q63+Q37+Q38+Q39</f>
        <v>341397.91666666663</v>
      </c>
      <c r="V41" s="181"/>
      <c r="W41" s="179">
        <f>Q43+Q41</f>
        <v>75541.666666666672</v>
      </c>
    </row>
    <row r="42" spans="1:26" s="180" customFormat="1" ht="21" customHeight="1" x14ac:dyDescent="0.2">
      <c r="A42" s="279">
        <v>6</v>
      </c>
      <c r="B42" s="243" t="str">
        <f>'Salary Record'!C715</f>
        <v>Amir (Plumber)</v>
      </c>
      <c r="C42" s="206"/>
      <c r="D42" s="207"/>
      <c r="E42" s="250">
        <f>'Salary Record'!K714</f>
        <v>31000</v>
      </c>
      <c r="F42" s="250">
        <f>'Salary Record'!C720</f>
        <v>0</v>
      </c>
      <c r="G42" s="250">
        <f>'Salary Record'!C721</f>
        <v>0</v>
      </c>
      <c r="H42" s="250">
        <f>'Salary Record'!I719</f>
        <v>44</v>
      </c>
      <c r="I42" s="250">
        <f>'Salary Record'!I718</f>
        <v>30</v>
      </c>
      <c r="J42" s="246">
        <f>'Salary Record'!K719</f>
        <v>5683.333333333333</v>
      </c>
      <c r="K42" s="246">
        <f>'Salary Record'!K720</f>
        <v>36683.333333333328</v>
      </c>
      <c r="L42" s="247">
        <f>'Salary Record'!G718</f>
        <v>0</v>
      </c>
      <c r="M42" s="248">
        <f>'Salary Record'!G719</f>
        <v>0</v>
      </c>
      <c r="N42" s="249">
        <f>'Salary Record'!G720</f>
        <v>0</v>
      </c>
      <c r="O42" s="248">
        <f>'Salary Record'!G721</f>
        <v>0</v>
      </c>
      <c r="P42" s="249">
        <f>'Salary Record'!G722</f>
        <v>0</v>
      </c>
      <c r="Q42" s="251">
        <f>'Salary Record'!K722</f>
        <v>0</v>
      </c>
      <c r="R42" s="143"/>
      <c r="S42" s="143"/>
      <c r="T42" s="179" t="s">
        <v>119</v>
      </c>
      <c r="U42" s="179" t="s">
        <v>120</v>
      </c>
      <c r="V42" s="181"/>
    </row>
    <row r="43" spans="1:26" s="180" customFormat="1" ht="21" customHeight="1" x14ac:dyDescent="0.2">
      <c r="A43" s="279">
        <v>7</v>
      </c>
      <c r="B43" s="243" t="str">
        <f>'Salary Record'!C220</f>
        <v>Raheel</v>
      </c>
      <c r="C43" s="201"/>
      <c r="D43" s="202"/>
      <c r="E43" s="110">
        <f>'Salary Record'!K219</f>
        <v>25000</v>
      </c>
      <c r="F43" s="110">
        <f>'Salary Record'!C225</f>
        <v>29</v>
      </c>
      <c r="G43" s="250">
        <f>'Salary Record'!C226</f>
        <v>1</v>
      </c>
      <c r="H43" s="110">
        <f>'Salary Record'!I224</f>
        <v>82</v>
      </c>
      <c r="I43" s="110">
        <f>'Salary Record'!I223</f>
        <v>30</v>
      </c>
      <c r="J43" s="250">
        <f>'Salary Record'!K224</f>
        <v>8541.6666666666679</v>
      </c>
      <c r="K43" s="250">
        <f>'Salary Record'!K225</f>
        <v>33541.666666666672</v>
      </c>
      <c r="L43" s="269">
        <f>'Salary Record'!G223</f>
        <v>15000</v>
      </c>
      <c r="M43" s="110">
        <f>'Salary Record'!G224</f>
        <v>3000</v>
      </c>
      <c r="N43" s="264">
        <f>'Salary Record'!G225</f>
        <v>18000</v>
      </c>
      <c r="O43" s="110">
        <f>'Salary Record'!G226</f>
        <v>5000</v>
      </c>
      <c r="P43" s="264">
        <f>'Salary Record'!G227</f>
        <v>13000</v>
      </c>
      <c r="Q43" s="251">
        <f>'Salary Record'!K227</f>
        <v>28541.666666666672</v>
      </c>
      <c r="R43" s="143">
        <v>18000</v>
      </c>
      <c r="S43" s="143">
        <f>Q43-R43</f>
        <v>10541.666666666672</v>
      </c>
      <c r="T43" s="179" t="s">
        <v>176</v>
      </c>
      <c r="U43" s="179" t="s">
        <v>177</v>
      </c>
      <c r="V43" s="181"/>
    </row>
    <row r="44" spans="1:26" s="180" customFormat="1" ht="21" customHeight="1" x14ac:dyDescent="0.2">
      <c r="A44" s="279">
        <v>8</v>
      </c>
      <c r="B44" s="243" t="str">
        <f>'Salary Record'!C252</f>
        <v>Gul Sher</v>
      </c>
      <c r="C44" s="205"/>
      <c r="D44" s="202"/>
      <c r="E44" s="247">
        <f>'Salary Record'!K251</f>
        <v>26000</v>
      </c>
      <c r="F44" s="247">
        <f>'Salary Record'!C257</f>
        <v>28</v>
      </c>
      <c r="G44" s="252">
        <f>'Salary Record'!C258</f>
        <v>2</v>
      </c>
      <c r="H44" s="247">
        <f>'Salary Record'!I256</f>
        <v>24</v>
      </c>
      <c r="I44" s="247">
        <f>'Salary Record'!I255</f>
        <v>28</v>
      </c>
      <c r="J44" s="259">
        <f>'Salary Record'!K256</f>
        <v>2600</v>
      </c>
      <c r="K44" s="259">
        <f>'Salary Record'!K257</f>
        <v>26866.666666666664</v>
      </c>
      <c r="L44" s="260">
        <f>'Salary Record'!G255</f>
        <v>3000</v>
      </c>
      <c r="M44" s="260">
        <f>'Salary Record'!G256</f>
        <v>12500</v>
      </c>
      <c r="N44" s="270">
        <f>'Salary Record'!G257</f>
        <v>15500</v>
      </c>
      <c r="O44" s="260">
        <f>'Salary Record'!G258</f>
        <v>7000</v>
      </c>
      <c r="P44" s="270">
        <f>'Salary Record'!G259</f>
        <v>8500</v>
      </c>
      <c r="Q44" s="336">
        <f>'Salary Record'!K259</f>
        <v>19866.666666666664</v>
      </c>
      <c r="R44" s="143"/>
      <c r="S44" s="143"/>
      <c r="T44" s="179" t="s">
        <v>134</v>
      </c>
      <c r="U44" s="179" t="s">
        <v>135</v>
      </c>
      <c r="V44" s="181"/>
      <c r="W44" s="179">
        <f>Q44+Q43+Q41+Q66</f>
        <v>131408.33333333334</v>
      </c>
      <c r="X44" s="181"/>
      <c r="Y44" s="181"/>
      <c r="Z44" s="181"/>
    </row>
    <row r="45" spans="1:26" s="274" customFormat="1" ht="21" x14ac:dyDescent="0.3">
      <c r="A45" s="368" t="s">
        <v>2</v>
      </c>
      <c r="B45" s="369"/>
      <c r="C45" s="315"/>
      <c r="D45" s="315"/>
      <c r="E45" s="317">
        <f>SUM(E37:E44)</f>
        <v>305000</v>
      </c>
      <c r="F45" s="315"/>
      <c r="G45" s="315"/>
      <c r="H45" s="315"/>
      <c r="I45" s="315"/>
      <c r="J45" s="317">
        <f>SUM(J37:J44)</f>
        <v>52012.5</v>
      </c>
      <c r="K45" s="315"/>
      <c r="L45" s="315"/>
      <c r="M45" s="315"/>
      <c r="N45" s="315"/>
      <c r="O45" s="315"/>
      <c r="P45" s="315"/>
      <c r="Q45" s="272">
        <f>SUM(Q37:Q44)</f>
        <v>288595.83333333337</v>
      </c>
      <c r="R45" s="309">
        <f>SUM(R42:R44)</f>
        <v>18000</v>
      </c>
      <c r="S45" s="309">
        <f>SUM(S42:S44)</f>
        <v>10541.666666666672</v>
      </c>
      <c r="T45" s="273"/>
      <c r="V45" s="275"/>
    </row>
    <row r="46" spans="1:26" s="224" customFormat="1" ht="21" customHeight="1" x14ac:dyDescent="0.2">
      <c r="A46" s="362" t="s">
        <v>93</v>
      </c>
      <c r="B46" s="363"/>
      <c r="C46" s="363"/>
      <c r="D46" s="363"/>
      <c r="E46" s="363"/>
      <c r="F46" s="363"/>
      <c r="G46" s="363"/>
      <c r="H46" s="363"/>
      <c r="I46" s="363"/>
      <c r="J46" s="363"/>
      <c r="K46" s="363"/>
      <c r="L46" s="363"/>
      <c r="M46" s="363"/>
      <c r="N46" s="363"/>
      <c r="O46" s="363"/>
      <c r="P46" s="363"/>
      <c r="Q46" s="364"/>
      <c r="R46" s="222"/>
      <c r="S46" s="222"/>
      <c r="T46" s="236"/>
      <c r="U46" s="230"/>
      <c r="V46" s="225"/>
    </row>
    <row r="47" spans="1:26" s="180" customFormat="1" ht="21" customHeight="1" x14ac:dyDescent="0.2">
      <c r="A47" s="279">
        <v>1</v>
      </c>
      <c r="B47" s="346" t="s">
        <v>11</v>
      </c>
      <c r="C47" s="214"/>
      <c r="D47" s="215"/>
      <c r="E47" s="248">
        <f>'Salary Record'!K395</f>
        <v>20000</v>
      </c>
      <c r="F47" s="248">
        <f>'Salary Record'!C401</f>
        <v>30</v>
      </c>
      <c r="G47" s="245">
        <f>'Salary Record'!C402</f>
        <v>0</v>
      </c>
      <c r="H47" s="248">
        <f>'Salary Record'!I400</f>
        <v>8</v>
      </c>
      <c r="I47" s="248">
        <f>'Salary Record'!I399</f>
        <v>30</v>
      </c>
      <c r="J47" s="246">
        <f>'Salary Record'!K400</f>
        <v>666.66666666666663</v>
      </c>
      <c r="K47" s="246">
        <f>'Salary Record'!K401</f>
        <v>20666.666666666668</v>
      </c>
      <c r="L47" s="247">
        <f>'Salary Record'!G399</f>
        <v>8000</v>
      </c>
      <c r="M47" s="248">
        <f>'Salary Record'!G400</f>
        <v>0</v>
      </c>
      <c r="N47" s="249">
        <f>'Salary Record'!G401</f>
        <v>8000</v>
      </c>
      <c r="O47" s="248">
        <f>'Salary Record'!G402</f>
        <v>2000</v>
      </c>
      <c r="P47" s="249">
        <f>'Salary Record'!G403</f>
        <v>6000</v>
      </c>
      <c r="Q47" s="251">
        <f>'Salary Record'!K403</f>
        <v>18666.666666666668</v>
      </c>
      <c r="R47" s="143"/>
      <c r="S47" s="143"/>
      <c r="T47" s="179"/>
      <c r="U47" s="179">
        <f>Q45-Q40</f>
        <v>249408.33333333337</v>
      </c>
      <c r="V47" s="181"/>
      <c r="W47" s="179"/>
    </row>
    <row r="48" spans="1:26" s="180" customFormat="1" ht="21" customHeight="1" x14ac:dyDescent="0.2">
      <c r="A48" s="278">
        <v>2</v>
      </c>
      <c r="B48" s="345" t="str">
        <f>'Salary Record'!C348</f>
        <v>M. Sami</v>
      </c>
      <c r="C48" s="213" t="s">
        <v>90</v>
      </c>
      <c r="D48" s="212">
        <f>Q48</f>
        <v>29362.5</v>
      </c>
      <c r="E48" s="110">
        <f>'Salary Record'!K347</f>
        <v>27000</v>
      </c>
      <c r="F48" s="110">
        <f>'Salary Record'!C353</f>
        <v>30</v>
      </c>
      <c r="G48" s="250">
        <f>'Salary Record'!C354</f>
        <v>0</v>
      </c>
      <c r="H48" s="110">
        <f>'Salary Record'!I352</f>
        <v>21</v>
      </c>
      <c r="I48" s="110">
        <f>'Salary Record'!I351</f>
        <v>30</v>
      </c>
      <c r="J48" s="246">
        <f>'Salary Record'!K352</f>
        <v>2362.5</v>
      </c>
      <c r="K48" s="246">
        <f>'Salary Record'!K353</f>
        <v>29362.5</v>
      </c>
      <c r="L48" s="247" t="str">
        <f>'Salary Record'!G351</f>
        <v/>
      </c>
      <c r="M48" s="260">
        <f>'Salary Record'!G352</f>
        <v>0</v>
      </c>
      <c r="N48" s="261" t="str">
        <f>'Salary Record'!G353</f>
        <v/>
      </c>
      <c r="O48" s="260">
        <f>'Salary Record'!G354</f>
        <v>0</v>
      </c>
      <c r="P48" s="261" t="str">
        <f>'Salary Record'!G355</f>
        <v/>
      </c>
      <c r="Q48" s="336">
        <f>'Salary Record'!K355</f>
        <v>29362.5</v>
      </c>
      <c r="R48" s="143"/>
      <c r="S48" s="143"/>
      <c r="T48" s="179"/>
      <c r="U48" s="179"/>
      <c r="V48" s="181"/>
      <c r="X48" s="179"/>
    </row>
    <row r="49" spans="1:25" s="180" customFormat="1" ht="21" customHeight="1" x14ac:dyDescent="0.2">
      <c r="A49" s="279">
        <v>3</v>
      </c>
      <c r="B49" s="346" t="str">
        <f>'Salary Record'!C364</f>
        <v>Adil (FTC)</v>
      </c>
      <c r="C49" s="211"/>
      <c r="D49" s="212"/>
      <c r="E49" s="110">
        <f>'Salary Record'!K363</f>
        <v>21000</v>
      </c>
      <c r="F49" s="110">
        <f>'Salary Record'!C369</f>
        <v>30</v>
      </c>
      <c r="G49" s="250">
        <f>'Salary Record'!C370</f>
        <v>0</v>
      </c>
      <c r="H49" s="110">
        <f>'Salary Record'!I368</f>
        <v>8</v>
      </c>
      <c r="I49" s="110">
        <f>'Salary Record'!I367</f>
        <v>30</v>
      </c>
      <c r="J49" s="246">
        <f>'Salary Record'!K368</f>
        <v>700</v>
      </c>
      <c r="K49" s="246">
        <f>'Salary Record'!K369</f>
        <v>21700</v>
      </c>
      <c r="L49" s="247" t="str">
        <f>'Salary Record'!G367</f>
        <v/>
      </c>
      <c r="M49" s="248">
        <f>'Salary Record'!G368</f>
        <v>0</v>
      </c>
      <c r="N49" s="249" t="str">
        <f>'Salary Record'!G369</f>
        <v/>
      </c>
      <c r="O49" s="248">
        <f>'Salary Record'!G370</f>
        <v>0</v>
      </c>
      <c r="P49" s="249" t="str">
        <f>'Salary Record'!G371</f>
        <v/>
      </c>
      <c r="Q49" s="251">
        <f>'Salary Record'!K371</f>
        <v>21700</v>
      </c>
      <c r="R49" s="143"/>
      <c r="S49" s="143"/>
      <c r="T49" s="179" t="s">
        <v>136</v>
      </c>
      <c r="U49" s="179"/>
      <c r="V49" s="181"/>
    </row>
    <row r="50" spans="1:25" s="180" customFormat="1" ht="21" customHeight="1" x14ac:dyDescent="0.2">
      <c r="A50" s="279">
        <v>4</v>
      </c>
      <c r="B50" s="347" t="str">
        <f>'Salary Record'!C380</f>
        <v>Zafar</v>
      </c>
      <c r="C50" s="196"/>
      <c r="D50" s="197"/>
      <c r="E50" s="247">
        <f>'Salary Record'!K379</f>
        <v>28000</v>
      </c>
      <c r="F50" s="247">
        <f>'Salary Record'!C385</f>
        <v>30</v>
      </c>
      <c r="G50" s="252">
        <f>'Salary Record'!C386</f>
        <v>0</v>
      </c>
      <c r="H50" s="247">
        <f>'Salary Record'!I384</f>
        <v>11</v>
      </c>
      <c r="I50" s="247">
        <f>'Salary Record'!I383</f>
        <v>30</v>
      </c>
      <c r="J50" s="246">
        <f>'Salary Record'!K384</f>
        <v>1283.3333333333335</v>
      </c>
      <c r="K50" s="110">
        <f>'Salary Record'!K385</f>
        <v>29283.333333333332</v>
      </c>
      <c r="L50" s="247">
        <f>'Salary Record'!G383</f>
        <v>0</v>
      </c>
      <c r="M50" s="247">
        <f>'Salary Record'!G384</f>
        <v>0</v>
      </c>
      <c r="N50" s="249" t="str">
        <f>'Salary Record'!G385</f>
        <v/>
      </c>
      <c r="O50" s="247">
        <f>'Salary Record'!G386</f>
        <v>0</v>
      </c>
      <c r="P50" s="249" t="str">
        <f>'Salary Record'!G387</f>
        <v/>
      </c>
      <c r="Q50" s="251">
        <f>'Salary Record'!K387</f>
        <v>29283.333333333332</v>
      </c>
      <c r="R50" s="143"/>
      <c r="S50" s="143"/>
      <c r="T50" s="179"/>
      <c r="U50" s="179"/>
      <c r="V50" s="181" t="s">
        <v>199</v>
      </c>
      <c r="W50" s="180">
        <v>5000</v>
      </c>
    </row>
    <row r="51" spans="1:25" s="180" customFormat="1" ht="21" customHeight="1" x14ac:dyDescent="0.2">
      <c r="A51" s="278">
        <v>5</v>
      </c>
      <c r="B51" s="346" t="str">
        <f>'Salary Record'!C332</f>
        <v>M. Shafeeq</v>
      </c>
      <c r="C51" s="216"/>
      <c r="D51" s="204"/>
      <c r="E51" s="110">
        <f>'Salary Record'!K331</f>
        <v>22000</v>
      </c>
      <c r="F51" s="110">
        <f>'Salary Record'!C337</f>
        <v>30</v>
      </c>
      <c r="G51" s="250">
        <f>'Salary Record'!C338</f>
        <v>0</v>
      </c>
      <c r="H51" s="110">
        <f>'Salary Record'!I336</f>
        <v>130</v>
      </c>
      <c r="I51" s="110">
        <f>'Salary Record'!I335</f>
        <v>30</v>
      </c>
      <c r="J51" s="250">
        <f>'Salary Record'!K336</f>
        <v>11916.666666666668</v>
      </c>
      <c r="K51" s="250">
        <f>'Salary Record'!K337</f>
        <v>33916.666666666672</v>
      </c>
      <c r="L51" s="269">
        <f>'Salary Record'!G335</f>
        <v>0</v>
      </c>
      <c r="M51" s="110">
        <f>'Salary Record'!G336</f>
        <v>0</v>
      </c>
      <c r="N51" s="264">
        <f>'Salary Record'!G337</f>
        <v>0</v>
      </c>
      <c r="O51" s="110">
        <f>'Salary Record'!G338</f>
        <v>0</v>
      </c>
      <c r="P51" s="264">
        <f>'Salary Record'!G339</f>
        <v>0</v>
      </c>
      <c r="Q51" s="251">
        <f>'Salary Record'!K339</f>
        <v>33916.666666666672</v>
      </c>
      <c r="R51" s="198">
        <f>Q51*75%</f>
        <v>25437.500000000004</v>
      </c>
      <c r="S51" s="143">
        <v>0</v>
      </c>
      <c r="T51" s="179" t="s">
        <v>156</v>
      </c>
      <c r="U51" s="340"/>
      <c r="V51" s="187" t="s">
        <v>200</v>
      </c>
      <c r="W51" s="180">
        <v>149397</v>
      </c>
    </row>
    <row r="52" spans="1:25" s="274" customFormat="1" ht="21" x14ac:dyDescent="0.3">
      <c r="A52" s="368" t="s">
        <v>2</v>
      </c>
      <c r="B52" s="369"/>
      <c r="C52" s="315"/>
      <c r="D52" s="315"/>
      <c r="E52" s="317">
        <f>SUM(E47:E51)</f>
        <v>118000</v>
      </c>
      <c r="F52" s="315"/>
      <c r="G52" s="315"/>
      <c r="H52" s="315"/>
      <c r="I52" s="315"/>
      <c r="J52" s="317">
        <f>SUM(J47:J51)</f>
        <v>16929.166666666668</v>
      </c>
      <c r="K52" s="315"/>
      <c r="L52" s="315"/>
      <c r="M52" s="315"/>
      <c r="N52" s="315"/>
      <c r="O52" s="315"/>
      <c r="P52" s="315"/>
      <c r="Q52" s="272">
        <f>SUM(Q47:Q51)</f>
        <v>132929.16666666669</v>
      </c>
      <c r="R52" s="309">
        <f>SUM(R49:R51)</f>
        <v>25437.500000000004</v>
      </c>
      <c r="S52" s="309">
        <f>SUM(S49:S51)</f>
        <v>0</v>
      </c>
      <c r="T52" s="273"/>
      <c r="V52" s="275" t="s">
        <v>201</v>
      </c>
      <c r="W52" s="274">
        <v>163692</v>
      </c>
    </row>
    <row r="53" spans="1:25" s="274" customFormat="1" ht="21" x14ac:dyDescent="0.3">
      <c r="A53" s="311"/>
      <c r="B53" s="311"/>
      <c r="C53" s="311"/>
      <c r="D53" s="311"/>
      <c r="E53" s="311"/>
      <c r="F53" s="311"/>
      <c r="G53" s="311"/>
      <c r="H53" s="311"/>
      <c r="I53" s="311"/>
      <c r="J53" s="311"/>
      <c r="K53" s="311"/>
      <c r="L53" s="311"/>
      <c r="M53" s="311"/>
      <c r="N53" s="311"/>
      <c r="O53" s="311"/>
      <c r="P53" s="311"/>
      <c r="Q53" s="312"/>
      <c r="R53" s="313"/>
      <c r="S53" s="313"/>
      <c r="T53" s="313"/>
      <c r="V53" s="314" t="s">
        <v>202</v>
      </c>
      <c r="W53" s="274">
        <v>65000</v>
      </c>
    </row>
    <row r="54" spans="1:25" s="224" customFormat="1" ht="21" customHeight="1" x14ac:dyDescent="0.2">
      <c r="A54" s="362" t="s">
        <v>94</v>
      </c>
      <c r="B54" s="363"/>
      <c r="C54" s="363"/>
      <c r="D54" s="363"/>
      <c r="E54" s="363"/>
      <c r="F54" s="363"/>
      <c r="G54" s="363"/>
      <c r="H54" s="363"/>
      <c r="I54" s="363"/>
      <c r="J54" s="363"/>
      <c r="K54" s="363"/>
      <c r="L54" s="363"/>
      <c r="M54" s="363"/>
      <c r="N54" s="363"/>
      <c r="O54" s="363"/>
      <c r="P54" s="363"/>
      <c r="Q54" s="364"/>
      <c r="R54" s="222"/>
      <c r="S54" s="222"/>
      <c r="T54" s="236"/>
      <c r="U54" s="230"/>
      <c r="V54" s="225" t="s">
        <v>203</v>
      </c>
      <c r="W54" s="224">
        <v>28000</v>
      </c>
      <c r="Y54" s="230"/>
    </row>
    <row r="55" spans="1:25" s="180" customFormat="1" ht="21" customHeight="1" x14ac:dyDescent="0.2">
      <c r="A55" s="279">
        <v>1</v>
      </c>
      <c r="B55" s="324" t="str">
        <f>'Salary Record'!C284</f>
        <v>Mukhtiar</v>
      </c>
      <c r="C55" s="199"/>
      <c r="D55" s="200"/>
      <c r="E55" s="271">
        <f>'Salary Record'!K283</f>
        <v>1200</v>
      </c>
      <c r="F55" s="271">
        <f>'Salary Record'!C289</f>
        <v>0</v>
      </c>
      <c r="G55" s="250">
        <f>'Salary Record'!C290</f>
        <v>0</v>
      </c>
      <c r="H55" s="271">
        <f>'Salary Record'!I288</f>
        <v>0</v>
      </c>
      <c r="I55" s="271">
        <f>'Salary Record'!I287</f>
        <v>21</v>
      </c>
      <c r="J55" s="246">
        <f>'Salary Record'!K288</f>
        <v>0</v>
      </c>
      <c r="K55" s="246">
        <f>'Salary Record'!K289</f>
        <v>25200</v>
      </c>
      <c r="L55" s="247">
        <f>'Salary Record'!G287</f>
        <v>16870</v>
      </c>
      <c r="M55" s="248">
        <f>'Salary Record'!G288</f>
        <v>5000</v>
      </c>
      <c r="N55" s="249">
        <f>'Salary Record'!G289</f>
        <v>21870</v>
      </c>
      <c r="O55" s="248">
        <f>'Salary Record'!G290</f>
        <v>5000</v>
      </c>
      <c r="P55" s="249">
        <f>'Salary Record'!G291</f>
        <v>16870</v>
      </c>
      <c r="Q55" s="251">
        <f>'Salary Record'!K291</f>
        <v>20200</v>
      </c>
      <c r="R55" s="143"/>
      <c r="S55" s="143"/>
      <c r="T55" s="179" t="s">
        <v>142</v>
      </c>
      <c r="U55" s="180" t="s">
        <v>143</v>
      </c>
      <c r="V55" s="181" t="s">
        <v>204</v>
      </c>
      <c r="W55" s="180">
        <v>280884</v>
      </c>
    </row>
    <row r="56" spans="1:25" ht="18" x14ac:dyDescent="0.25">
      <c r="A56" s="279">
        <v>2</v>
      </c>
      <c r="B56" s="324" t="str">
        <f>'Salary Record'!C316</f>
        <v>Asif Hussain</v>
      </c>
      <c r="C56" s="102"/>
      <c r="D56" s="90"/>
      <c r="E56" s="22">
        <f>'Salary Record'!K315</f>
        <v>22000</v>
      </c>
      <c r="F56" s="271">
        <f>'Salary Record'!C321</f>
        <v>30</v>
      </c>
      <c r="G56" s="250">
        <f>'Salary Record'!C322</f>
        <v>0</v>
      </c>
      <c r="H56" s="271">
        <f>'Salary Record'!I320</f>
        <v>-7</v>
      </c>
      <c r="I56" s="271">
        <f>'Salary Record'!I319</f>
        <v>30</v>
      </c>
      <c r="J56" s="16">
        <f>'Salary Record'!K320</f>
        <v>-641.66666666666674</v>
      </c>
      <c r="K56" s="16">
        <f>'Salary Record'!K321</f>
        <v>21358.333333333332</v>
      </c>
      <c r="L56" s="9">
        <f>'Salary Record'!G319</f>
        <v>2760</v>
      </c>
      <c r="M56" s="17">
        <f>'Salary Record'!G320</f>
        <v>4000</v>
      </c>
      <c r="N56" s="18">
        <f>'Salary Record'!G321</f>
        <v>6760</v>
      </c>
      <c r="O56" s="17">
        <f>'Salary Record'!G322</f>
        <v>4000</v>
      </c>
      <c r="P56" s="18">
        <f>'Salary Record'!G323</f>
        <v>2760</v>
      </c>
      <c r="Q56" s="143">
        <f>'Salary Record'!K323</f>
        <v>17358.333333333332</v>
      </c>
      <c r="R56" s="146"/>
      <c r="S56" s="23"/>
      <c r="T56" s="130"/>
      <c r="U56" s="135"/>
      <c r="V56" s="2" t="s">
        <v>205</v>
      </c>
      <c r="W56">
        <v>36250</v>
      </c>
    </row>
    <row r="57" spans="1:25" ht="15.75" x14ac:dyDescent="0.25">
      <c r="A57" s="281">
        <v>3</v>
      </c>
      <c r="B57" s="324" t="str">
        <f>'Salary Record'!C300</f>
        <v xml:space="preserve">M. Imran </v>
      </c>
      <c r="C57" s="99"/>
      <c r="D57" s="92"/>
      <c r="E57" s="338">
        <f>'Salary Record'!K299</f>
        <v>45000</v>
      </c>
      <c r="F57" s="271">
        <f>'Salary Record'!C305</f>
        <v>30</v>
      </c>
      <c r="G57" s="250">
        <f>'Salary Record'!C306</f>
        <v>0</v>
      </c>
      <c r="H57" s="271">
        <f>'Salary Record'!I304</f>
        <v>-8</v>
      </c>
      <c r="I57" s="271">
        <f>'Salary Record'!I303</f>
        <v>30</v>
      </c>
      <c r="J57" s="20">
        <f>'Salary Record'!K304</f>
        <v>-1500</v>
      </c>
      <c r="K57" s="10">
        <f>'Salary Record'!K305</f>
        <v>43500</v>
      </c>
      <c r="L57" s="123">
        <f>'Salary Record'!G303</f>
        <v>13000</v>
      </c>
      <c r="M57" s="10">
        <f>'Salary Record'!G304</f>
        <v>0</v>
      </c>
      <c r="N57" s="88">
        <f>'Salary Record'!G305</f>
        <v>13000</v>
      </c>
      <c r="O57" s="10">
        <f>'Salary Record'!G306</f>
        <v>3000</v>
      </c>
      <c r="P57" s="88">
        <f>'Salary Record'!G307</f>
        <v>10000</v>
      </c>
      <c r="Q57" s="23">
        <f>'Salary Record'!K307</f>
        <v>40500</v>
      </c>
      <c r="R57" s="145"/>
      <c r="S57" s="23"/>
      <c r="T57" s="130"/>
      <c r="U57" s="8"/>
      <c r="V57" s="124" t="s">
        <v>206</v>
      </c>
      <c r="W57">
        <v>106604</v>
      </c>
    </row>
    <row r="58" spans="1:25" s="180" customFormat="1" ht="21" customHeight="1" x14ac:dyDescent="0.2">
      <c r="A58" s="279">
        <v>4</v>
      </c>
      <c r="B58" s="359" t="str">
        <f>'Salary Record'!C268</f>
        <v>Hammad Ahmed</v>
      </c>
      <c r="C58" s="196"/>
      <c r="D58" s="197"/>
      <c r="E58" s="247">
        <f>'Salary Record'!K267</f>
        <v>23000</v>
      </c>
      <c r="F58" s="271">
        <f>'Salary Record'!C273</f>
        <v>28</v>
      </c>
      <c r="G58" s="250">
        <f>'Salary Record'!C274</f>
        <v>2</v>
      </c>
      <c r="H58" s="271">
        <f>'Salary Record'!I272</f>
        <v>-11</v>
      </c>
      <c r="I58" s="271">
        <f>'Salary Record'!I271</f>
        <v>30</v>
      </c>
      <c r="J58" s="246">
        <f>'Salary Record'!K272</f>
        <v>-1054.1666666666665</v>
      </c>
      <c r="K58" s="110">
        <f>'Salary Record'!K273</f>
        <v>21945.833333333332</v>
      </c>
      <c r="L58" s="247">
        <f>'Salary Record'!G271</f>
        <v>0</v>
      </c>
      <c r="M58" s="247">
        <f>'Salary Record'!G272</f>
        <v>0</v>
      </c>
      <c r="N58" s="249" t="str">
        <f>'Salary Record'!G273</f>
        <v/>
      </c>
      <c r="O58" s="247">
        <f>'Salary Record'!G274</f>
        <v>0</v>
      </c>
      <c r="P58" s="249" t="str">
        <f>'Salary Record'!G275</f>
        <v/>
      </c>
      <c r="Q58" s="251">
        <f>'Salary Record'!K275</f>
        <v>21945.833333333332</v>
      </c>
      <c r="R58" s="143"/>
      <c r="S58" s="143"/>
      <c r="T58" s="179" t="s">
        <v>158</v>
      </c>
      <c r="V58" s="181" t="s">
        <v>207</v>
      </c>
      <c r="W58" s="180">
        <v>86384</v>
      </c>
    </row>
    <row r="59" spans="1:25" s="274" customFormat="1" ht="21" x14ac:dyDescent="0.3">
      <c r="A59" s="368" t="s">
        <v>2</v>
      </c>
      <c r="B59" s="369"/>
      <c r="C59" s="315"/>
      <c r="D59" s="315"/>
      <c r="E59" s="317">
        <f>SUM(E55:E58)</f>
        <v>91200</v>
      </c>
      <c r="F59" s="315"/>
      <c r="G59" s="315"/>
      <c r="H59" s="315"/>
      <c r="I59" s="315"/>
      <c r="J59" s="317">
        <f ca="1">SUM(J55:J81)</f>
        <v>15604.838709677417</v>
      </c>
      <c r="K59" s="315"/>
      <c r="L59" s="315"/>
      <c r="M59" s="315"/>
      <c r="N59" s="315"/>
      <c r="O59" s="315"/>
      <c r="P59" s="315"/>
      <c r="Q59" s="317">
        <f>SUM(Q55:Q58)</f>
        <v>100004.16666666666</v>
      </c>
      <c r="R59" s="309">
        <f ca="1">SUM(R55:R81)</f>
        <v>0</v>
      </c>
      <c r="S59" s="309">
        <f ca="1">SUM(S55:S81)</f>
        <v>22000</v>
      </c>
      <c r="T59" s="273"/>
      <c r="U59" s="313"/>
      <c r="V59" s="275" t="s">
        <v>208</v>
      </c>
      <c r="W59" s="274">
        <v>98000</v>
      </c>
    </row>
    <row r="60" spans="1:25" s="274" customFormat="1" ht="21" x14ac:dyDescent="0.3">
      <c r="A60" s="311"/>
      <c r="B60" s="311"/>
      <c r="C60" s="311"/>
      <c r="D60" s="311"/>
      <c r="E60" s="311"/>
      <c r="F60" s="311"/>
      <c r="G60" s="311"/>
      <c r="H60" s="311"/>
      <c r="I60" s="311"/>
      <c r="J60" s="311"/>
      <c r="K60" s="311"/>
      <c r="L60" s="311"/>
      <c r="M60" s="311"/>
      <c r="N60" s="311"/>
      <c r="O60" s="311"/>
      <c r="P60" s="311"/>
      <c r="Q60" s="312"/>
      <c r="R60" s="313"/>
      <c r="S60" s="313"/>
      <c r="T60" s="313"/>
      <c r="V60" s="314"/>
      <c r="W60" s="274">
        <f>SUM(W50:W59)</f>
        <v>1019211</v>
      </c>
    </row>
    <row r="61" spans="1:25" s="228" customFormat="1" ht="21" customHeight="1" x14ac:dyDescent="0.2">
      <c r="A61" s="365" t="s">
        <v>188</v>
      </c>
      <c r="B61" s="366"/>
      <c r="C61" s="366"/>
      <c r="D61" s="366"/>
      <c r="E61" s="366"/>
      <c r="F61" s="366"/>
      <c r="G61" s="366"/>
      <c r="H61" s="366"/>
      <c r="I61" s="366"/>
      <c r="J61" s="366"/>
      <c r="K61" s="366"/>
      <c r="L61" s="366"/>
      <c r="M61" s="366"/>
      <c r="N61" s="366"/>
      <c r="O61" s="366"/>
      <c r="P61" s="366"/>
      <c r="Q61" s="367"/>
      <c r="R61" s="226"/>
      <c r="S61" s="226"/>
      <c r="T61" s="227"/>
      <c r="U61" s="290"/>
      <c r="V61" s="229"/>
      <c r="W61" s="290">
        <v>33000</v>
      </c>
    </row>
    <row r="62" spans="1:25" s="180" customFormat="1" ht="21" customHeight="1" x14ac:dyDescent="0.2">
      <c r="A62" s="278">
        <v>1</v>
      </c>
      <c r="B62" s="361" t="s">
        <v>16</v>
      </c>
      <c r="C62" s="219"/>
      <c r="D62" s="220"/>
      <c r="E62" s="237">
        <f>'Salary Record'!K91</f>
        <v>50000</v>
      </c>
      <c r="F62" s="237">
        <f>'Salary Record'!C97</f>
        <v>30</v>
      </c>
      <c r="G62" s="238">
        <f>'Salary Record'!C98</f>
        <v>0</v>
      </c>
      <c r="H62" s="237">
        <f>'Salary Record'!I96</f>
        <v>69</v>
      </c>
      <c r="I62" s="237">
        <f>'Salary Record'!I95</f>
        <v>30</v>
      </c>
      <c r="J62" s="343">
        <f>'Salary Record'!K96</f>
        <v>14375</v>
      </c>
      <c r="K62" s="239">
        <f>'Salary Record'!K97</f>
        <v>64375</v>
      </c>
      <c r="L62" s="240">
        <f>'Salary Record'!G95</f>
        <v>6000</v>
      </c>
      <c r="M62" s="241">
        <f>'Salary Record'!G96</f>
        <v>0</v>
      </c>
      <c r="N62" s="242">
        <f>'Salary Record'!G97</f>
        <v>6000</v>
      </c>
      <c r="O62" s="241">
        <f>'Salary Record'!G98</f>
        <v>6000</v>
      </c>
      <c r="P62" s="242">
        <f>'Salary Record'!G99</f>
        <v>0</v>
      </c>
      <c r="Q62" s="304">
        <f>'Salary Record'!K99</f>
        <v>58375</v>
      </c>
      <c r="R62" s="193"/>
      <c r="S62" s="143"/>
      <c r="T62" s="179"/>
      <c r="U62" s="179"/>
      <c r="V62" s="181"/>
      <c r="W62" s="179">
        <f>W61+W60</f>
        <v>1052211</v>
      </c>
    </row>
    <row r="63" spans="1:25" s="180" customFormat="1" ht="21" customHeight="1" x14ac:dyDescent="0.2">
      <c r="A63" s="279">
        <v>2</v>
      </c>
      <c r="B63" s="360" t="str">
        <f>'Salary Record'!C108</f>
        <v>Mubeen</v>
      </c>
      <c r="C63" s="183"/>
      <c r="D63" s="184"/>
      <c r="E63" s="248">
        <f>'Salary Record'!K107</f>
        <v>65000</v>
      </c>
      <c r="F63" s="248">
        <f>'Salary Record'!C113</f>
        <v>20</v>
      </c>
      <c r="G63" s="245">
        <f>'Salary Record'!C114</f>
        <v>10</v>
      </c>
      <c r="H63" s="248">
        <f>'Salary Record'!I112</f>
        <v>0</v>
      </c>
      <c r="I63" s="248">
        <f>'Salary Record'!I111</f>
        <v>20</v>
      </c>
      <c r="J63" s="246">
        <f>'Salary Record'!K112</f>
        <v>0</v>
      </c>
      <c r="K63" s="246">
        <f>'Salary Record'!K113</f>
        <v>43333.333333333328</v>
      </c>
      <c r="L63" s="247">
        <f>'Salary Record'!G111</f>
        <v>0</v>
      </c>
      <c r="M63" s="248">
        <f>'Salary Record'!G112</f>
        <v>0</v>
      </c>
      <c r="N63" s="249">
        <f>'Salary Record'!G113</f>
        <v>0</v>
      </c>
      <c r="O63" s="248">
        <f>'Salary Record'!G114</f>
        <v>0</v>
      </c>
      <c r="P63" s="249">
        <f>'Salary Record'!G115</f>
        <v>0</v>
      </c>
      <c r="Q63" s="251">
        <f>'Salary Record'!K115</f>
        <v>43333.333333333328</v>
      </c>
      <c r="R63" s="143"/>
      <c r="S63" s="143"/>
      <c r="T63" s="179"/>
      <c r="U63" s="179"/>
      <c r="V63" s="181"/>
    </row>
    <row r="64" spans="1:25" s="180" customFormat="1" ht="21" customHeight="1" x14ac:dyDescent="0.2">
      <c r="A64" s="278">
        <v>3</v>
      </c>
      <c r="B64" s="356" t="str">
        <f>'Salary Record'!C412</f>
        <v>A. Lateef Chacha</v>
      </c>
      <c r="C64" s="199"/>
      <c r="D64" s="200"/>
      <c r="E64" s="110">
        <f>'Salary Record'!K411</f>
        <v>25000</v>
      </c>
      <c r="F64" s="110">
        <f>'Salary Record'!C417</f>
        <v>30</v>
      </c>
      <c r="G64" s="250">
        <f>'Salary Record'!C418</f>
        <v>0</v>
      </c>
      <c r="H64" s="110">
        <f>'Salary Record'!I416</f>
        <v>61</v>
      </c>
      <c r="I64" s="110">
        <f>'Salary Record'!I415</f>
        <v>30</v>
      </c>
      <c r="J64" s="246">
        <f>'Salary Record'!K416</f>
        <v>6354.166666666667</v>
      </c>
      <c r="K64" s="246">
        <f>'Salary Record'!K417</f>
        <v>31354.166666666668</v>
      </c>
      <c r="L64" s="247">
        <f>'Salary Record'!G415</f>
        <v>3500</v>
      </c>
      <c r="M64" s="247">
        <f>'Salary Record'!G416</f>
        <v>0</v>
      </c>
      <c r="N64" s="249">
        <f>'Salary Record'!G417</f>
        <v>3500</v>
      </c>
      <c r="O64" s="247">
        <f>'Salary Record'!G418</f>
        <v>2500</v>
      </c>
      <c r="P64" s="249">
        <f>'Salary Record'!G419</f>
        <v>1000</v>
      </c>
      <c r="Q64" s="251">
        <f>'Salary Record'!K419</f>
        <v>28854.166666666668</v>
      </c>
      <c r="R64" s="143"/>
      <c r="S64" s="143"/>
      <c r="T64" s="179"/>
      <c r="U64" s="179"/>
      <c r="V64" s="181"/>
    </row>
    <row r="65" spans="1:26" ht="15.75" x14ac:dyDescent="0.25">
      <c r="A65" s="279">
        <v>4</v>
      </c>
      <c r="B65" s="356" t="str">
        <f>'Salary Record'!C428</f>
        <v>Lateef</v>
      </c>
      <c r="C65" s="15"/>
      <c r="D65" s="89"/>
      <c r="E65" s="9">
        <f>'Salary Record'!K427</f>
        <v>25000</v>
      </c>
      <c r="F65" s="9">
        <f>'Salary Record'!C433</f>
        <v>0</v>
      </c>
      <c r="G65" s="21">
        <f>'Salary Record'!C434</f>
        <v>0</v>
      </c>
      <c r="H65" s="9">
        <f>'Salary Record'!I432</f>
        <v>8</v>
      </c>
      <c r="I65" s="9">
        <f>'Salary Record'!I431</f>
        <v>13</v>
      </c>
      <c r="J65" s="16">
        <f>'Salary Record'!K432</f>
        <v>833.33333333333337</v>
      </c>
      <c r="K65" s="16">
        <f>'Salary Record'!K433</f>
        <v>11666.666666666668</v>
      </c>
      <c r="L65" s="9">
        <f>'Salary Record'!G431</f>
        <v>0</v>
      </c>
      <c r="M65" s="9">
        <f>'Salary Record'!G432</f>
        <v>0</v>
      </c>
      <c r="N65" s="153" t="str">
        <f>'Salary Record'!G433</f>
        <v/>
      </c>
      <c r="O65" s="9">
        <f>'Salary Record'!G434</f>
        <v>0</v>
      </c>
      <c r="P65" s="153" t="str">
        <f>'Salary Record'!G435</f>
        <v/>
      </c>
      <c r="Q65" s="143">
        <f>'Salary Record'!K435</f>
        <v>11666.666666666668</v>
      </c>
      <c r="R65" s="145">
        <v>0</v>
      </c>
      <c r="S65" s="23">
        <f t="shared" ref="S65" si="2">Q65-R65</f>
        <v>11666.666666666668</v>
      </c>
      <c r="T65" s="130"/>
      <c r="U65" s="8"/>
      <c r="X65" s="2"/>
      <c r="Z65" s="2"/>
    </row>
    <row r="66" spans="1:26" s="180" customFormat="1" ht="21" customHeight="1" x14ac:dyDescent="0.2">
      <c r="A66" s="278">
        <v>5</v>
      </c>
      <c r="B66" s="243" t="s">
        <v>32</v>
      </c>
      <c r="C66" s="211"/>
      <c r="D66" s="212"/>
      <c r="E66" s="244">
        <f>'Salary Record'!K235</f>
        <v>30000</v>
      </c>
      <c r="F66" s="244">
        <f>'Salary Record'!C241</f>
        <v>27</v>
      </c>
      <c r="G66" s="245">
        <f>'Salary Record'!C242</f>
        <v>3</v>
      </c>
      <c r="H66" s="244">
        <f>'Salary Record'!I240</f>
        <v>88</v>
      </c>
      <c r="I66" s="244">
        <f>'Salary Record'!I239</f>
        <v>30</v>
      </c>
      <c r="J66" s="246">
        <f>'Salary Record'!K240</f>
        <v>11000</v>
      </c>
      <c r="K66" s="110">
        <f>'Salary Record'!K241</f>
        <v>41000</v>
      </c>
      <c r="L66" s="247">
        <f>'Salary Record'!G239</f>
        <v>69500</v>
      </c>
      <c r="M66" s="248">
        <f>'Salary Record'!G240</f>
        <v>10000</v>
      </c>
      <c r="N66" s="249">
        <f>'Salary Record'!G241</f>
        <v>79500</v>
      </c>
      <c r="O66" s="248">
        <f>'Salary Record'!G242</f>
        <v>5000</v>
      </c>
      <c r="P66" s="249">
        <f>'Salary Record'!G243</f>
        <v>74500</v>
      </c>
      <c r="Q66" s="251">
        <f>'Salary Record'!K243</f>
        <v>36000</v>
      </c>
      <c r="R66" s="143"/>
      <c r="S66" s="143"/>
      <c r="T66" s="179" t="s">
        <v>145</v>
      </c>
      <c r="U66" s="179" t="s">
        <v>146</v>
      </c>
      <c r="V66" s="181"/>
    </row>
    <row r="67" spans="1:26" ht="15.75" x14ac:dyDescent="0.25">
      <c r="A67" s="279">
        <v>6</v>
      </c>
      <c r="B67" s="243" t="str">
        <f>'Salary Record'!C572</f>
        <v>Sheheryar Khalid</v>
      </c>
      <c r="C67" s="112"/>
      <c r="D67" s="113"/>
      <c r="E67" s="9">
        <f>'Salary Record'!K571</f>
        <v>30000</v>
      </c>
      <c r="F67" s="9">
        <f>'Salary Record'!C577</f>
        <v>29</v>
      </c>
      <c r="G67" s="21">
        <f>'Salary Record'!C578</f>
        <v>1</v>
      </c>
      <c r="H67" s="9">
        <f>'Salary Record'!I576</f>
        <v>46</v>
      </c>
      <c r="I67" s="9">
        <f>'Salary Record'!I575</f>
        <v>29</v>
      </c>
      <c r="J67" s="344">
        <f>'Salary Record'!K576</f>
        <v>5750</v>
      </c>
      <c r="K67" s="16">
        <f>'Salary Record'!K577</f>
        <v>34750</v>
      </c>
      <c r="L67" s="9">
        <f>'Salary Record'!G575</f>
        <v>51000</v>
      </c>
      <c r="M67" s="9">
        <f>'Salary Record'!G576</f>
        <v>0</v>
      </c>
      <c r="N67" s="18">
        <f>'Salary Record'!G577</f>
        <v>51000</v>
      </c>
      <c r="O67" s="9">
        <f>'Salary Record'!G578</f>
        <v>5000</v>
      </c>
      <c r="P67" s="18">
        <f>'Salary Record'!G579</f>
        <v>46000</v>
      </c>
      <c r="Q67" s="23">
        <f>'Salary Record'!K579</f>
        <v>29750</v>
      </c>
      <c r="R67" s="146">
        <f>Q67*75%</f>
        <v>22312.5</v>
      </c>
      <c r="S67" s="23">
        <v>0</v>
      </c>
      <c r="T67" s="130"/>
    </row>
    <row r="68" spans="1:26" s="180" customFormat="1" ht="21" customHeight="1" x14ac:dyDescent="0.2">
      <c r="A68" s="278">
        <v>7</v>
      </c>
      <c r="B68" s="243" t="str">
        <f>'Salary Record'!C620</f>
        <v>Asif (Cooling tower)</v>
      </c>
      <c r="C68" s="209" t="s">
        <v>40</v>
      </c>
      <c r="D68" s="210">
        <f>SUM(Q46:Q85)</f>
        <v>3602533.333333333</v>
      </c>
      <c r="E68" s="248">
        <f>'Salary Record'!K619</f>
        <v>0</v>
      </c>
      <c r="F68" s="248">
        <f>'Salary Record'!C625</f>
        <v>0</v>
      </c>
      <c r="G68" s="245">
        <f>'Salary Record'!C626</f>
        <v>0</v>
      </c>
      <c r="H68" s="248">
        <f>'Salary Record'!I624</f>
        <v>0</v>
      </c>
      <c r="I68" s="248">
        <f>'Salary Record'!I623</f>
        <v>30</v>
      </c>
      <c r="J68" s="246">
        <f>'Salary Record'!K624</f>
        <v>0</v>
      </c>
      <c r="K68" s="246">
        <f>'Salary Record'!K625</f>
        <v>0</v>
      </c>
      <c r="L68" s="247">
        <f>'Salary Record'!G623</f>
        <v>2000</v>
      </c>
      <c r="M68" s="248">
        <f>'Salary Record'!G624</f>
        <v>0</v>
      </c>
      <c r="N68" s="248">
        <f>'Salary Record'!G625</f>
        <v>2000</v>
      </c>
      <c r="O68" s="248">
        <f>'Salary Record'!G626</f>
        <v>2000</v>
      </c>
      <c r="P68" s="249">
        <f>'Salary Record'!G627</f>
        <v>0</v>
      </c>
      <c r="Q68" s="253">
        <f>'Salary Record'!K627</f>
        <v>0</v>
      </c>
      <c r="R68" s="143"/>
      <c r="S68" s="143"/>
      <c r="T68" s="179"/>
      <c r="U68" s="179"/>
      <c r="V68" s="181"/>
    </row>
    <row r="69" spans="1:26" s="180" customFormat="1" ht="21" customHeight="1" x14ac:dyDescent="0.2">
      <c r="A69" s="279">
        <v>8</v>
      </c>
      <c r="B69" s="357" t="s">
        <v>9</v>
      </c>
      <c r="C69" s="205"/>
      <c r="D69" s="202"/>
      <c r="E69" s="250">
        <f>'Salary Record'!K171</f>
        <v>30000</v>
      </c>
      <c r="F69" s="250">
        <f>'Salary Record'!C177</f>
        <v>0</v>
      </c>
      <c r="G69" s="250">
        <f>'Salary Record'!C178</f>
        <v>0</v>
      </c>
      <c r="H69" s="250">
        <f>'Salary Record'!I176</f>
        <v>45</v>
      </c>
      <c r="I69" s="250">
        <f>'Salary Record'!I175</f>
        <v>30</v>
      </c>
      <c r="J69" s="246">
        <f>'Salary Record'!K176</f>
        <v>5625</v>
      </c>
      <c r="K69" s="246">
        <f>'Salary Record'!K177</f>
        <v>35625</v>
      </c>
      <c r="L69" s="247">
        <f>'Salary Record'!G175</f>
        <v>69867</v>
      </c>
      <c r="M69" s="248">
        <f>'Salary Record'!G176</f>
        <v>0</v>
      </c>
      <c r="N69" s="249">
        <f>'Salary Record'!G177</f>
        <v>69867</v>
      </c>
      <c r="O69" s="248">
        <f>'Salary Record'!G178</f>
        <v>0</v>
      </c>
      <c r="P69" s="249">
        <f>'Salary Record'!G179</f>
        <v>69867</v>
      </c>
      <c r="Q69" s="251">
        <f>'Salary Record'!K179</f>
        <v>35625</v>
      </c>
      <c r="R69" s="143"/>
      <c r="S69" s="143"/>
      <c r="T69" s="179" t="s">
        <v>132</v>
      </c>
      <c r="U69" s="179" t="s">
        <v>133</v>
      </c>
      <c r="V69" s="181"/>
    </row>
    <row r="70" spans="1:26" s="274" customFormat="1" ht="21" x14ac:dyDescent="0.3">
      <c r="A70" s="368" t="s">
        <v>2</v>
      </c>
      <c r="B70" s="369"/>
      <c r="C70" s="315"/>
      <c r="D70" s="315"/>
      <c r="E70" s="319">
        <f>SUM(E62:E69)</f>
        <v>255000</v>
      </c>
      <c r="F70" s="315"/>
      <c r="G70" s="315"/>
      <c r="H70" s="315"/>
      <c r="I70" s="315"/>
      <c r="J70" s="319">
        <f>SUM(J62:J69)</f>
        <v>43937.5</v>
      </c>
      <c r="K70" s="315"/>
      <c r="L70" s="315"/>
      <c r="M70" s="315"/>
      <c r="N70" s="315"/>
      <c r="O70" s="315"/>
      <c r="P70" s="315"/>
      <c r="Q70" s="272">
        <f>SUM(Q62:Q69)</f>
        <v>243604.16666666666</v>
      </c>
      <c r="R70" s="309" t="e">
        <f ca="1">SUM(R64:R92)</f>
        <v>#REF!</v>
      </c>
      <c r="S70" s="309" t="e">
        <f ca="1">SUM(S64:S92)</f>
        <v>#REF!</v>
      </c>
      <c r="T70" s="273"/>
      <c r="V70" s="275"/>
    </row>
    <row r="71" spans="1:26" s="274" customFormat="1" ht="21" x14ac:dyDescent="0.3">
      <c r="A71" s="311"/>
      <c r="B71" s="311"/>
      <c r="C71" s="311"/>
      <c r="D71" s="311"/>
      <c r="E71" s="311"/>
      <c r="F71" s="311"/>
      <c r="G71" s="311"/>
      <c r="H71" s="311"/>
      <c r="I71" s="311"/>
      <c r="J71" s="311"/>
      <c r="K71" s="311"/>
      <c r="L71" s="311"/>
      <c r="M71" s="311"/>
      <c r="N71" s="311"/>
      <c r="O71" s="311"/>
      <c r="P71" s="311"/>
      <c r="Q71" s="312"/>
      <c r="R71" s="313"/>
      <c r="S71" s="313"/>
      <c r="T71" s="313"/>
      <c r="U71" s="313"/>
      <c r="V71" s="314"/>
    </row>
    <row r="72" spans="1:26" s="224" customFormat="1" ht="21" customHeight="1" x14ac:dyDescent="0.2">
      <c r="A72" s="362" t="s">
        <v>187</v>
      </c>
      <c r="B72" s="363"/>
      <c r="C72" s="363"/>
      <c r="D72" s="363"/>
      <c r="E72" s="363"/>
      <c r="F72" s="363"/>
      <c r="G72" s="363"/>
      <c r="H72" s="363"/>
      <c r="I72" s="363"/>
      <c r="J72" s="363"/>
      <c r="K72" s="363"/>
      <c r="L72" s="363"/>
      <c r="M72" s="363"/>
      <c r="N72" s="363"/>
      <c r="O72" s="363"/>
      <c r="P72" s="363"/>
      <c r="Q72" s="364"/>
      <c r="R72" s="222"/>
      <c r="S72" s="222"/>
      <c r="T72" s="236"/>
      <c r="U72" s="230"/>
      <c r="V72" s="225"/>
    </row>
    <row r="73" spans="1:26" s="180" customFormat="1" ht="21" customHeight="1" x14ac:dyDescent="0.3">
      <c r="A73" s="279">
        <v>1</v>
      </c>
      <c r="B73" s="357" t="str">
        <f>'Salary Record'!C588</f>
        <v>Zeeshan AC</v>
      </c>
      <c r="C73" s="183"/>
      <c r="D73" s="184"/>
      <c r="E73" s="110">
        <f>'Salary Record'!K587</f>
        <v>28000</v>
      </c>
      <c r="F73" s="110">
        <f>'Salary Record'!C593</f>
        <v>30</v>
      </c>
      <c r="G73" s="250">
        <f>'Salary Record'!C594</f>
        <v>0</v>
      </c>
      <c r="H73" s="110">
        <f>'Salary Record'!I592</f>
        <v>0</v>
      </c>
      <c r="I73" s="110">
        <f>'Salary Record'!I591</f>
        <v>30</v>
      </c>
      <c r="J73" s="246">
        <f>'Salary Record'!K592</f>
        <v>0</v>
      </c>
      <c r="K73" s="110">
        <f>'Salary Record'!K593</f>
        <v>28000</v>
      </c>
      <c r="L73" s="247">
        <f>'Salary Record'!G591</f>
        <v>0</v>
      </c>
      <c r="M73" s="247">
        <f>'Salary Record'!G592</f>
        <v>0</v>
      </c>
      <c r="N73" s="247" t="str">
        <f>'Salary Record'!G593</f>
        <v/>
      </c>
      <c r="O73" s="247">
        <f>'Salary Record'!G594</f>
        <v>0</v>
      </c>
      <c r="P73" s="247" t="str">
        <f>'Salary Record'!G595</f>
        <v/>
      </c>
      <c r="Q73" s="251">
        <f>'Salary Record'!K595</f>
        <v>28000</v>
      </c>
      <c r="R73" s="143"/>
      <c r="S73" s="143"/>
      <c r="T73" s="179"/>
      <c r="U73" s="179">
        <f>Q70-Q63</f>
        <v>200270.83333333331</v>
      </c>
      <c r="V73" s="275"/>
    </row>
    <row r="74" spans="1:26" s="274" customFormat="1" ht="21" x14ac:dyDescent="0.3">
      <c r="A74" s="368" t="s">
        <v>2</v>
      </c>
      <c r="B74" s="369"/>
      <c r="C74" s="315"/>
      <c r="D74" s="315"/>
      <c r="E74" s="317">
        <f>SUM(E73:E73)</f>
        <v>28000</v>
      </c>
      <c r="F74" s="315"/>
      <c r="G74" s="315"/>
      <c r="H74" s="315"/>
      <c r="I74" s="315"/>
      <c r="J74" s="317">
        <f>SUM(J73:J73)</f>
        <v>0</v>
      </c>
      <c r="K74" s="315"/>
      <c r="L74" s="315"/>
      <c r="M74" s="315"/>
      <c r="N74" s="315"/>
      <c r="O74" s="315"/>
      <c r="P74" s="315"/>
      <c r="Q74" s="272">
        <f>SUM(Q73:Q73)</f>
        <v>28000</v>
      </c>
      <c r="R74" s="309">
        <f>SUM(R73:R73)</f>
        <v>0</v>
      </c>
      <c r="S74" s="309">
        <f>SUM(S73:S73)</f>
        <v>0</v>
      </c>
      <c r="T74" s="273"/>
      <c r="U74" s="313"/>
      <c r="V74" s="275"/>
    </row>
    <row r="75" spans="1:26" ht="21" customHeight="1" x14ac:dyDescent="0.2">
      <c r="A75" s="381" t="s">
        <v>109</v>
      </c>
      <c r="B75" s="382"/>
      <c r="C75" s="307"/>
      <c r="D75" s="307"/>
      <c r="E75" s="321">
        <f>SUM(E4+E5+E74+E59+E52+E45+E34+E27+E20+E11+E70)</f>
        <v>1326700</v>
      </c>
      <c r="F75" s="307"/>
      <c r="G75" s="307"/>
      <c r="H75" s="307"/>
      <c r="I75" s="307"/>
      <c r="J75" s="320">
        <f ca="1">SUM(J4+J5+J74+J59+J52+J45+J34+J27+J20+J11+J70)</f>
        <v>140606.24999999997</v>
      </c>
      <c r="K75" s="308"/>
      <c r="L75" s="277">
        <f>SUM(L4:L74)</f>
        <v>560197</v>
      </c>
      <c r="M75" s="318">
        <f>SUM(M4:M74)</f>
        <v>86500</v>
      </c>
      <c r="N75" s="277">
        <f>SUM(N4:N74)</f>
        <v>646697</v>
      </c>
      <c r="O75" s="277">
        <f>SUM(O4:O74)</f>
        <v>82500</v>
      </c>
      <c r="P75" s="277">
        <f>SUM(P4:P74)</f>
        <v>564197</v>
      </c>
      <c r="Q75" s="276">
        <f>SUM(Q4+Q5+Q74+Q59+Q52+Q45+Q34+Q27+Q20+Q11+Q70)</f>
        <v>1296604.1666666667</v>
      </c>
      <c r="R75" s="98" t="e">
        <f ca="1">SUM(R4+R5+R74+#REF!+R59+R52+#REF!+R45+R34+R27+R20+R11)</f>
        <v>#REF!</v>
      </c>
      <c r="S75" s="98" t="e">
        <f ca="1">SUM(S4+S5+S74+#REF!+S59+S52+#REF!+S45+S34+S27+S20+S11)</f>
        <v>#REF!</v>
      </c>
      <c r="T75" s="132"/>
      <c r="U75" s="8"/>
      <c r="W75" s="8"/>
    </row>
    <row r="76" spans="1:26" ht="20.45" customHeight="1" x14ac:dyDescent="0.2">
      <c r="A76" s="383" t="s">
        <v>197</v>
      </c>
      <c r="B76" s="384"/>
      <c r="C76" s="384"/>
      <c r="D76" s="384"/>
      <c r="E76" s="384"/>
      <c r="F76" s="384"/>
      <c r="G76" s="384"/>
      <c r="H76" s="384"/>
      <c r="I76" s="384"/>
      <c r="J76" s="384"/>
      <c r="K76" s="384"/>
      <c r="L76" s="384"/>
      <c r="M76" s="384"/>
      <c r="N76" s="384"/>
      <c r="O76" s="384"/>
      <c r="P76" s="385"/>
      <c r="Q76" s="154">
        <f>[1]Cash!$I$5948</f>
        <v>976968.41666666674</v>
      </c>
      <c r="R76" s="98"/>
      <c r="S76" s="98"/>
      <c r="T76" s="132"/>
      <c r="U76" s="8">
        <f>Q73+Q69+Q65+Q63+Q40+Q37+Q26+Q25+Q24+Q23+Q14+Q64</f>
        <v>483152.08333333331</v>
      </c>
      <c r="W76" s="8"/>
    </row>
    <row r="77" spans="1:26" ht="20.45" customHeight="1" x14ac:dyDescent="0.2">
      <c r="A77" s="383" t="s">
        <v>198</v>
      </c>
      <c r="B77" s="384"/>
      <c r="C77" s="384"/>
      <c r="D77" s="384"/>
      <c r="E77" s="384"/>
      <c r="F77" s="384"/>
      <c r="G77" s="384"/>
      <c r="H77" s="384"/>
      <c r="I77" s="384"/>
      <c r="J77" s="384"/>
      <c r="K77" s="384"/>
      <c r="L77" s="384"/>
      <c r="M77" s="384"/>
      <c r="N77" s="384"/>
      <c r="O77" s="384"/>
      <c r="P77" s="385"/>
      <c r="Q77" s="154">
        <f>Q75-Q76</f>
        <v>319635.75</v>
      </c>
      <c r="R77" s="98"/>
      <c r="S77" s="98"/>
      <c r="T77" s="132"/>
      <c r="U77" s="8"/>
      <c r="W77" s="8"/>
    </row>
    <row r="78" spans="1:26" ht="20.45" customHeight="1" x14ac:dyDescent="0.25">
      <c r="A78" s="280"/>
      <c r="B78" s="134"/>
      <c r="C78" s="134"/>
      <c r="D78" s="134"/>
      <c r="E78" s="134"/>
      <c r="F78" s="134"/>
      <c r="G78" s="134"/>
      <c r="H78" s="134"/>
      <c r="I78" s="134"/>
      <c r="J78" s="134"/>
      <c r="K78" s="157"/>
      <c r="L78" s="157"/>
      <c r="M78" s="157"/>
      <c r="N78" s="157"/>
      <c r="O78" s="158"/>
      <c r="P78" s="158"/>
      <c r="Q78" s="159"/>
      <c r="R78" s="98"/>
      <c r="S78" s="98"/>
      <c r="T78" s="132"/>
      <c r="U78" s="8">
        <f>Q73+Q69+Q65+Q64+Q14+Q27</f>
        <v>319631.25</v>
      </c>
      <c r="W78" s="8">
        <f>Q69+Q27+Q14</f>
        <v>251110.41666666666</v>
      </c>
    </row>
    <row r="79" spans="1:26" ht="18" x14ac:dyDescent="0.25">
      <c r="A79" s="282"/>
      <c r="B79" s="155"/>
      <c r="C79" s="100"/>
      <c r="D79" s="101"/>
      <c r="E79" s="9"/>
      <c r="F79" s="9"/>
      <c r="G79" s="21"/>
      <c r="H79" s="104"/>
      <c r="I79" s="9"/>
      <c r="J79" s="16"/>
      <c r="K79" s="10"/>
      <c r="L79" s="9"/>
      <c r="M79" s="9"/>
      <c r="N79" s="18"/>
      <c r="O79" s="9"/>
      <c r="P79" s="18"/>
      <c r="Q79" s="342"/>
      <c r="R79" s="123"/>
      <c r="S79" s="23"/>
      <c r="T79" s="130"/>
      <c r="U79" s="8"/>
      <c r="W79" s="8"/>
    </row>
    <row r="80" spans="1:26" ht="15" x14ac:dyDescent="0.25">
      <c r="A80" s="282">
        <v>5</v>
      </c>
      <c r="B80" s="19">
        <f>'Salary Record'!C858</f>
        <v>0</v>
      </c>
      <c r="C80" s="95"/>
      <c r="D80" s="94"/>
      <c r="E80" s="10">
        <f>'Salary Record'!K857</f>
        <v>0</v>
      </c>
      <c r="F80" s="10">
        <f>'Salary Record'!C863</f>
        <v>0</v>
      </c>
      <c r="G80" s="20">
        <f>'Salary Record'!C864</f>
        <v>0</v>
      </c>
      <c r="H80" s="10">
        <f>'Salary Record'!I862</f>
        <v>0</v>
      </c>
      <c r="I80" s="10">
        <f>'Salary Record'!I861</f>
        <v>0</v>
      </c>
      <c r="J80" s="16">
        <f>'Salary Record'!K862</f>
        <v>0</v>
      </c>
      <c r="K80" s="10">
        <f>'Salary Record'!K863</f>
        <v>0</v>
      </c>
      <c r="L80" s="9">
        <f>'Salary Record'!G861</f>
        <v>0</v>
      </c>
      <c r="M80" s="17">
        <f>'Salary Record'!G862</f>
        <v>0</v>
      </c>
      <c r="N80" s="18">
        <f>'Salary Record'!G863</f>
        <v>0</v>
      </c>
      <c r="O80" s="17">
        <f>'Salary Record'!G864</f>
        <v>0</v>
      </c>
      <c r="P80" s="18">
        <f>'Salary Record'!G865</f>
        <v>0</v>
      </c>
      <c r="Q80" s="23">
        <f>'Salary Record'!K865</f>
        <v>0</v>
      </c>
      <c r="R80" s="146">
        <f>Q80*75%</f>
        <v>0</v>
      </c>
      <c r="S80" s="23">
        <v>0</v>
      </c>
      <c r="T80" s="130"/>
    </row>
    <row r="81" spans="1:26" x14ac:dyDescent="0.2">
      <c r="A81" s="283"/>
      <c r="B81" s="148"/>
      <c r="C81" s="148"/>
      <c r="D81" s="148"/>
      <c r="E81" s="117"/>
      <c r="F81" s="117"/>
      <c r="G81" s="149"/>
      <c r="H81" s="117"/>
      <c r="I81" s="117"/>
      <c r="J81" s="117"/>
      <c r="K81" s="117"/>
      <c r="L81" s="117"/>
      <c r="M81" s="117"/>
      <c r="N81" s="150"/>
      <c r="O81" s="117"/>
      <c r="P81" s="150"/>
      <c r="Q81" s="119"/>
    </row>
    <row r="82" spans="1:26" s="180" customFormat="1" ht="21" customHeight="1" x14ac:dyDescent="0.2">
      <c r="A82" s="279">
        <v>5</v>
      </c>
      <c r="B82" s="243"/>
      <c r="C82" s="206"/>
      <c r="D82" s="207"/>
      <c r="E82" s="250">
        <f>'Salary Record'!K667</f>
        <v>30000</v>
      </c>
      <c r="F82" s="250">
        <f>'Salary Record'!C673</f>
        <v>25</v>
      </c>
      <c r="G82" s="250">
        <f>'Salary Record'!C674</f>
        <v>5</v>
      </c>
      <c r="H82" s="250">
        <f>'Salary Record'!I672</f>
        <v>42</v>
      </c>
      <c r="I82" s="250">
        <f>'Salary Record'!I671</f>
        <v>25</v>
      </c>
      <c r="J82" s="246">
        <f>'Salary Record'!K672</f>
        <v>5250</v>
      </c>
      <c r="K82" s="246">
        <f>'Salary Record'!K673</f>
        <v>30250</v>
      </c>
      <c r="L82" s="247">
        <f>'Salary Record'!G671</f>
        <v>0</v>
      </c>
      <c r="M82" s="248">
        <f>'Salary Record'!G672</f>
        <v>30000</v>
      </c>
      <c r="N82" s="249">
        <f>'Salary Record'!G673</f>
        <v>30000</v>
      </c>
      <c r="O82" s="248">
        <f>'Salary Record'!G674</f>
        <v>30000</v>
      </c>
      <c r="P82" s="249">
        <f>'Salary Record'!G675</f>
        <v>0</v>
      </c>
      <c r="Q82" s="305">
        <f>'Salary Record'!K675</f>
        <v>250</v>
      </c>
      <c r="R82" s="208"/>
      <c r="S82" s="143"/>
      <c r="T82" s="179"/>
      <c r="U82" s="179"/>
      <c r="V82" s="181"/>
    </row>
    <row r="83" spans="1:26" s="180" customFormat="1" ht="21" customHeight="1" x14ac:dyDescent="0.2">
      <c r="A83" s="278">
        <v>2</v>
      </c>
      <c r="B83" s="330" t="s">
        <v>13</v>
      </c>
      <c r="C83" s="214"/>
      <c r="D83" s="215"/>
      <c r="E83" s="271">
        <f>'Salary Record'!K635</f>
        <v>25000</v>
      </c>
      <c r="F83" s="271">
        <f>'Salary Record'!C641</f>
        <v>0</v>
      </c>
      <c r="G83" s="250">
        <f>'Salary Record'!C642</f>
        <v>0</v>
      </c>
      <c r="H83" s="271">
        <f>'Salary Record'!I640</f>
        <v>0</v>
      </c>
      <c r="I83" s="271">
        <f>'Salary Record'!I639</f>
        <v>0</v>
      </c>
      <c r="J83" s="246">
        <f>'Salary Record'!K640</f>
        <v>0</v>
      </c>
      <c r="K83" s="246">
        <f>'Salary Record'!K641</f>
        <v>0</v>
      </c>
      <c r="L83" s="247">
        <f>'Salary Record'!G639</f>
        <v>0</v>
      </c>
      <c r="M83" s="248">
        <f>'Salary Record'!G640</f>
        <v>0</v>
      </c>
      <c r="N83" s="249" t="str">
        <f>'Salary Record'!G641</f>
        <v/>
      </c>
      <c r="O83" s="248">
        <f>'Salary Record'!G642</f>
        <v>0</v>
      </c>
      <c r="P83" s="249" t="str">
        <f>'Salary Record'!G643</f>
        <v/>
      </c>
      <c r="Q83" s="253">
        <f>'Salary Record'!K643</f>
        <v>0</v>
      </c>
      <c r="R83" s="143"/>
      <c r="S83" s="143"/>
      <c r="T83" s="179" t="s">
        <v>123</v>
      </c>
      <c r="U83" s="180" t="s">
        <v>124</v>
      </c>
      <c r="V83" s="181"/>
    </row>
    <row r="84" spans="1:26" ht="15" x14ac:dyDescent="0.25">
      <c r="A84" s="282">
        <v>7</v>
      </c>
      <c r="B84" s="19">
        <f>'Salary Record'!C874</f>
        <v>0</v>
      </c>
      <c r="C84" s="102"/>
      <c r="D84" s="92"/>
      <c r="E84" s="20">
        <f>'Salary Record'!K873</f>
        <v>0</v>
      </c>
      <c r="F84" s="20">
        <f>'Salary Record'!C879</f>
        <v>0</v>
      </c>
      <c r="G84" s="20">
        <f>'Salary Record'!C880</f>
        <v>0</v>
      </c>
      <c r="H84" s="20">
        <f>'Salary Record'!I878</f>
        <v>0</v>
      </c>
      <c r="I84" s="20">
        <f>'Salary Record'!I877</f>
        <v>0</v>
      </c>
      <c r="J84" s="16">
        <f>'Salary Record'!K878</f>
        <v>0</v>
      </c>
      <c r="K84" s="16">
        <f>'Salary Record'!K879</f>
        <v>0</v>
      </c>
      <c r="L84" s="9">
        <f>'Salary Record'!G877</f>
        <v>0</v>
      </c>
      <c r="M84" s="17">
        <f>'Salary Record'!G878</f>
        <v>0</v>
      </c>
      <c r="N84" s="18">
        <f>'Salary Record'!G879</f>
        <v>0</v>
      </c>
      <c r="O84" s="17">
        <f>'Salary Record'!G880</f>
        <v>0</v>
      </c>
      <c r="P84" s="18">
        <f>'Salary Record'!G881</f>
        <v>0</v>
      </c>
      <c r="Q84" s="23">
        <f>'Salary Record'!K881</f>
        <v>0</v>
      </c>
      <c r="R84" s="145"/>
      <c r="S84" s="23"/>
      <c r="T84" s="130"/>
    </row>
    <row r="85" spans="1:26" ht="15" x14ac:dyDescent="0.25">
      <c r="A85" s="281">
        <v>16</v>
      </c>
      <c r="B85" s="127">
        <f>'Salary Record'!C700</f>
        <v>0</v>
      </c>
      <c r="C85" s="95"/>
      <c r="D85" s="94"/>
      <c r="E85" s="20">
        <f>'Salary Record'!K699</f>
        <v>0</v>
      </c>
      <c r="F85" s="20">
        <f>'Salary Record'!C705</f>
        <v>0</v>
      </c>
      <c r="G85" s="20">
        <f>'Salary Record'!C706</f>
        <v>0</v>
      </c>
      <c r="H85" s="20">
        <f>'Salary Record'!I704</f>
        <v>0</v>
      </c>
      <c r="I85" s="20">
        <f>'Salary Record'!I703</f>
        <v>0</v>
      </c>
      <c r="J85" s="16">
        <f>'Salary Record'!K704</f>
        <v>0</v>
      </c>
      <c r="K85" s="16">
        <f>'Salary Record'!K705</f>
        <v>0</v>
      </c>
      <c r="L85" s="9">
        <f>'Salary Record'!G703</f>
        <v>0</v>
      </c>
      <c r="M85" s="17">
        <f>'Salary Record'!G704</f>
        <v>0</v>
      </c>
      <c r="N85" s="18">
        <f>'Salary Record'!G705</f>
        <v>0</v>
      </c>
      <c r="O85" s="17">
        <f>'Salary Record'!G706</f>
        <v>0</v>
      </c>
      <c r="P85" s="18">
        <f>'Salary Record'!G707</f>
        <v>0</v>
      </c>
      <c r="Q85" s="126">
        <f>'Salary Record'!K707</f>
        <v>0</v>
      </c>
      <c r="R85" s="147"/>
      <c r="S85" s="126"/>
      <c r="T85" s="133"/>
      <c r="U85" s="8"/>
    </row>
    <row r="86" spans="1:26" s="180" customFormat="1" ht="21" customHeight="1" x14ac:dyDescent="0.2">
      <c r="A86" s="278">
        <v>2</v>
      </c>
      <c r="B86" s="325" t="s">
        <v>14</v>
      </c>
      <c r="C86" s="217" t="s">
        <v>33</v>
      </c>
      <c r="D86" s="218" t="e">
        <f>SUM(Q26:Q90)</f>
        <v>#REF!</v>
      </c>
      <c r="E86" s="265" t="e">
        <f>'Salary Record'!#REF!</f>
        <v>#REF!</v>
      </c>
      <c r="F86" s="265" t="e">
        <f>'Salary Record'!#REF!</f>
        <v>#REF!</v>
      </c>
      <c r="G86" s="266" t="e">
        <f>'Salary Record'!#REF!</f>
        <v>#REF!</v>
      </c>
      <c r="H86" s="265" t="e">
        <f>'Salary Record'!#REF!</f>
        <v>#REF!</v>
      </c>
      <c r="I86" s="265" t="e">
        <f>'Salary Record'!#REF!</f>
        <v>#REF!</v>
      </c>
      <c r="J86" s="239" t="e">
        <f>'Salary Record'!#REF!</f>
        <v>#REF!</v>
      </c>
      <c r="K86" s="265" t="e">
        <f>'Salary Record'!#REF!</f>
        <v>#REF!</v>
      </c>
      <c r="L86" s="240" t="e">
        <f>'Salary Record'!#REF!</f>
        <v>#REF!</v>
      </c>
      <c r="M86" s="240" t="e">
        <f>'Salary Record'!#REF!</f>
        <v>#REF!</v>
      </c>
      <c r="N86" s="242" t="e">
        <f>'Salary Record'!#REF!</f>
        <v>#REF!</v>
      </c>
      <c r="O86" s="241" t="e">
        <f>'Salary Record'!#REF!</f>
        <v>#REF!</v>
      </c>
      <c r="P86" s="242" t="e">
        <f>'Salary Record'!#REF!</f>
        <v>#REF!</v>
      </c>
      <c r="Q86" s="267" t="e">
        <f>'Salary Record'!#REF!</f>
        <v>#REF!</v>
      </c>
      <c r="R86" s="193"/>
      <c r="S86" s="143"/>
      <c r="T86" s="179"/>
      <c r="U86" s="179"/>
      <c r="V86" s="181"/>
    </row>
    <row r="87" spans="1:26" ht="15" x14ac:dyDescent="0.25">
      <c r="A87" s="282">
        <v>7</v>
      </c>
      <c r="B87" s="19">
        <f>'Salary Record'!C684</f>
        <v>0</v>
      </c>
      <c r="C87" s="95"/>
      <c r="D87" s="94"/>
      <c r="E87" s="20">
        <f>'Salary Record'!K683</f>
        <v>0</v>
      </c>
      <c r="F87" s="20">
        <f>'Salary Record'!C689</f>
        <v>0</v>
      </c>
      <c r="G87" s="20">
        <f>'Salary Record'!C690</f>
        <v>0</v>
      </c>
      <c r="H87" s="20">
        <f>'Salary Record'!I688</f>
        <v>0</v>
      </c>
      <c r="I87" s="20">
        <f>'Salary Record'!I687</f>
        <v>30</v>
      </c>
      <c r="J87" s="16">
        <f>'Salary Record'!K688</f>
        <v>0</v>
      </c>
      <c r="K87" s="16">
        <f>'Salary Record'!K689</f>
        <v>0</v>
      </c>
      <c r="L87" s="9">
        <f>'Salary Record'!G687</f>
        <v>0</v>
      </c>
      <c r="M87" s="17">
        <f>'Salary Record'!G688</f>
        <v>0</v>
      </c>
      <c r="N87" s="18" t="str">
        <f>'Salary Record'!G689</f>
        <v/>
      </c>
      <c r="O87" s="17">
        <f>'Salary Record'!G690</f>
        <v>0</v>
      </c>
      <c r="P87" s="18" t="str">
        <f>'Salary Record'!G691</f>
        <v/>
      </c>
      <c r="Q87" s="23">
        <f>'Salary Record'!K691</f>
        <v>0</v>
      </c>
      <c r="R87" s="145">
        <v>0</v>
      </c>
      <c r="S87" s="23">
        <f>Q87-R87</f>
        <v>0</v>
      </c>
      <c r="T87" s="130"/>
    </row>
    <row r="88" spans="1:26" ht="15" x14ac:dyDescent="0.25">
      <c r="A88" s="282"/>
      <c r="B88" s="19"/>
      <c r="C88" s="151" t="s">
        <v>34</v>
      </c>
      <c r="D88" s="152" t="e">
        <f>SUM(Q27:Q92)</f>
        <v>#REF!</v>
      </c>
      <c r="E88" s="17" t="e">
        <f>'Salary Record'!#REF!</f>
        <v>#REF!</v>
      </c>
      <c r="F88" s="17" t="e">
        <f>'Salary Record'!#REF!</f>
        <v>#REF!</v>
      </c>
      <c r="G88" s="24" t="e">
        <f>'Salary Record'!#REF!</f>
        <v>#REF!</v>
      </c>
      <c r="H88" s="17" t="e">
        <f>'Salary Record'!#REF!</f>
        <v>#REF!</v>
      </c>
      <c r="I88" s="17" t="e">
        <f>'Salary Record'!#REF!</f>
        <v>#REF!</v>
      </c>
      <c r="J88" s="16" t="e">
        <f>'Salary Record'!#REF!</f>
        <v>#REF!</v>
      </c>
      <c r="K88" s="16" t="e">
        <f>'Salary Record'!#REF!</f>
        <v>#REF!</v>
      </c>
      <c r="L88" s="9" t="e">
        <f>'Salary Record'!#REF!</f>
        <v>#REF!</v>
      </c>
      <c r="M88" s="17" t="e">
        <f>'Salary Record'!#REF!</f>
        <v>#REF!</v>
      </c>
      <c r="N88" s="18" t="e">
        <f>'Salary Record'!#REF!</f>
        <v>#REF!</v>
      </c>
      <c r="O88" s="17" t="e">
        <f>'Salary Record'!#REF!</f>
        <v>#REF!</v>
      </c>
      <c r="P88" s="18" t="e">
        <f>'Salary Record'!#REF!</f>
        <v>#REF!</v>
      </c>
      <c r="Q88" s="23" t="e">
        <f>'Salary Record'!#REF!</f>
        <v>#REF!</v>
      </c>
      <c r="R88" s="145"/>
      <c r="S88" s="23"/>
      <c r="T88" s="130"/>
    </row>
    <row r="89" spans="1:26" s="180" customFormat="1" ht="21" customHeight="1" x14ac:dyDescent="0.2">
      <c r="A89" s="278">
        <v>5</v>
      </c>
      <c r="B89" s="243" t="s">
        <v>164</v>
      </c>
      <c r="C89" s="211" t="s">
        <v>89</v>
      </c>
      <c r="D89" s="212">
        <f>SUM(Q27:Q71)</f>
        <v>1933256.25</v>
      </c>
      <c r="E89" s="271" t="e">
        <f>'Salary Record'!#REF!</f>
        <v>#REF!</v>
      </c>
      <c r="F89" s="271" t="e">
        <f>'Salary Record'!#REF!</f>
        <v>#REF!</v>
      </c>
      <c r="G89" s="250" t="e">
        <f>'Salary Record'!#REF!</f>
        <v>#REF!</v>
      </c>
      <c r="H89" s="271" t="e">
        <f>'Salary Record'!#REF!</f>
        <v>#REF!</v>
      </c>
      <c r="I89" s="271" t="e">
        <f>'Salary Record'!#REF!</f>
        <v>#REF!</v>
      </c>
      <c r="J89" s="246" t="e">
        <f>'Salary Record'!#REF!</f>
        <v>#REF!</v>
      </c>
      <c r="K89" s="246" t="e">
        <f>'Salary Record'!#REF!</f>
        <v>#REF!</v>
      </c>
      <c r="L89" s="247" t="e">
        <f>'Salary Record'!#REF!</f>
        <v>#REF!</v>
      </c>
      <c r="M89" s="248" t="e">
        <f>'Salary Record'!#REF!</f>
        <v>#REF!</v>
      </c>
      <c r="N89" s="249" t="e">
        <f>'Salary Record'!#REF!</f>
        <v>#REF!</v>
      </c>
      <c r="O89" s="248" t="e">
        <f>'Salary Record'!#REF!</f>
        <v>#REF!</v>
      </c>
      <c r="P89" s="249" t="e">
        <f>'Salary Record'!#REF!</f>
        <v>#REF!</v>
      </c>
      <c r="Q89" s="253" t="e">
        <f>'Salary Record'!#REF!</f>
        <v>#REF!</v>
      </c>
      <c r="R89" s="143"/>
      <c r="S89" s="143"/>
      <c r="T89" s="179" t="s">
        <v>122</v>
      </c>
      <c r="V89" s="181"/>
    </row>
    <row r="90" spans="1:26" x14ac:dyDescent="0.2">
      <c r="A90" s="283"/>
      <c r="B90" s="148"/>
      <c r="C90" s="148"/>
      <c r="D90" s="148"/>
      <c r="E90" s="117"/>
      <c r="F90" s="117"/>
      <c r="G90" s="149"/>
      <c r="H90" s="117"/>
      <c r="I90" s="117"/>
      <c r="J90" s="117"/>
      <c r="K90" s="117"/>
      <c r="L90" s="117"/>
      <c r="M90" s="117"/>
      <c r="N90" s="150"/>
      <c r="O90" s="117"/>
      <c r="P90" s="150"/>
      <c r="Q90" s="119"/>
    </row>
    <row r="91" spans="1:26" ht="15" x14ac:dyDescent="0.25">
      <c r="A91" s="281">
        <v>10</v>
      </c>
      <c r="B91" s="19" t="str">
        <f>'Salary Record'!C652</f>
        <v>Azeem D/W</v>
      </c>
      <c r="C91" s="100"/>
      <c r="D91" s="101"/>
      <c r="E91" s="9">
        <f>'Salary Record'!K651</f>
        <v>1400</v>
      </c>
      <c r="F91" s="9">
        <f>'Salary Record'!C657</f>
        <v>0</v>
      </c>
      <c r="G91" s="21">
        <f>'Salary Record'!C658</f>
        <v>0</v>
      </c>
      <c r="H91" s="9">
        <f>'Salary Record'!I656</f>
        <v>0</v>
      </c>
      <c r="I91" s="9">
        <f>'Salary Record'!I655</f>
        <v>0</v>
      </c>
      <c r="J91" s="80">
        <f>'Salary Record'!K656</f>
        <v>0</v>
      </c>
      <c r="K91" s="80">
        <f>'Salary Record'!K657</f>
        <v>0</v>
      </c>
      <c r="L91" s="81">
        <f>'Salary Record'!G655</f>
        <v>0</v>
      </c>
      <c r="M91" s="81">
        <f>'Salary Record'!G656</f>
        <v>0</v>
      </c>
      <c r="N91" s="82">
        <f>'Salary Record'!G657</f>
        <v>0</v>
      </c>
      <c r="O91" s="81">
        <f>'Salary Record'!G658</f>
        <v>0</v>
      </c>
      <c r="P91" s="82">
        <f>'Salary Record'!G659</f>
        <v>0</v>
      </c>
      <c r="Q91" s="120">
        <f>'Salary Record'!K659</f>
        <v>0</v>
      </c>
      <c r="R91" s="23"/>
      <c r="S91" s="23">
        <f>Q91-R91</f>
        <v>0</v>
      </c>
      <c r="T91" s="130"/>
      <c r="U91" s="8"/>
      <c r="X91" s="2"/>
      <c r="Y91" s="2"/>
      <c r="Z91" s="2"/>
    </row>
    <row r="92" spans="1:26" ht="15.75" x14ac:dyDescent="0.25">
      <c r="A92" s="282">
        <v>3</v>
      </c>
      <c r="B92" s="19" t="s">
        <v>12</v>
      </c>
      <c r="C92" s="91" t="s">
        <v>88</v>
      </c>
      <c r="D92" s="92">
        <f>SUM(Q92:Q92)</f>
        <v>0</v>
      </c>
      <c r="E92" s="10">
        <f>'Salary Record'!K825</f>
        <v>0</v>
      </c>
      <c r="F92" s="10">
        <f>'Salary Record'!C831</f>
        <v>14</v>
      </c>
      <c r="G92" s="20">
        <f>'Salary Record'!C832</f>
        <v>16</v>
      </c>
      <c r="H92" s="10">
        <f>'Salary Record'!I830</f>
        <v>0</v>
      </c>
      <c r="I92" s="10">
        <f>'Salary Record'!I829</f>
        <v>14</v>
      </c>
      <c r="J92" s="16">
        <f>'Salary Record'!K830</f>
        <v>0</v>
      </c>
      <c r="K92" s="10">
        <f>'Salary Record'!K831</f>
        <v>0</v>
      </c>
      <c r="L92" s="9">
        <f>'Salary Record'!G829</f>
        <v>0</v>
      </c>
      <c r="M92" s="17">
        <f>'Salary Record'!G830</f>
        <v>0</v>
      </c>
      <c r="N92" s="18">
        <f>'Salary Record'!G831</f>
        <v>0</v>
      </c>
      <c r="O92" s="10">
        <f>'Salary Record'!G832</f>
        <v>0</v>
      </c>
      <c r="P92" s="18">
        <f>'Salary Record'!G833</f>
        <v>0</v>
      </c>
      <c r="Q92" s="143">
        <f>'Salary Record'!K833</f>
        <v>0</v>
      </c>
      <c r="R92" s="145"/>
      <c r="S92" s="23"/>
      <c r="T92" s="130"/>
      <c r="U92" s="8"/>
    </row>
    <row r="93" spans="1:26" ht="20.25" x14ac:dyDescent="0.3">
      <c r="B93" s="373" t="s">
        <v>98</v>
      </c>
      <c r="C93" s="374"/>
      <c r="D93" s="374"/>
      <c r="E93" s="374"/>
      <c r="F93" s="374"/>
      <c r="G93" s="374"/>
      <c r="H93" s="374"/>
      <c r="I93" s="374"/>
      <c r="J93" s="374"/>
      <c r="K93" s="374"/>
      <c r="L93" s="374"/>
      <c r="M93"/>
      <c r="N93"/>
      <c r="O93"/>
      <c r="P93"/>
      <c r="T93"/>
      <c r="V93"/>
    </row>
    <row r="94" spans="1:26" ht="15" x14ac:dyDescent="0.25">
      <c r="B94" s="326" t="s">
        <v>99</v>
      </c>
      <c r="C94" s="142" t="s">
        <v>115</v>
      </c>
      <c r="D94" s="142" t="s">
        <v>113</v>
      </c>
      <c r="E94" s="142" t="str">
        <f>N1</f>
        <v>April</v>
      </c>
      <c r="G94" s="2"/>
      <c r="H94" s="114"/>
      <c r="K94"/>
      <c r="L94"/>
      <c r="M94"/>
      <c r="N94"/>
      <c r="O94"/>
      <c r="P94"/>
      <c r="T94"/>
      <c r="V94"/>
    </row>
    <row r="95" spans="1:26" x14ac:dyDescent="0.2">
      <c r="B95" s="327" t="s">
        <v>192</v>
      </c>
      <c r="C95" s="138">
        <v>100000</v>
      </c>
      <c r="D95" s="139">
        <v>100000</v>
      </c>
      <c r="E95" s="139">
        <v>25000</v>
      </c>
      <c r="G95" s="2"/>
      <c r="H95" s="114"/>
      <c r="K95" s="8"/>
      <c r="L95"/>
      <c r="M95"/>
      <c r="N95"/>
      <c r="O95"/>
      <c r="P95"/>
      <c r="T95"/>
      <c r="V95"/>
    </row>
    <row r="96" spans="1:26" x14ac:dyDescent="0.2">
      <c r="B96" s="327" t="s">
        <v>179</v>
      </c>
      <c r="C96" s="138"/>
      <c r="D96" s="139"/>
      <c r="E96" s="139">
        <v>25000</v>
      </c>
      <c r="G96" s="2"/>
      <c r="H96" s="114"/>
      <c r="K96"/>
      <c r="L96"/>
      <c r="M96"/>
      <c r="N96"/>
      <c r="O96"/>
      <c r="P96"/>
      <c r="T96"/>
      <c r="V96"/>
    </row>
    <row r="97" spans="2:22" x14ac:dyDescent="0.2">
      <c r="B97" s="327" t="s">
        <v>194</v>
      </c>
      <c r="C97" s="138"/>
      <c r="D97" s="139"/>
      <c r="E97" s="139">
        <v>25000</v>
      </c>
      <c r="G97" s="2"/>
      <c r="H97" s="114"/>
      <c r="I97" s="2" t="e">
        <f>Q74+#REF!+Q59+Q52+#REF!+Q45+Q34+Q27+Q20+Q5</f>
        <v>#REF!</v>
      </c>
      <c r="K97"/>
      <c r="L97"/>
      <c r="M97"/>
      <c r="N97"/>
      <c r="O97"/>
      <c r="P97"/>
      <c r="T97"/>
      <c r="V97"/>
    </row>
    <row r="98" spans="2:22" x14ac:dyDescent="0.2">
      <c r="B98" s="327" t="s">
        <v>94</v>
      </c>
      <c r="C98" s="138"/>
      <c r="D98" s="139"/>
      <c r="E98" s="139">
        <v>25000</v>
      </c>
      <c r="G98" s="2"/>
      <c r="H98" s="114"/>
      <c r="K98"/>
      <c r="L98"/>
      <c r="M98"/>
      <c r="N98"/>
      <c r="O98"/>
      <c r="P98"/>
      <c r="T98"/>
      <c r="V98"/>
    </row>
    <row r="99" spans="2:22" ht="14.25" x14ac:dyDescent="0.2">
      <c r="B99" s="327" t="s">
        <v>180</v>
      </c>
      <c r="C99" s="138"/>
      <c r="D99" s="139"/>
      <c r="E99" s="139">
        <v>80000</v>
      </c>
      <c r="F99" s="121"/>
      <c r="G99" s="121"/>
      <c r="H99" s="121"/>
      <c r="I99" s="121"/>
      <c r="K99"/>
      <c r="L99"/>
      <c r="M99"/>
      <c r="N99"/>
      <c r="O99"/>
      <c r="P99"/>
      <c r="T99"/>
      <c r="V99"/>
    </row>
    <row r="100" spans="2:22" x14ac:dyDescent="0.2">
      <c r="B100" s="327" t="s">
        <v>35</v>
      </c>
      <c r="C100" s="138"/>
      <c r="D100" s="139"/>
      <c r="E100" s="139">
        <f>Q20</f>
        <v>226733.33333333334</v>
      </c>
      <c r="G100" s="2"/>
      <c r="H100" s="114"/>
      <c r="K100"/>
      <c r="L100"/>
      <c r="M100"/>
      <c r="N100"/>
      <c r="O100"/>
      <c r="P100"/>
      <c r="T100"/>
      <c r="V100"/>
    </row>
    <row r="101" spans="2:22" x14ac:dyDescent="0.2">
      <c r="B101" s="327" t="s">
        <v>181</v>
      </c>
      <c r="C101" s="138"/>
      <c r="D101" s="139"/>
      <c r="E101" s="139">
        <f>Q27</f>
        <v>150485.41666666666</v>
      </c>
      <c r="F101" s="8"/>
      <c r="G101" s="8"/>
      <c r="H101" s="140"/>
      <c r="I101" s="8"/>
      <c r="K101" s="14"/>
      <c r="L101"/>
      <c r="M101"/>
      <c r="N101"/>
      <c r="O101"/>
      <c r="P101"/>
      <c r="T101"/>
      <c r="V101"/>
    </row>
    <row r="102" spans="2:22" x14ac:dyDescent="0.2">
      <c r="B102" s="327" t="s">
        <v>182</v>
      </c>
      <c r="C102" s="138"/>
      <c r="D102" s="139"/>
      <c r="E102" s="139">
        <f>Q34</f>
        <v>126252.08333333334</v>
      </c>
      <c r="G102" s="2"/>
      <c r="H102" s="114"/>
      <c r="J102" s="8"/>
      <c r="K102"/>
      <c r="L102"/>
      <c r="M102"/>
      <c r="N102"/>
      <c r="O102"/>
      <c r="P102"/>
      <c r="T102"/>
      <c r="V102"/>
    </row>
    <row r="103" spans="2:22" x14ac:dyDescent="0.2">
      <c r="B103" s="327" t="s">
        <v>179</v>
      </c>
      <c r="C103" s="138"/>
      <c r="D103" s="139"/>
      <c r="E103" s="139">
        <f>Q45</f>
        <v>288595.83333333337</v>
      </c>
      <c r="G103" s="2"/>
      <c r="H103" s="114"/>
      <c r="J103" s="8"/>
      <c r="K103" s="14"/>
      <c r="L103"/>
      <c r="M103"/>
      <c r="N103"/>
      <c r="O103"/>
      <c r="P103"/>
      <c r="T103"/>
      <c r="V103"/>
    </row>
    <row r="104" spans="2:22" x14ac:dyDescent="0.2">
      <c r="B104" s="327" t="s">
        <v>40</v>
      </c>
      <c r="C104" s="138"/>
      <c r="D104" s="139"/>
      <c r="E104" s="139">
        <f>Q52</f>
        <v>132929.16666666669</v>
      </c>
      <c r="F104" s="8"/>
      <c r="G104" s="8"/>
      <c r="H104" s="140"/>
      <c r="I104" s="8"/>
      <c r="J104" s="8"/>
      <c r="K104" s="14"/>
      <c r="L104"/>
      <c r="M104"/>
      <c r="N104"/>
      <c r="O104"/>
      <c r="P104"/>
      <c r="T104"/>
      <c r="V104"/>
    </row>
    <row r="105" spans="2:22" x14ac:dyDescent="0.2">
      <c r="B105" s="327" t="s">
        <v>94</v>
      </c>
      <c r="C105" s="138"/>
      <c r="D105" s="139"/>
      <c r="E105" s="139">
        <f>Q59</f>
        <v>100004.16666666666</v>
      </c>
      <c r="F105" s="8"/>
      <c r="G105"/>
      <c r="I105" s="8"/>
      <c r="K105"/>
      <c r="L105"/>
      <c r="M105"/>
      <c r="N105"/>
      <c r="O105"/>
      <c r="P105"/>
      <c r="T105"/>
      <c r="V105"/>
    </row>
    <row r="106" spans="2:22" x14ac:dyDescent="0.2">
      <c r="B106" s="332" t="s">
        <v>192</v>
      </c>
      <c r="C106" s="138"/>
      <c r="D106" s="139"/>
      <c r="E106" s="139">
        <f>Q70</f>
        <v>243604.16666666666</v>
      </c>
      <c r="F106"/>
      <c r="G106" s="8">
        <f>E109-E95-E96-E97-E98-E99-E108</f>
        <v>1296604.166666667</v>
      </c>
      <c r="H106"/>
      <c r="I106"/>
      <c r="J106"/>
      <c r="K106"/>
      <c r="L106"/>
      <c r="M106" s="8"/>
      <c r="N106"/>
      <c r="O106" s="8"/>
      <c r="P106"/>
      <c r="U106" s="8"/>
    </row>
    <row r="107" spans="2:22" x14ac:dyDescent="0.2">
      <c r="B107" s="339" t="s">
        <v>183</v>
      </c>
      <c r="C107" s="138"/>
      <c r="D107" s="139"/>
      <c r="E107" s="139">
        <f>Q73</f>
        <v>28000</v>
      </c>
      <c r="F107"/>
      <c r="G107"/>
      <c r="H107"/>
      <c r="I107" s="8"/>
      <c r="J107" s="8"/>
      <c r="K107"/>
      <c r="L107"/>
      <c r="M107"/>
      <c r="N107"/>
      <c r="O107" s="8"/>
      <c r="P107" s="14"/>
      <c r="U107" s="8"/>
    </row>
    <row r="108" spans="2:22" x14ac:dyDescent="0.2">
      <c r="B108" s="327" t="s">
        <v>184</v>
      </c>
      <c r="C108" s="138"/>
      <c r="D108" s="139"/>
      <c r="E108" s="139">
        <v>5000</v>
      </c>
      <c r="F108"/>
      <c r="G108"/>
      <c r="H108"/>
      <c r="I108"/>
      <c r="J108"/>
      <c r="K108"/>
      <c r="L108"/>
      <c r="M108"/>
      <c r="N108"/>
      <c r="O108" s="8"/>
      <c r="P108" s="8"/>
      <c r="U108" s="8"/>
    </row>
    <row r="109" spans="2:22" ht="15" x14ac:dyDescent="0.25">
      <c r="B109" s="328" t="s">
        <v>106</v>
      </c>
      <c r="C109" s="137">
        <f>SUM(C95:C108)</f>
        <v>100000</v>
      </c>
      <c r="D109" s="137">
        <f>SUM(D95:D108)</f>
        <v>100000</v>
      </c>
      <c r="E109" s="137">
        <f>SUM(E95:E108)</f>
        <v>1481604.166666667</v>
      </c>
      <c r="F109"/>
      <c r="G109"/>
      <c r="H109" s="8"/>
      <c r="I109"/>
      <c r="J109"/>
      <c r="K109"/>
      <c r="L109"/>
      <c r="M109"/>
      <c r="N109"/>
      <c r="O109" s="8"/>
      <c r="P109" s="8"/>
      <c r="U109" s="8"/>
    </row>
    <row r="110" spans="2:22" x14ac:dyDescent="0.2">
      <c r="B110"/>
      <c r="C110"/>
      <c r="D110"/>
      <c r="E110" s="8"/>
      <c r="F110"/>
      <c r="G110"/>
      <c r="H110"/>
      <c r="I110"/>
      <c r="J110"/>
      <c r="K110"/>
      <c r="L110"/>
      <c r="M110"/>
      <c r="N110"/>
      <c r="O110" s="8"/>
      <c r="P110" s="8"/>
      <c r="U110" s="8"/>
    </row>
    <row r="111" spans="2:22" x14ac:dyDescent="0.2">
      <c r="B111"/>
      <c r="C111"/>
      <c r="D111"/>
      <c r="E111" s="140"/>
      <c r="F111"/>
      <c r="G111"/>
      <c r="H111"/>
      <c r="I111"/>
      <c r="J111"/>
      <c r="K111"/>
      <c r="L111"/>
      <c r="M111"/>
      <c r="N111"/>
      <c r="O111" s="8"/>
      <c r="P111" s="8"/>
      <c r="U111" s="2"/>
    </row>
    <row r="112" spans="2:22" x14ac:dyDescent="0.2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 s="8"/>
      <c r="P112" s="2"/>
      <c r="U112" s="8"/>
    </row>
    <row r="113" spans="2:22" ht="15" x14ac:dyDescent="0.25">
      <c r="B113"/>
      <c r="C113"/>
      <c r="D113"/>
      <c r="E113">
        <v>1136285</v>
      </c>
      <c r="F113"/>
      <c r="G113"/>
      <c r="H113"/>
      <c r="I113"/>
      <c r="J113"/>
      <c r="K113"/>
      <c r="L113"/>
      <c r="M113"/>
      <c r="N113"/>
      <c r="O113" s="115">
        <f>SUM(O93:O110)</f>
        <v>0</v>
      </c>
      <c r="P113" s="8"/>
    </row>
    <row r="114" spans="2:22" x14ac:dyDescent="0.2">
      <c r="B114"/>
      <c r="C114"/>
      <c r="D114"/>
      <c r="E114" s="8">
        <f>E95+E96+E97+E98+E99</f>
        <v>180000</v>
      </c>
      <c r="F114"/>
      <c r="G114"/>
      <c r="H114"/>
      <c r="I114"/>
      <c r="J114"/>
      <c r="K114"/>
      <c r="L114"/>
      <c r="M114"/>
      <c r="N114"/>
      <c r="P114"/>
      <c r="U114" s="8"/>
    </row>
    <row r="115" spans="2:22" x14ac:dyDescent="0.2">
      <c r="B115"/>
      <c r="C115"/>
      <c r="D115"/>
      <c r="E115" s="8">
        <f>E114+E113</f>
        <v>1316285</v>
      </c>
      <c r="F115"/>
      <c r="G115"/>
      <c r="H115"/>
      <c r="I115"/>
      <c r="J115"/>
      <c r="K115"/>
      <c r="L115"/>
      <c r="M115"/>
      <c r="N115"/>
      <c r="P115"/>
      <c r="U115" s="8"/>
    </row>
    <row r="116" spans="2:22" x14ac:dyDescent="0.2">
      <c r="B116"/>
      <c r="C116"/>
      <c r="D116"/>
      <c r="E116" s="8"/>
      <c r="F116"/>
      <c r="G116"/>
      <c r="H116"/>
      <c r="I116"/>
      <c r="J116"/>
      <c r="K116"/>
      <c r="L116"/>
      <c r="M116"/>
      <c r="N116"/>
      <c r="P116"/>
      <c r="Q116" s="8"/>
      <c r="R116" s="8"/>
      <c r="S116" s="8"/>
      <c r="T116" s="140"/>
      <c r="U116" s="8"/>
    </row>
    <row r="117" spans="2:22" x14ac:dyDescent="0.2">
      <c r="B117"/>
      <c r="C117"/>
      <c r="D117"/>
      <c r="E117" s="8"/>
      <c r="F117"/>
      <c r="G117"/>
      <c r="H117"/>
      <c r="I117"/>
      <c r="J117"/>
      <c r="K117"/>
      <c r="L117"/>
      <c r="M117"/>
      <c r="N117"/>
      <c r="P117"/>
      <c r="U117" s="2"/>
      <c r="V117"/>
    </row>
    <row r="118" spans="2:22" x14ac:dyDescent="0.2">
      <c r="B118"/>
      <c r="C118"/>
      <c r="D118"/>
      <c r="E118" s="8"/>
      <c r="F118"/>
      <c r="G118"/>
      <c r="H118"/>
      <c r="I118"/>
      <c r="J118"/>
      <c r="K118"/>
      <c r="L118"/>
      <c r="M118"/>
      <c r="N118"/>
      <c r="O118"/>
      <c r="P118"/>
      <c r="U118" s="2"/>
      <c r="V118"/>
    </row>
    <row r="119" spans="2:22" x14ac:dyDescent="0.2">
      <c r="B119"/>
      <c r="C119"/>
      <c r="D119"/>
      <c r="E119"/>
      <c r="J119"/>
      <c r="K119"/>
      <c r="L119"/>
      <c r="M119"/>
      <c r="N119"/>
      <c r="O119"/>
      <c r="P119"/>
      <c r="U119" s="8"/>
      <c r="V119"/>
    </row>
    <row r="120" spans="2:22" x14ac:dyDescent="0.2">
      <c r="B120"/>
      <c r="C120"/>
      <c r="D120"/>
      <c r="E120"/>
      <c r="J120"/>
      <c r="K120"/>
      <c r="L120"/>
      <c r="M120"/>
      <c r="N120"/>
      <c r="O120"/>
      <c r="P120"/>
      <c r="V120"/>
    </row>
    <row r="121" spans="2:22" x14ac:dyDescent="0.2">
      <c r="B121"/>
      <c r="C121"/>
      <c r="D121"/>
      <c r="E121"/>
      <c r="J121"/>
      <c r="K121"/>
      <c r="L121"/>
      <c r="M121"/>
      <c r="N121"/>
      <c r="O121"/>
      <c r="P121"/>
      <c r="U121" s="8"/>
      <c r="V121"/>
    </row>
    <row r="122" spans="2:22" x14ac:dyDescent="0.2">
      <c r="B122"/>
      <c r="C122"/>
      <c r="D122"/>
      <c r="E122"/>
      <c r="J122"/>
      <c r="K122"/>
      <c r="L122"/>
      <c r="M122"/>
      <c r="N122"/>
      <c r="O122"/>
      <c r="P122"/>
      <c r="V122"/>
    </row>
    <row r="123" spans="2:22" x14ac:dyDescent="0.2">
      <c r="B123"/>
      <c r="C123"/>
      <c r="D123"/>
      <c r="E123"/>
      <c r="J123"/>
      <c r="K123"/>
      <c r="L123"/>
      <c r="M123"/>
      <c r="N123"/>
      <c r="O123"/>
      <c r="P123"/>
      <c r="V123"/>
    </row>
    <row r="124" spans="2:22" x14ac:dyDescent="0.2">
      <c r="J124"/>
      <c r="K124"/>
      <c r="L124"/>
      <c r="M124"/>
      <c r="N124"/>
      <c r="O124"/>
      <c r="P124"/>
      <c r="V124"/>
    </row>
    <row r="125" spans="2:22" x14ac:dyDescent="0.2">
      <c r="K125"/>
      <c r="L125"/>
      <c r="M125"/>
      <c r="N125"/>
      <c r="O125"/>
      <c r="P125"/>
    </row>
    <row r="126" spans="2:22" x14ac:dyDescent="0.2">
      <c r="K126"/>
      <c r="L126"/>
      <c r="M126"/>
      <c r="N126"/>
      <c r="P126"/>
    </row>
    <row r="127" spans="2:22" x14ac:dyDescent="0.2">
      <c r="P127"/>
    </row>
    <row r="128" spans="2:22" x14ac:dyDescent="0.2">
      <c r="P128" s="3">
        <f>Q52+Q11</f>
        <v>132929.16666666669</v>
      </c>
    </row>
    <row r="129" spans="16:21" x14ac:dyDescent="0.2">
      <c r="P129" s="3">
        <v>14580</v>
      </c>
    </row>
    <row r="130" spans="16:21" x14ac:dyDescent="0.2">
      <c r="P130" s="3">
        <v>20000</v>
      </c>
      <c r="U130" s="8"/>
    </row>
    <row r="131" spans="16:21" x14ac:dyDescent="0.2">
      <c r="P131" s="3">
        <v>4150</v>
      </c>
      <c r="U131" s="2"/>
    </row>
    <row r="132" spans="16:21" x14ac:dyDescent="0.2">
      <c r="U132" s="2"/>
    </row>
    <row r="133" spans="16:21" x14ac:dyDescent="0.2">
      <c r="U133" s="8"/>
    </row>
    <row r="135" spans="16:21" x14ac:dyDescent="0.2">
      <c r="U135" s="8"/>
    </row>
  </sheetData>
  <autoFilter ref="A3:Z92" xr:uid="{00000000-0009-0000-0000-000000000000}"/>
  <mergeCells count="27">
    <mergeCell ref="B93:L93"/>
    <mergeCell ref="N1:O2"/>
    <mergeCell ref="A1:M2"/>
    <mergeCell ref="A75:B75"/>
    <mergeCell ref="A74:B74"/>
    <mergeCell ref="A76:P76"/>
    <mergeCell ref="A77:P77"/>
    <mergeCell ref="A54:Q54"/>
    <mergeCell ref="A61:Q61"/>
    <mergeCell ref="P1:P2"/>
    <mergeCell ref="A6:Q6"/>
    <mergeCell ref="C7:C10"/>
    <mergeCell ref="D7:D10"/>
    <mergeCell ref="A59:B59"/>
    <mergeCell ref="A70:B70"/>
    <mergeCell ref="A27:B27"/>
    <mergeCell ref="A72:Q72"/>
    <mergeCell ref="A13:Q13"/>
    <mergeCell ref="A22:Q22"/>
    <mergeCell ref="A11:B11"/>
    <mergeCell ref="A20:B20"/>
    <mergeCell ref="A52:B52"/>
    <mergeCell ref="A34:B34"/>
    <mergeCell ref="A45:B45"/>
    <mergeCell ref="A36:Q36"/>
    <mergeCell ref="A29:Q29"/>
    <mergeCell ref="A46:Q46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35" max="16" man="1"/>
    <brk id="53" max="16" man="1"/>
  </rowBreaks>
  <colBreaks count="2" manualBreakCount="2">
    <brk id="17" max="120" man="1"/>
    <brk id="2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C886"/>
  <sheetViews>
    <sheetView tabSelected="1" view="pageBreakPreview" topLeftCell="A653" zoomScale="90" zoomScaleNormal="60" zoomScaleSheetLayoutView="90" workbookViewId="0">
      <selection activeCell="X671" sqref="X671"/>
    </sheetView>
  </sheetViews>
  <sheetFormatPr defaultColWidth="9.140625" defaultRowHeight="15" x14ac:dyDescent="0.25"/>
  <cols>
    <col min="1" max="1" width="1" style="4" customWidth="1"/>
    <col min="2" max="2" width="15.28515625" style="4" customWidth="1"/>
    <col min="3" max="3" width="7.7109375" style="4" customWidth="1"/>
    <col min="4" max="4" width="0.42578125" style="4" customWidth="1"/>
    <col min="5" max="5" width="1.7109375" style="4" customWidth="1"/>
    <col min="6" max="6" width="20.7109375" style="4" customWidth="1"/>
    <col min="7" max="7" width="14" style="4" customWidth="1"/>
    <col min="8" max="8" width="1.28515625" style="4" customWidth="1"/>
    <col min="9" max="9" width="6.85546875" style="4" customWidth="1"/>
    <col min="10" max="10" width="17.5703125" style="4" customWidth="1"/>
    <col min="11" max="11" width="13.85546875" style="4" customWidth="1"/>
    <col min="12" max="12" width="1.28515625" style="4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8" width="12.140625" style="4" bestFit="1" customWidth="1"/>
    <col min="29" max="29" width="12.7109375" style="4" bestFit="1" customWidth="1"/>
    <col min="30" max="31" width="9.140625" style="4"/>
    <col min="32" max="32" width="12.7109375" style="4" customWidth="1"/>
    <col min="33" max="16384" width="9.140625" style="4"/>
  </cols>
  <sheetData>
    <row r="1" spans="1:27" ht="21" x14ac:dyDescent="0.25">
      <c r="C1" s="449" t="s">
        <v>67</v>
      </c>
      <c r="D1" s="449"/>
      <c r="E1" s="449"/>
      <c r="F1" s="449"/>
      <c r="G1" s="449"/>
      <c r="H1" s="449"/>
      <c r="I1" s="449"/>
      <c r="J1" s="13" t="s">
        <v>48</v>
      </c>
      <c r="K1" s="12">
        <v>2023</v>
      </c>
      <c r="L1" s="12"/>
      <c r="R1" s="83" t="e">
        <f>K17+K33+#REF!+#REF!+#REF!+#REF!+K49+K66+#REF!+K595+#REF!+#REF!+#REF!+K147+K163+#REF!+K179+#REF!+K675+K691+K707+K259+#REF!+#REF!+K451+#REF!+K195+#REF!+K243+K99+#REF!+#REF!+K643+K339+K483+K403+K579+K833+K865+#REF!+K531+#REF!+#REF!+K419+#REF!+K323+K610+#REF!+K115+#REF!+K355+K659+K82+K371+K435+K227+#REF!+K722+#REF!+K467+#REF!+K547+K499+#REF!+K515+K291+K275+K387+#REF!+K131+K211+#REF!-12678</f>
        <v>#REF!</v>
      </c>
      <c r="U1" s="106" t="e">
        <f>K63+K79+K592+K144+K160+#REF!+K176+K607+K192+K240+K672+K719+#REF!+K256+#REF!+K96+K112+K288+K448+K640+K336+K368+K480+K400+K624+#REF!+K352+#REF!+#REF!+K416+K224+#REF!+#REF!+K128+K208+#REF!+K272+K384+K544+K496+K512+K528+#REF!+#REF!</f>
        <v>#REF!</v>
      </c>
    </row>
    <row r="2" spans="1:27" ht="18.75" x14ac:dyDescent="0.3">
      <c r="J2" s="11" t="s">
        <v>61</v>
      </c>
      <c r="K2" s="4">
        <v>30</v>
      </c>
      <c r="R2" s="106"/>
      <c r="U2" s="106"/>
    </row>
    <row r="4" spans="1:27" s="87" customFormat="1" ht="21" customHeight="1" x14ac:dyDescent="0.2">
      <c r="N4" s="63"/>
      <c r="O4" s="63"/>
      <c r="P4" s="63"/>
      <c r="Q4" s="63"/>
      <c r="R4" s="176"/>
      <c r="S4" s="63"/>
      <c r="T4" s="63"/>
      <c r="U4" s="176"/>
      <c r="V4" s="63"/>
      <c r="W4" s="63"/>
      <c r="X4" s="63"/>
      <c r="Y4" s="63"/>
      <c r="Z4" s="63"/>
    </row>
    <row r="5" spans="1:27" s="87" customFormat="1" ht="21" customHeight="1" x14ac:dyDescent="0.2"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 spans="1:27" s="29" customFormat="1" ht="21" customHeight="1" thickBot="1" x14ac:dyDescent="0.25"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 spans="1:27" s="29" customFormat="1" ht="21" customHeight="1" x14ac:dyDescent="0.2">
      <c r="A7" s="424" t="s">
        <v>41</v>
      </c>
      <c r="B7" s="425"/>
      <c r="C7" s="425"/>
      <c r="D7" s="425"/>
      <c r="E7" s="425"/>
      <c r="F7" s="425"/>
      <c r="G7" s="425"/>
      <c r="H7" s="425"/>
      <c r="I7" s="425"/>
      <c r="J7" s="425"/>
      <c r="K7" s="425"/>
      <c r="L7" s="426"/>
      <c r="M7" s="28"/>
      <c r="N7" s="64"/>
      <c r="O7" s="408" t="s">
        <v>43</v>
      </c>
      <c r="P7" s="409"/>
      <c r="Q7" s="409"/>
      <c r="R7" s="410"/>
      <c r="S7" s="65"/>
      <c r="T7" s="408" t="s">
        <v>44</v>
      </c>
      <c r="U7" s="409"/>
      <c r="V7" s="409"/>
      <c r="W7" s="409"/>
      <c r="X7" s="409"/>
      <c r="Y7" s="410"/>
      <c r="Z7" s="66"/>
      <c r="AA7" s="28"/>
    </row>
    <row r="8" spans="1:27" s="29" customFormat="1" ht="21" customHeight="1" x14ac:dyDescent="0.2">
      <c r="A8" s="30"/>
      <c r="C8" s="398" t="s">
        <v>85</v>
      </c>
      <c r="D8" s="398"/>
      <c r="E8" s="398"/>
      <c r="F8" s="398"/>
      <c r="G8" s="31" t="str">
        <f>$J$1</f>
        <v>April</v>
      </c>
      <c r="H8" s="397">
        <f>$K$1</f>
        <v>2023</v>
      </c>
      <c r="I8" s="397"/>
      <c r="K8" s="32"/>
      <c r="L8" s="33"/>
      <c r="M8" s="32"/>
      <c r="N8" s="67"/>
      <c r="O8" s="68" t="s">
        <v>54</v>
      </c>
      <c r="P8" s="68" t="s">
        <v>7</v>
      </c>
      <c r="Q8" s="68" t="s">
        <v>6</v>
      </c>
      <c r="R8" s="68" t="s">
        <v>55</v>
      </c>
      <c r="S8" s="69"/>
      <c r="T8" s="68" t="s">
        <v>54</v>
      </c>
      <c r="U8" s="68" t="s">
        <v>56</v>
      </c>
      <c r="V8" s="68" t="s">
        <v>21</v>
      </c>
      <c r="W8" s="68" t="s">
        <v>20</v>
      </c>
      <c r="X8" s="68" t="s">
        <v>22</v>
      </c>
      <c r="Y8" s="68" t="s">
        <v>60</v>
      </c>
      <c r="Z8" s="70"/>
      <c r="AA8" s="32"/>
    </row>
    <row r="9" spans="1:27" s="29" customFormat="1" ht="21" customHeight="1" x14ac:dyDescent="0.2">
      <c r="A9" s="30"/>
      <c r="D9" s="35"/>
      <c r="E9" s="35"/>
      <c r="F9" s="35"/>
      <c r="G9" s="35"/>
      <c r="H9" s="35"/>
      <c r="J9" s="36" t="s">
        <v>1</v>
      </c>
      <c r="K9" s="37">
        <v>60000</v>
      </c>
      <c r="L9" s="38"/>
      <c r="N9" s="71"/>
      <c r="O9" s="72" t="s">
        <v>46</v>
      </c>
      <c r="P9" s="72">
        <v>31</v>
      </c>
      <c r="Q9" s="72">
        <v>0</v>
      </c>
      <c r="R9" s="72">
        <f>15-Q9</f>
        <v>15</v>
      </c>
      <c r="S9" s="73"/>
      <c r="T9" s="72" t="s">
        <v>46</v>
      </c>
      <c r="U9" s="74"/>
      <c r="V9" s="74"/>
      <c r="W9" s="74">
        <f>V9+U9</f>
        <v>0</v>
      </c>
      <c r="X9" s="74"/>
      <c r="Y9" s="74">
        <f>W9-X9</f>
        <v>0</v>
      </c>
      <c r="Z9" s="70"/>
    </row>
    <row r="10" spans="1:27" s="29" customFormat="1" ht="21" customHeight="1" x14ac:dyDescent="0.2">
      <c r="A10" s="30"/>
      <c r="B10" s="29" t="s">
        <v>0</v>
      </c>
      <c r="C10" s="40" t="s">
        <v>73</v>
      </c>
      <c r="H10" s="41"/>
      <c r="I10" s="35"/>
      <c r="L10" s="42"/>
      <c r="M10" s="28"/>
      <c r="N10" s="75"/>
      <c r="O10" s="72" t="s">
        <v>72</v>
      </c>
      <c r="P10" s="72">
        <v>28</v>
      </c>
      <c r="Q10" s="72">
        <v>0</v>
      </c>
      <c r="R10" s="72">
        <f t="shared" ref="R10:R20" si="0">IF(Q10="","",R9-Q10)</f>
        <v>15</v>
      </c>
      <c r="S10" s="63"/>
      <c r="T10" s="72" t="s">
        <v>72</v>
      </c>
      <c r="U10" s="105" t="str">
        <f>IF($J$1="February",Y9,"")</f>
        <v/>
      </c>
      <c r="V10" s="74"/>
      <c r="W10" s="105" t="str">
        <f>IF(U10="","",U10+V10)</f>
        <v/>
      </c>
      <c r="X10" s="74"/>
      <c r="Y10" s="105" t="str">
        <f>IF(W10="","",W10-X10)</f>
        <v/>
      </c>
      <c r="Z10" s="76"/>
      <c r="AA10" s="28"/>
    </row>
    <row r="11" spans="1:27" s="29" customFormat="1" ht="21" customHeight="1" x14ac:dyDescent="0.2">
      <c r="A11" s="30"/>
      <c r="B11" s="44" t="s">
        <v>42</v>
      </c>
      <c r="C11" s="45"/>
      <c r="F11" s="394" t="s">
        <v>44</v>
      </c>
      <c r="G11" s="396"/>
      <c r="I11" s="394" t="s">
        <v>45</v>
      </c>
      <c r="J11" s="395"/>
      <c r="K11" s="396"/>
      <c r="L11" s="46"/>
      <c r="N11" s="71"/>
      <c r="O11" s="72" t="s">
        <v>47</v>
      </c>
      <c r="P11" s="72">
        <v>31</v>
      </c>
      <c r="Q11" s="72">
        <v>0</v>
      </c>
      <c r="R11" s="72">
        <f t="shared" si="0"/>
        <v>15</v>
      </c>
      <c r="S11" s="63"/>
      <c r="T11" s="72" t="s">
        <v>47</v>
      </c>
      <c r="U11" s="105" t="str">
        <f>IF($J$1="March",Y10,"")</f>
        <v/>
      </c>
      <c r="V11" s="74"/>
      <c r="W11" s="105" t="str">
        <f t="shared" ref="W11:W20" si="1">IF(U11="","",U11+V11)</f>
        <v/>
      </c>
      <c r="X11" s="74"/>
      <c r="Y11" s="105" t="str">
        <f t="shared" ref="Y11:Y20" si="2">IF(W11="","",W11-X11)</f>
        <v/>
      </c>
      <c r="Z11" s="76"/>
    </row>
    <row r="12" spans="1:27" s="29" customFormat="1" ht="21" customHeight="1" x14ac:dyDescent="0.2">
      <c r="A12" s="30"/>
      <c r="H12" s="47"/>
      <c r="L12" s="34"/>
      <c r="N12" s="71"/>
      <c r="O12" s="72" t="s">
        <v>48</v>
      </c>
      <c r="P12" s="72">
        <v>30</v>
      </c>
      <c r="Q12" s="72">
        <v>0</v>
      </c>
      <c r="R12" s="72">
        <f t="shared" si="0"/>
        <v>15</v>
      </c>
      <c r="S12" s="63"/>
      <c r="T12" s="72" t="s">
        <v>48</v>
      </c>
      <c r="U12" s="105" t="str">
        <f>IF($J$1="April",Y11,"")</f>
        <v/>
      </c>
      <c r="V12" s="74"/>
      <c r="W12" s="105" t="str">
        <f t="shared" si="1"/>
        <v/>
      </c>
      <c r="X12" s="74"/>
      <c r="Y12" s="105" t="str">
        <f t="shared" si="2"/>
        <v/>
      </c>
      <c r="Z12" s="76"/>
    </row>
    <row r="13" spans="1:27" s="29" customFormat="1" ht="21" customHeight="1" x14ac:dyDescent="0.2">
      <c r="A13" s="30"/>
      <c r="B13" s="392" t="s">
        <v>43</v>
      </c>
      <c r="C13" s="393"/>
      <c r="F13" s="48" t="s">
        <v>65</v>
      </c>
      <c r="G13" s="43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47"/>
      <c r="I13" s="49">
        <f>K2</f>
        <v>30</v>
      </c>
      <c r="J13" s="50" t="s">
        <v>62</v>
      </c>
      <c r="K13" s="51">
        <f>K9/$K$2*I13</f>
        <v>60000</v>
      </c>
      <c r="L13" s="52"/>
      <c r="N13" s="71"/>
      <c r="O13" s="72" t="s">
        <v>49</v>
      </c>
      <c r="P13" s="72"/>
      <c r="Q13" s="72"/>
      <c r="R13" s="72" t="str">
        <f t="shared" si="0"/>
        <v/>
      </c>
      <c r="S13" s="63"/>
      <c r="T13" s="72" t="s">
        <v>49</v>
      </c>
      <c r="U13" s="105" t="str">
        <f>IF($J$1="May",Y12,"")</f>
        <v/>
      </c>
      <c r="V13" s="74"/>
      <c r="W13" s="105" t="str">
        <f t="shared" si="1"/>
        <v/>
      </c>
      <c r="X13" s="74"/>
      <c r="Y13" s="105" t="str">
        <f t="shared" si="2"/>
        <v/>
      </c>
      <c r="Z13" s="76"/>
    </row>
    <row r="14" spans="1:27" s="29" customFormat="1" ht="21" customHeight="1" x14ac:dyDescent="0.2">
      <c r="A14" s="30"/>
      <c r="B14" s="39"/>
      <c r="C14" s="39"/>
      <c r="F14" s="48" t="s">
        <v>21</v>
      </c>
      <c r="G14" s="43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47"/>
      <c r="I14" s="49"/>
      <c r="J14" s="50" t="s">
        <v>63</v>
      </c>
      <c r="K14" s="53">
        <f>K9/$K$2/8*I14</f>
        <v>0</v>
      </c>
      <c r="L14" s="54"/>
      <c r="N14" s="71"/>
      <c r="O14" s="72" t="s">
        <v>50</v>
      </c>
      <c r="P14" s="72"/>
      <c r="Q14" s="72"/>
      <c r="R14" s="72" t="str">
        <f t="shared" si="0"/>
        <v/>
      </c>
      <c r="S14" s="63"/>
      <c r="T14" s="72" t="s">
        <v>50</v>
      </c>
      <c r="U14" s="105" t="str">
        <f>IF($J$1="June",Y13,"")</f>
        <v/>
      </c>
      <c r="V14" s="74"/>
      <c r="W14" s="105" t="str">
        <f t="shared" si="1"/>
        <v/>
      </c>
      <c r="X14" s="74"/>
      <c r="Y14" s="105" t="str">
        <f t="shared" si="2"/>
        <v/>
      </c>
      <c r="Z14" s="76"/>
    </row>
    <row r="15" spans="1:27" s="29" customFormat="1" ht="21" customHeight="1" x14ac:dyDescent="0.2">
      <c r="A15" s="30"/>
      <c r="B15" s="48" t="s">
        <v>7</v>
      </c>
      <c r="C15" s="39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30</v>
      </c>
      <c r="F15" s="48" t="s">
        <v>66</v>
      </c>
      <c r="G15" s="43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47"/>
      <c r="I15" s="405" t="s">
        <v>70</v>
      </c>
      <c r="J15" s="406"/>
      <c r="K15" s="53">
        <f>K13+K14</f>
        <v>60000</v>
      </c>
      <c r="L15" s="54"/>
      <c r="N15" s="71"/>
      <c r="O15" s="72" t="s">
        <v>51</v>
      </c>
      <c r="P15" s="72"/>
      <c r="Q15" s="72"/>
      <c r="R15" s="72" t="str">
        <f t="shared" si="0"/>
        <v/>
      </c>
      <c r="S15" s="63"/>
      <c r="T15" s="72" t="s">
        <v>51</v>
      </c>
      <c r="U15" s="105" t="str">
        <f>IF($J$1="July",Y14,"")</f>
        <v/>
      </c>
      <c r="V15" s="74"/>
      <c r="W15" s="105" t="str">
        <f t="shared" si="1"/>
        <v/>
      </c>
      <c r="X15" s="74"/>
      <c r="Y15" s="105" t="str">
        <f t="shared" si="2"/>
        <v/>
      </c>
      <c r="Z15" s="76"/>
    </row>
    <row r="16" spans="1:27" s="29" customFormat="1" ht="21" customHeight="1" x14ac:dyDescent="0.2">
      <c r="A16" s="30"/>
      <c r="B16" s="48" t="s">
        <v>6</v>
      </c>
      <c r="C16" s="39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0</v>
      </c>
      <c r="F16" s="48" t="s">
        <v>22</v>
      </c>
      <c r="G16" s="43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47"/>
      <c r="I16" s="405" t="s">
        <v>71</v>
      </c>
      <c r="J16" s="406"/>
      <c r="K16" s="43">
        <f>G16</f>
        <v>0</v>
      </c>
      <c r="L16" s="55"/>
      <c r="N16" s="71"/>
      <c r="O16" s="72" t="s">
        <v>52</v>
      </c>
      <c r="P16" s="72"/>
      <c r="Q16" s="72"/>
      <c r="R16" s="72">
        <v>0</v>
      </c>
      <c r="S16" s="63"/>
      <c r="T16" s="72" t="s">
        <v>52</v>
      </c>
      <c r="U16" s="105" t="str">
        <f>IF($J$1="August",Y15,"")</f>
        <v/>
      </c>
      <c r="V16" s="74"/>
      <c r="W16" s="105" t="str">
        <f t="shared" si="1"/>
        <v/>
      </c>
      <c r="X16" s="74"/>
      <c r="Y16" s="105" t="str">
        <f t="shared" si="2"/>
        <v/>
      </c>
      <c r="Z16" s="76"/>
    </row>
    <row r="17" spans="1:27" s="29" customFormat="1" ht="21" customHeight="1" x14ac:dyDescent="0.2">
      <c r="A17" s="30"/>
      <c r="B17" s="56" t="s">
        <v>69</v>
      </c>
      <c r="C17" s="39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15</v>
      </c>
      <c r="F17" s="48" t="s">
        <v>68</v>
      </c>
      <c r="G17" s="43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I17" s="394" t="s">
        <v>64</v>
      </c>
      <c r="J17" s="396"/>
      <c r="K17" s="57">
        <f>K15-K16</f>
        <v>60000</v>
      </c>
      <c r="L17" s="58"/>
      <c r="N17" s="71"/>
      <c r="O17" s="72" t="s">
        <v>57</v>
      </c>
      <c r="P17" s="72"/>
      <c r="Q17" s="72"/>
      <c r="R17" s="72">
        <v>0</v>
      </c>
      <c r="S17" s="63"/>
      <c r="T17" s="72" t="s">
        <v>57</v>
      </c>
      <c r="U17" s="105" t="str">
        <f>IF($J$1="September",Y16,"")</f>
        <v/>
      </c>
      <c r="V17" s="74"/>
      <c r="W17" s="105" t="str">
        <f t="shared" si="1"/>
        <v/>
      </c>
      <c r="X17" s="74"/>
      <c r="Y17" s="105" t="str">
        <f t="shared" si="2"/>
        <v/>
      </c>
      <c r="Z17" s="76"/>
    </row>
    <row r="18" spans="1:27" s="29" customFormat="1" ht="21" customHeight="1" x14ac:dyDescent="0.2">
      <c r="A18" s="30"/>
      <c r="L18" s="46"/>
      <c r="N18" s="71"/>
      <c r="O18" s="72" t="s">
        <v>53</v>
      </c>
      <c r="P18" s="72"/>
      <c r="Q18" s="72"/>
      <c r="R18" s="72">
        <v>0</v>
      </c>
      <c r="S18" s="63"/>
      <c r="T18" s="72" t="s">
        <v>53</v>
      </c>
      <c r="U18" s="105" t="str">
        <f>IF($J$1="October",Y17,"")</f>
        <v/>
      </c>
      <c r="V18" s="74"/>
      <c r="W18" s="105" t="str">
        <f t="shared" si="1"/>
        <v/>
      </c>
      <c r="X18" s="74"/>
      <c r="Y18" s="105" t="str">
        <f t="shared" si="2"/>
        <v/>
      </c>
      <c r="Z18" s="76"/>
    </row>
    <row r="19" spans="1:27" s="29" customFormat="1" ht="21" customHeight="1" x14ac:dyDescent="0.2">
      <c r="A19" s="30"/>
      <c r="B19" s="407" t="s">
        <v>87</v>
      </c>
      <c r="C19" s="407"/>
      <c r="D19" s="407"/>
      <c r="E19" s="407"/>
      <c r="F19" s="407"/>
      <c r="G19" s="407"/>
      <c r="H19" s="407"/>
      <c r="I19" s="407"/>
      <c r="J19" s="407"/>
      <c r="K19" s="407"/>
      <c r="L19" s="46"/>
      <c r="N19" s="71"/>
      <c r="O19" s="72" t="s">
        <v>58</v>
      </c>
      <c r="P19" s="72"/>
      <c r="Q19" s="72"/>
      <c r="R19" s="72">
        <v>0</v>
      </c>
      <c r="S19" s="63"/>
      <c r="T19" s="72" t="s">
        <v>58</v>
      </c>
      <c r="U19" s="105" t="str">
        <f>IF($J$1="November",Y18,"")</f>
        <v/>
      </c>
      <c r="V19" s="74"/>
      <c r="W19" s="105" t="str">
        <f t="shared" si="1"/>
        <v/>
      </c>
      <c r="X19" s="74"/>
      <c r="Y19" s="105" t="str">
        <f t="shared" si="2"/>
        <v/>
      </c>
      <c r="Z19" s="76"/>
    </row>
    <row r="20" spans="1:27" s="29" customFormat="1" ht="21" customHeight="1" x14ac:dyDescent="0.2">
      <c r="A20" s="30"/>
      <c r="B20" s="407"/>
      <c r="C20" s="407"/>
      <c r="D20" s="407"/>
      <c r="E20" s="407"/>
      <c r="F20" s="407"/>
      <c r="G20" s="407"/>
      <c r="H20" s="407"/>
      <c r="I20" s="407"/>
      <c r="J20" s="407"/>
      <c r="K20" s="407"/>
      <c r="L20" s="46"/>
      <c r="N20" s="71"/>
      <c r="O20" s="72" t="s">
        <v>59</v>
      </c>
      <c r="P20" s="72"/>
      <c r="Q20" s="72"/>
      <c r="R20" s="72" t="str">
        <f t="shared" si="0"/>
        <v/>
      </c>
      <c r="S20" s="63"/>
      <c r="T20" s="72" t="s">
        <v>59</v>
      </c>
      <c r="U20" s="105" t="str">
        <f>IF($J$1="December",Y19,"")</f>
        <v/>
      </c>
      <c r="V20" s="74"/>
      <c r="W20" s="105" t="str">
        <f t="shared" si="1"/>
        <v/>
      </c>
      <c r="X20" s="74"/>
      <c r="Y20" s="105" t="str">
        <f t="shared" si="2"/>
        <v/>
      </c>
      <c r="Z20" s="76"/>
    </row>
    <row r="21" spans="1:27" s="29" customFormat="1" ht="21" customHeight="1" x14ac:dyDescent="0.2">
      <c r="A21" s="30"/>
      <c r="L21" s="46"/>
      <c r="N21" s="71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85"/>
    </row>
    <row r="22" spans="1:27" s="96" customFormat="1" ht="21" customHeight="1" x14ac:dyDescent="0.2"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</row>
    <row r="23" spans="1:27" s="29" customFormat="1" ht="21" customHeight="1" x14ac:dyDescent="0.2">
      <c r="A23" s="402" t="s">
        <v>41</v>
      </c>
      <c r="B23" s="403"/>
      <c r="C23" s="403"/>
      <c r="D23" s="403"/>
      <c r="E23" s="403"/>
      <c r="F23" s="403"/>
      <c r="G23" s="403"/>
      <c r="H23" s="403"/>
      <c r="I23" s="403"/>
      <c r="J23" s="403"/>
      <c r="K23" s="403"/>
      <c r="L23" s="404"/>
      <c r="M23" s="28"/>
      <c r="N23" s="75"/>
      <c r="O23" s="399" t="s">
        <v>43</v>
      </c>
      <c r="P23" s="400"/>
      <c r="Q23" s="400"/>
      <c r="R23" s="401"/>
      <c r="S23" s="63"/>
      <c r="T23" s="399" t="s">
        <v>44</v>
      </c>
      <c r="U23" s="400"/>
      <c r="V23" s="400"/>
      <c r="W23" s="400"/>
      <c r="X23" s="400"/>
      <c r="Y23" s="401"/>
      <c r="Z23" s="86"/>
      <c r="AA23" s="28"/>
    </row>
    <row r="24" spans="1:27" s="29" customFormat="1" ht="21" customHeight="1" x14ac:dyDescent="0.2">
      <c r="A24" s="30"/>
      <c r="C24" s="398" t="s">
        <v>85</v>
      </c>
      <c r="D24" s="398"/>
      <c r="E24" s="398"/>
      <c r="F24" s="398"/>
      <c r="G24" s="31" t="str">
        <f>$J$1</f>
        <v>April</v>
      </c>
      <c r="H24" s="397">
        <f>$K$1</f>
        <v>2023</v>
      </c>
      <c r="I24" s="397"/>
      <c r="K24" s="32"/>
      <c r="L24" s="33"/>
      <c r="M24" s="32"/>
      <c r="N24" s="67"/>
      <c r="O24" s="68" t="s">
        <v>54</v>
      </c>
      <c r="P24" s="68" t="s">
        <v>7</v>
      </c>
      <c r="Q24" s="68" t="s">
        <v>6</v>
      </c>
      <c r="R24" s="68" t="s">
        <v>55</v>
      </c>
      <c r="S24" s="69"/>
      <c r="T24" s="68" t="s">
        <v>54</v>
      </c>
      <c r="U24" s="68" t="s">
        <v>56</v>
      </c>
      <c r="V24" s="68" t="s">
        <v>21</v>
      </c>
      <c r="W24" s="68" t="s">
        <v>20</v>
      </c>
      <c r="X24" s="68" t="s">
        <v>22</v>
      </c>
      <c r="Y24" s="68" t="s">
        <v>60</v>
      </c>
      <c r="Z24" s="70"/>
      <c r="AA24" s="32"/>
    </row>
    <row r="25" spans="1:27" s="29" customFormat="1" ht="21" customHeight="1" x14ac:dyDescent="0.2">
      <c r="A25" s="30"/>
      <c r="D25" s="35"/>
      <c r="E25" s="35"/>
      <c r="F25" s="35"/>
      <c r="G25" s="35"/>
      <c r="H25" s="35"/>
      <c r="J25" s="36" t="s">
        <v>1</v>
      </c>
      <c r="K25" s="37">
        <v>5000</v>
      </c>
      <c r="L25" s="38"/>
      <c r="N25" s="71"/>
      <c r="O25" s="72" t="s">
        <v>46</v>
      </c>
      <c r="P25" s="72"/>
      <c r="Q25" s="72"/>
      <c r="R25" s="72"/>
      <c r="S25" s="73"/>
      <c r="T25" s="72" t="s">
        <v>46</v>
      </c>
      <c r="U25" s="74"/>
      <c r="V25" s="74"/>
      <c r="W25" s="74">
        <f>V25+U25</f>
        <v>0</v>
      </c>
      <c r="X25" s="74"/>
      <c r="Y25" s="74">
        <f>W25-X25</f>
        <v>0</v>
      </c>
      <c r="Z25" s="70"/>
    </row>
    <row r="26" spans="1:27" s="29" customFormat="1" ht="21" customHeight="1" x14ac:dyDescent="0.2">
      <c r="A26" s="30"/>
      <c r="B26" s="29" t="s">
        <v>0</v>
      </c>
      <c r="C26" s="40" t="s">
        <v>141</v>
      </c>
      <c r="H26" s="41"/>
      <c r="I26" s="35"/>
      <c r="L26" s="42"/>
      <c r="M26" s="28"/>
      <c r="N26" s="75"/>
      <c r="O26" s="72" t="s">
        <v>72</v>
      </c>
      <c r="P26" s="72"/>
      <c r="Q26" s="72"/>
      <c r="R26" s="72"/>
      <c r="S26" s="63"/>
      <c r="T26" s="72" t="s">
        <v>72</v>
      </c>
      <c r="U26" s="105">
        <f>Y25</f>
        <v>0</v>
      </c>
      <c r="V26" s="74"/>
      <c r="W26" s="105">
        <f>IF(U26="","",U26+V26)</f>
        <v>0</v>
      </c>
      <c r="X26" s="74"/>
      <c r="Y26" s="105">
        <f>IF(W26="","",W26-X26)</f>
        <v>0</v>
      </c>
      <c r="Z26" s="76"/>
      <c r="AA26" s="28"/>
    </row>
    <row r="27" spans="1:27" s="29" customFormat="1" ht="21" customHeight="1" x14ac:dyDescent="0.2">
      <c r="A27" s="30"/>
      <c r="B27" s="44" t="s">
        <v>42</v>
      </c>
      <c r="C27" s="45"/>
      <c r="F27" s="394" t="s">
        <v>44</v>
      </c>
      <c r="G27" s="396"/>
      <c r="I27" s="394" t="s">
        <v>45</v>
      </c>
      <c r="J27" s="395"/>
      <c r="K27" s="396"/>
      <c r="L27" s="46"/>
      <c r="N27" s="71"/>
      <c r="O27" s="72" t="s">
        <v>47</v>
      </c>
      <c r="P27" s="72"/>
      <c r="Q27" s="72"/>
      <c r="R27" s="72" t="str">
        <f t="shared" ref="R27:R36" si="3">IF(Q27="","",R26-Q27)</f>
        <v/>
      </c>
      <c r="S27" s="63"/>
      <c r="T27" s="72" t="s">
        <v>47</v>
      </c>
      <c r="U27" s="105"/>
      <c r="V27" s="74"/>
      <c r="W27" s="105" t="str">
        <f t="shared" ref="W27:W36" si="4">IF(U27="","",U27+V27)</f>
        <v/>
      </c>
      <c r="X27" s="74"/>
      <c r="Y27" s="105" t="str">
        <f t="shared" ref="Y27:Y36" si="5">IF(W27="","",W27-X27)</f>
        <v/>
      </c>
      <c r="Z27" s="76"/>
    </row>
    <row r="28" spans="1:27" s="29" customFormat="1" ht="21" customHeight="1" x14ac:dyDescent="0.2">
      <c r="A28" s="30"/>
      <c r="H28" s="47"/>
      <c r="L28" s="34"/>
      <c r="N28" s="71"/>
      <c r="O28" s="72" t="s">
        <v>48</v>
      </c>
      <c r="P28" s="72"/>
      <c r="Q28" s="72"/>
      <c r="R28" s="72" t="str">
        <f t="shared" si="3"/>
        <v/>
      </c>
      <c r="S28" s="63"/>
      <c r="T28" s="72" t="s">
        <v>48</v>
      </c>
      <c r="U28" s="105"/>
      <c r="V28" s="74"/>
      <c r="W28" s="105">
        <f>V28+U28</f>
        <v>0</v>
      </c>
      <c r="X28" s="74"/>
      <c r="Y28" s="105">
        <f t="shared" si="5"/>
        <v>0</v>
      </c>
      <c r="Z28" s="76"/>
    </row>
    <row r="29" spans="1:27" s="29" customFormat="1" ht="21" customHeight="1" x14ac:dyDescent="0.2">
      <c r="A29" s="30"/>
      <c r="B29" s="392" t="s">
        <v>43</v>
      </c>
      <c r="C29" s="393"/>
      <c r="F29" s="48" t="s">
        <v>65</v>
      </c>
      <c r="G29" s="43">
        <f>IF($J$1="January",U25,IF($J$1="February",U26,IF($J$1="March",U27,IF($J$1="April",U28,IF($J$1="May",U29,IF($J$1="June",U30,IF($J$1="July",U31,IF($J$1="August",U32,IF($J$1="August",U32,IF($J$1="September",U33,IF($J$1="October",U34,IF($J$1="November",U35,IF($J$1="December",U36)))))))))))))</f>
        <v>0</v>
      </c>
      <c r="H29" s="47"/>
      <c r="I29" s="49"/>
      <c r="J29" s="50" t="s">
        <v>62</v>
      </c>
      <c r="K29" s="51">
        <v>5000</v>
      </c>
      <c r="L29" s="52"/>
      <c r="N29" s="71"/>
      <c r="O29" s="72" t="s">
        <v>49</v>
      </c>
      <c r="P29" s="72"/>
      <c r="Q29" s="72"/>
      <c r="R29" s="72" t="str">
        <f t="shared" si="3"/>
        <v/>
      </c>
      <c r="S29" s="63"/>
      <c r="T29" s="72" t="s">
        <v>49</v>
      </c>
      <c r="U29" s="105">
        <f>Y28</f>
        <v>0</v>
      </c>
      <c r="V29" s="74"/>
      <c r="W29" s="105">
        <f t="shared" si="4"/>
        <v>0</v>
      </c>
      <c r="X29" s="74"/>
      <c r="Y29" s="105">
        <f t="shared" si="5"/>
        <v>0</v>
      </c>
      <c r="Z29" s="76"/>
    </row>
    <row r="30" spans="1:27" s="29" customFormat="1" ht="21" customHeight="1" x14ac:dyDescent="0.2">
      <c r="A30" s="30"/>
      <c r="B30" s="39"/>
      <c r="C30" s="39"/>
      <c r="F30" s="48" t="s">
        <v>21</v>
      </c>
      <c r="G30" s="43">
        <f>IF($J$1="January",V25,IF($J$1="February",V26,IF($J$1="March",V27,IF($J$1="April",V28,IF($J$1="May",V29,IF($J$1="June",V30,IF($J$1="July",V31,IF($J$1="August",V32,IF($J$1="August",V32,IF($J$1="September",V33,IF($J$1="October",V34,IF($J$1="November",V35,IF($J$1="December",V36)))))))))))))</f>
        <v>0</v>
      </c>
      <c r="H30" s="47"/>
      <c r="I30" s="49"/>
      <c r="J30" s="50" t="s">
        <v>63</v>
      </c>
      <c r="K30" s="53">
        <f>K25/$K$2/8*I30</f>
        <v>0</v>
      </c>
      <c r="L30" s="54"/>
      <c r="N30" s="71"/>
      <c r="O30" s="72" t="s">
        <v>50</v>
      </c>
      <c r="P30" s="72"/>
      <c r="Q30" s="72"/>
      <c r="R30" s="72" t="str">
        <f t="shared" si="3"/>
        <v/>
      </c>
      <c r="S30" s="63"/>
      <c r="T30" s="72" t="s">
        <v>50</v>
      </c>
      <c r="U30" s="105">
        <f>Y29</f>
        <v>0</v>
      </c>
      <c r="V30" s="74"/>
      <c r="W30" s="105">
        <f t="shared" si="4"/>
        <v>0</v>
      </c>
      <c r="X30" s="74"/>
      <c r="Y30" s="105">
        <f t="shared" si="5"/>
        <v>0</v>
      </c>
      <c r="Z30" s="76"/>
    </row>
    <row r="31" spans="1:27" s="29" customFormat="1" ht="21" customHeight="1" x14ac:dyDescent="0.2">
      <c r="A31" s="30"/>
      <c r="B31" s="48" t="s">
        <v>7</v>
      </c>
      <c r="C31" s="39">
        <f>IF($J$1="January",P25,IF($J$1="February",P26,IF($J$1="March",P27,IF($J$1="April",P28,IF($J$1="May",P29,IF($J$1="June",P30,IF($J$1="July",P31,IF($J$1="August",P32,IF($J$1="August",P32,IF($J$1="September",P33,IF($J$1="October",P34,IF($J$1="November",P35,IF($J$1="December",P36)))))))))))))</f>
        <v>0</v>
      </c>
      <c r="F31" s="48" t="s">
        <v>66</v>
      </c>
      <c r="G31" s="43">
        <f>IF($J$1="January",W25,IF($J$1="February",W26,IF($J$1="March",W27,IF($J$1="April",W28,IF($J$1="May",W29,IF($J$1="June",W30,IF($J$1="July",W31,IF($J$1="August",W32,IF($J$1="August",W32,IF($J$1="September",W33,IF($J$1="October",W34,IF($J$1="November",W35,IF($J$1="December",W36)))))))))))))</f>
        <v>0</v>
      </c>
      <c r="H31" s="47"/>
      <c r="I31" s="405" t="s">
        <v>70</v>
      </c>
      <c r="J31" s="406"/>
      <c r="K31" s="53">
        <f>K29+K30</f>
        <v>5000</v>
      </c>
      <c r="L31" s="54"/>
      <c r="N31" s="71"/>
      <c r="O31" s="72" t="s">
        <v>51</v>
      </c>
      <c r="P31" s="72"/>
      <c r="Q31" s="72"/>
      <c r="R31" s="72" t="str">
        <f t="shared" si="3"/>
        <v/>
      </c>
      <c r="S31" s="63"/>
      <c r="T31" s="72" t="s">
        <v>51</v>
      </c>
      <c r="U31" s="105"/>
      <c r="V31" s="74"/>
      <c r="W31" s="105" t="str">
        <f t="shared" si="4"/>
        <v/>
      </c>
      <c r="X31" s="74"/>
      <c r="Y31" s="105" t="str">
        <f t="shared" si="5"/>
        <v/>
      </c>
      <c r="Z31" s="76"/>
    </row>
    <row r="32" spans="1:27" s="29" customFormat="1" ht="21" customHeight="1" x14ac:dyDescent="0.2">
      <c r="A32" s="30"/>
      <c r="B32" s="48" t="s">
        <v>6</v>
      </c>
      <c r="C32" s="39">
        <f>IF($J$1="January",Q25,IF($J$1="February",Q26,IF($J$1="March",Q27,IF($J$1="April",Q28,IF($J$1="May",Q29,IF($J$1="June",Q30,IF($J$1="July",Q31,IF($J$1="August",Q32,IF($J$1="August",Q32,IF($J$1="September",Q33,IF($J$1="October",Q34,IF($J$1="November",Q35,IF($J$1="December",Q36)))))))))))))</f>
        <v>0</v>
      </c>
      <c r="F32" s="48" t="s">
        <v>22</v>
      </c>
      <c r="G32" s="43">
        <f>IF($J$1="January",X25,IF($J$1="February",X26,IF($J$1="March",X27,IF($J$1="April",X28,IF($J$1="May",X29,IF($J$1="June",X30,IF($J$1="July",X31,IF($J$1="August",X32,IF($J$1="August",X32,IF($J$1="September",X33,IF($J$1="October",X34,IF($J$1="November",X35,IF($J$1="December",X36)))))))))))))</f>
        <v>0</v>
      </c>
      <c r="H32" s="47"/>
      <c r="I32" s="405" t="s">
        <v>71</v>
      </c>
      <c r="J32" s="406"/>
      <c r="K32" s="43"/>
      <c r="L32" s="55"/>
      <c r="N32" s="71"/>
      <c r="O32" s="72" t="s">
        <v>52</v>
      </c>
      <c r="P32" s="72"/>
      <c r="Q32" s="72"/>
      <c r="R32" s="72" t="str">
        <f t="shared" si="3"/>
        <v/>
      </c>
      <c r="S32" s="63"/>
      <c r="T32" s="72" t="s">
        <v>52</v>
      </c>
      <c r="U32" s="105"/>
      <c r="V32" s="74"/>
      <c r="W32" s="105" t="str">
        <f t="shared" si="4"/>
        <v/>
      </c>
      <c r="X32" s="74"/>
      <c r="Y32" s="105" t="str">
        <f t="shared" si="5"/>
        <v/>
      </c>
      <c r="Z32" s="76"/>
    </row>
    <row r="33" spans="1:27" s="29" customFormat="1" ht="21" customHeight="1" x14ac:dyDescent="0.2">
      <c r="A33" s="30"/>
      <c r="B33" s="56" t="s">
        <v>69</v>
      </c>
      <c r="C33" s="39" t="str">
        <f>IF($J$1="January",R25,IF($J$1="February",R26,IF($J$1="March",R27,IF($J$1="April",R28,IF($J$1="May",R29,IF($J$1="June",R30,IF($J$1="July",R31,IF($J$1="August",R32,IF($J$1="August",R32,IF($J$1="September",R33,IF($J$1="October",R34,IF($J$1="November",R35,IF($J$1="December",R36)))))))))))))</f>
        <v/>
      </c>
      <c r="F33" s="48" t="s">
        <v>68</v>
      </c>
      <c r="G33" s="43">
        <f>IF($J$1="January",Y25,IF($J$1="February",Y26,IF($J$1="March",Y27,IF($J$1="April",Y28,IF($J$1="May",Y29,IF($J$1="June",Y30,IF($J$1="July",Y31,IF($J$1="August",Y32,IF($J$1="August",Y32,IF($J$1="September",Y33,IF($J$1="October",Y34,IF($J$1="November",Y35,IF($J$1="December",Y36)))))))))))))</f>
        <v>0</v>
      </c>
      <c r="I33" s="394" t="s">
        <v>64</v>
      </c>
      <c r="J33" s="396"/>
      <c r="K33" s="57">
        <v>5000</v>
      </c>
      <c r="L33" s="58"/>
      <c r="N33" s="71"/>
      <c r="O33" s="72" t="s">
        <v>57</v>
      </c>
      <c r="P33" s="72"/>
      <c r="Q33" s="72"/>
      <c r="R33" s="72" t="str">
        <f t="shared" si="3"/>
        <v/>
      </c>
      <c r="S33" s="63"/>
      <c r="T33" s="72" t="s">
        <v>57</v>
      </c>
      <c r="U33" s="105"/>
      <c r="V33" s="74"/>
      <c r="W33" s="105" t="str">
        <f t="shared" si="4"/>
        <v/>
      </c>
      <c r="X33" s="74"/>
      <c r="Y33" s="105" t="str">
        <f t="shared" si="5"/>
        <v/>
      </c>
      <c r="Z33" s="76"/>
    </row>
    <row r="34" spans="1:27" s="29" customFormat="1" ht="21" customHeight="1" x14ac:dyDescent="0.2">
      <c r="A34" s="30"/>
      <c r="L34" s="46"/>
      <c r="N34" s="71"/>
      <c r="O34" s="72" t="s">
        <v>53</v>
      </c>
      <c r="P34" s="72"/>
      <c r="Q34" s="72"/>
      <c r="R34" s="72" t="str">
        <f t="shared" si="3"/>
        <v/>
      </c>
      <c r="S34" s="63"/>
      <c r="T34" s="72" t="s">
        <v>53</v>
      </c>
      <c r="U34" s="105"/>
      <c r="V34" s="74"/>
      <c r="W34" s="105" t="str">
        <f t="shared" si="4"/>
        <v/>
      </c>
      <c r="X34" s="74"/>
      <c r="Y34" s="105" t="str">
        <f t="shared" si="5"/>
        <v/>
      </c>
      <c r="Z34" s="76"/>
    </row>
    <row r="35" spans="1:27" s="29" customFormat="1" ht="21" customHeight="1" x14ac:dyDescent="0.2">
      <c r="A35" s="30"/>
      <c r="B35" s="407" t="s">
        <v>87</v>
      </c>
      <c r="C35" s="407"/>
      <c r="D35" s="407"/>
      <c r="E35" s="407"/>
      <c r="F35" s="407"/>
      <c r="G35" s="407"/>
      <c r="H35" s="407"/>
      <c r="I35" s="407"/>
      <c r="J35" s="407"/>
      <c r="K35" s="407"/>
      <c r="L35" s="46"/>
      <c r="N35" s="71"/>
      <c r="O35" s="72" t="s">
        <v>58</v>
      </c>
      <c r="P35" s="72"/>
      <c r="Q35" s="72"/>
      <c r="R35" s="72" t="str">
        <f t="shared" si="3"/>
        <v/>
      </c>
      <c r="S35" s="63"/>
      <c r="T35" s="72" t="s">
        <v>58</v>
      </c>
      <c r="U35" s="105"/>
      <c r="V35" s="74"/>
      <c r="W35" s="105" t="str">
        <f t="shared" si="4"/>
        <v/>
      </c>
      <c r="X35" s="74"/>
      <c r="Y35" s="105" t="str">
        <f t="shared" si="5"/>
        <v/>
      </c>
      <c r="Z35" s="76"/>
    </row>
    <row r="36" spans="1:27" s="29" customFormat="1" ht="21" customHeight="1" x14ac:dyDescent="0.2">
      <c r="A36" s="30"/>
      <c r="B36" s="407"/>
      <c r="C36" s="407"/>
      <c r="D36" s="407"/>
      <c r="E36" s="407"/>
      <c r="F36" s="407"/>
      <c r="G36" s="407"/>
      <c r="H36" s="407"/>
      <c r="I36" s="407"/>
      <c r="J36" s="407"/>
      <c r="K36" s="407"/>
      <c r="L36" s="46"/>
      <c r="N36" s="71"/>
      <c r="O36" s="72" t="s">
        <v>59</v>
      </c>
      <c r="P36" s="72"/>
      <c r="Q36" s="72"/>
      <c r="R36" s="72" t="str">
        <f t="shared" si="3"/>
        <v/>
      </c>
      <c r="S36" s="63"/>
      <c r="T36" s="72" t="s">
        <v>59</v>
      </c>
      <c r="U36" s="105"/>
      <c r="V36" s="74"/>
      <c r="W36" s="105" t="str">
        <f t="shared" si="4"/>
        <v/>
      </c>
      <c r="X36" s="74"/>
      <c r="Y36" s="105" t="str">
        <f t="shared" si="5"/>
        <v/>
      </c>
      <c r="Z36" s="76"/>
    </row>
    <row r="37" spans="1:27" s="29" customFormat="1" ht="21" customHeight="1" thickBot="1" x14ac:dyDescent="0.25">
      <c r="A37" s="59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1"/>
      <c r="N37" s="77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9"/>
    </row>
    <row r="38" spans="1:27" s="29" customFormat="1" ht="21" customHeight="1" thickBot="1" x14ac:dyDescent="0.25"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 spans="1:27" s="29" customFormat="1" ht="21" customHeight="1" x14ac:dyDescent="0.2">
      <c r="A39" s="420" t="s">
        <v>41</v>
      </c>
      <c r="B39" s="421"/>
      <c r="C39" s="421"/>
      <c r="D39" s="421"/>
      <c r="E39" s="421"/>
      <c r="F39" s="421"/>
      <c r="G39" s="421"/>
      <c r="H39" s="421"/>
      <c r="I39" s="421"/>
      <c r="J39" s="421"/>
      <c r="K39" s="421"/>
      <c r="L39" s="422"/>
      <c r="M39" s="28"/>
      <c r="N39" s="64"/>
      <c r="O39" s="408" t="s">
        <v>43</v>
      </c>
      <c r="P39" s="409"/>
      <c r="Q39" s="409"/>
      <c r="R39" s="410"/>
      <c r="S39" s="65"/>
      <c r="T39" s="408" t="s">
        <v>44</v>
      </c>
      <c r="U39" s="409"/>
      <c r="V39" s="409"/>
      <c r="W39" s="409"/>
      <c r="X39" s="409"/>
      <c r="Y39" s="410"/>
      <c r="Z39" s="66"/>
      <c r="AA39" s="28"/>
    </row>
    <row r="40" spans="1:27" s="29" customFormat="1" ht="21" customHeight="1" x14ac:dyDescent="0.2">
      <c r="A40" s="30"/>
      <c r="C40" s="398" t="s">
        <v>85</v>
      </c>
      <c r="D40" s="398"/>
      <c r="E40" s="398"/>
      <c r="F40" s="398"/>
      <c r="G40" s="31" t="str">
        <f>$J$1</f>
        <v>April</v>
      </c>
      <c r="H40" s="397">
        <f>$K$1</f>
        <v>2023</v>
      </c>
      <c r="I40" s="397"/>
      <c r="K40" s="32"/>
      <c r="L40" s="33"/>
      <c r="M40" s="32"/>
      <c r="N40" s="67"/>
      <c r="O40" s="68" t="s">
        <v>54</v>
      </c>
      <c r="P40" s="68" t="s">
        <v>7</v>
      </c>
      <c r="Q40" s="68" t="s">
        <v>6</v>
      </c>
      <c r="R40" s="68" t="s">
        <v>55</v>
      </c>
      <c r="S40" s="69"/>
      <c r="T40" s="68" t="s">
        <v>54</v>
      </c>
      <c r="U40" s="68" t="s">
        <v>56</v>
      </c>
      <c r="V40" s="68" t="s">
        <v>21</v>
      </c>
      <c r="W40" s="68" t="s">
        <v>20</v>
      </c>
      <c r="X40" s="68" t="s">
        <v>22</v>
      </c>
      <c r="Y40" s="68" t="s">
        <v>60</v>
      </c>
      <c r="Z40" s="70"/>
      <c r="AA40" s="32"/>
    </row>
    <row r="41" spans="1:27" s="29" customFormat="1" ht="21" customHeight="1" x14ac:dyDescent="0.2">
      <c r="A41" s="30"/>
      <c r="D41" s="35"/>
      <c r="E41" s="35"/>
      <c r="F41" s="35"/>
      <c r="G41" s="35"/>
      <c r="H41" s="35"/>
      <c r="J41" s="36" t="s">
        <v>1</v>
      </c>
      <c r="K41" s="37">
        <v>18000</v>
      </c>
      <c r="L41" s="38"/>
      <c r="N41" s="71"/>
      <c r="O41" s="72" t="s">
        <v>46</v>
      </c>
      <c r="P41" s="72"/>
      <c r="Q41" s="72"/>
      <c r="R41" s="72"/>
      <c r="S41" s="73"/>
      <c r="T41" s="72" t="s">
        <v>46</v>
      </c>
      <c r="U41" s="74">
        <v>6000</v>
      </c>
      <c r="V41" s="74"/>
      <c r="W41" s="74">
        <f>V41+U41</f>
        <v>6000</v>
      </c>
      <c r="X41" s="74">
        <v>3000</v>
      </c>
      <c r="Y41" s="74">
        <f>W41-X41</f>
        <v>3000</v>
      </c>
      <c r="Z41" s="70"/>
    </row>
    <row r="42" spans="1:27" s="29" customFormat="1" ht="21" customHeight="1" x14ac:dyDescent="0.2">
      <c r="A42" s="30"/>
      <c r="B42" s="29" t="s">
        <v>0</v>
      </c>
      <c r="C42" s="40" t="s">
        <v>174</v>
      </c>
      <c r="H42" s="41"/>
      <c r="I42" s="35"/>
      <c r="L42" s="42"/>
      <c r="M42" s="28"/>
      <c r="N42" s="75"/>
      <c r="O42" s="72" t="s">
        <v>72</v>
      </c>
      <c r="P42" s="72"/>
      <c r="Q42" s="72"/>
      <c r="R42" s="72"/>
      <c r="S42" s="63"/>
      <c r="T42" s="72" t="s">
        <v>72</v>
      </c>
      <c r="U42" s="105">
        <f>Y41</f>
        <v>3000</v>
      </c>
      <c r="V42" s="74">
        <f>10000+5000</f>
        <v>15000</v>
      </c>
      <c r="W42" s="74">
        <f>V42+U42</f>
        <v>18000</v>
      </c>
      <c r="X42" s="74">
        <v>18000</v>
      </c>
      <c r="Y42" s="105">
        <f>IF(W42="","",W42-X42)</f>
        <v>0</v>
      </c>
      <c r="Z42" s="76"/>
      <c r="AA42" s="28"/>
    </row>
    <row r="43" spans="1:27" s="29" customFormat="1" ht="21" customHeight="1" x14ac:dyDescent="0.2">
      <c r="A43" s="30"/>
      <c r="B43" s="44" t="s">
        <v>42</v>
      </c>
      <c r="C43" s="45"/>
      <c r="F43" s="414" t="s">
        <v>44</v>
      </c>
      <c r="G43" s="414"/>
      <c r="I43" s="414" t="s">
        <v>45</v>
      </c>
      <c r="J43" s="414"/>
      <c r="K43" s="414"/>
      <c r="L43" s="46"/>
      <c r="N43" s="71"/>
      <c r="O43" s="72" t="s">
        <v>47</v>
      </c>
      <c r="P43" s="72"/>
      <c r="Q43" s="72"/>
      <c r="R43" s="72" t="str">
        <f t="shared" ref="R43:R52" si="6">IF(Q43="","",R42-Q43)</f>
        <v/>
      </c>
      <c r="S43" s="63"/>
      <c r="T43" s="72" t="s">
        <v>47</v>
      </c>
      <c r="U43" s="105">
        <f>Y42</f>
        <v>0</v>
      </c>
      <c r="V43" s="74">
        <v>8000</v>
      </c>
      <c r="W43" s="74">
        <f>V43+U43</f>
        <v>8000</v>
      </c>
      <c r="X43" s="74"/>
      <c r="Y43" s="105">
        <f t="shared" ref="Y43:Y52" si="7">IF(W43="","",W43-X43)</f>
        <v>8000</v>
      </c>
      <c r="Z43" s="76"/>
    </row>
    <row r="44" spans="1:27" s="29" customFormat="1" ht="21" customHeight="1" x14ac:dyDescent="0.2">
      <c r="A44" s="30"/>
      <c r="H44" s="47"/>
      <c r="L44" s="34"/>
      <c r="N44" s="71"/>
      <c r="O44" s="72" t="s">
        <v>48</v>
      </c>
      <c r="P44" s="72"/>
      <c r="Q44" s="72"/>
      <c r="R44" s="72" t="str">
        <f t="shared" si="6"/>
        <v/>
      </c>
      <c r="S44" s="63"/>
      <c r="T44" s="72" t="s">
        <v>48</v>
      </c>
      <c r="U44" s="105">
        <f>Y43</f>
        <v>8000</v>
      </c>
      <c r="V44" s="74"/>
      <c r="W44" s="105">
        <f t="shared" ref="W44:W52" si="8">IF(U44="","",U44+V44)</f>
        <v>8000</v>
      </c>
      <c r="X44" s="74">
        <v>3000</v>
      </c>
      <c r="Y44" s="105">
        <f t="shared" si="7"/>
        <v>5000</v>
      </c>
      <c r="Z44" s="76"/>
    </row>
    <row r="45" spans="1:27" s="29" customFormat="1" ht="21" customHeight="1" x14ac:dyDescent="0.2">
      <c r="A45" s="30"/>
      <c r="B45" s="392" t="s">
        <v>43</v>
      </c>
      <c r="C45" s="393"/>
      <c r="F45" s="48" t="s">
        <v>65</v>
      </c>
      <c r="G45" s="43">
        <f>IF($J$1="January",U41,IF($J$1="February",U42,IF($J$1="March",U43,IF($J$1="April",U44,IF($J$1="May",U45,IF($J$1="June",U46,IF($J$1="July",U47,IF($J$1="August",U48,IF($J$1="August",U48,IF($J$1="September",U49,IF($J$1="October",U50,IF($J$1="November",U51,IF($J$1="December",U52)))))))))))))</f>
        <v>8000</v>
      </c>
      <c r="H45" s="47"/>
      <c r="I45" s="49">
        <f>IF(C49&gt;=C48,$K$2,C47-C48+C49)</f>
        <v>30</v>
      </c>
      <c r="J45" s="50" t="s">
        <v>62</v>
      </c>
      <c r="K45" s="51">
        <f>K41/$K$2*I45</f>
        <v>18000</v>
      </c>
      <c r="L45" s="52"/>
      <c r="N45" s="71"/>
      <c r="O45" s="72" t="s">
        <v>49</v>
      </c>
      <c r="P45" s="72"/>
      <c r="Q45" s="72"/>
      <c r="R45" s="72" t="str">
        <f t="shared" si="6"/>
        <v/>
      </c>
      <c r="S45" s="63"/>
      <c r="T45" s="72" t="s">
        <v>49</v>
      </c>
      <c r="U45" s="105">
        <v>0</v>
      </c>
      <c r="V45" s="74"/>
      <c r="W45" s="105">
        <f t="shared" si="8"/>
        <v>0</v>
      </c>
      <c r="X45" s="74"/>
      <c r="Y45" s="105">
        <f t="shared" si="7"/>
        <v>0</v>
      </c>
      <c r="Z45" s="76"/>
    </row>
    <row r="46" spans="1:27" s="29" customFormat="1" ht="21" customHeight="1" x14ac:dyDescent="0.2">
      <c r="A46" s="30"/>
      <c r="B46" s="39"/>
      <c r="C46" s="39"/>
      <c r="F46" s="48" t="s">
        <v>21</v>
      </c>
      <c r="G46" s="43">
        <f>IF($J$1="January",V41,IF($J$1="February",V42,IF($J$1="March",V43,IF($J$1="April",V44,IF($J$1="May",V45,IF($J$1="June",V46,IF($J$1="July",V47,IF($J$1="August",V48,IF($J$1="August",V48,IF($J$1="September",V49,IF($J$1="October",V50,IF($J$1="November",V51,IF($J$1="December",V52)))))))))))))</f>
        <v>0</v>
      </c>
      <c r="H46" s="47"/>
      <c r="I46" s="49"/>
      <c r="J46" s="50" t="s">
        <v>63</v>
      </c>
      <c r="K46" s="53">
        <f>K41/$K$2/8*I46</f>
        <v>0</v>
      </c>
      <c r="L46" s="54"/>
      <c r="N46" s="71"/>
      <c r="O46" s="72" t="s">
        <v>50</v>
      </c>
      <c r="P46" s="72"/>
      <c r="Q46" s="72"/>
      <c r="R46" s="72">
        <v>0</v>
      </c>
      <c r="S46" s="63"/>
      <c r="T46" s="72" t="s">
        <v>50</v>
      </c>
      <c r="U46" s="105">
        <f>Y45</f>
        <v>0</v>
      </c>
      <c r="V46" s="74"/>
      <c r="W46" s="105">
        <f t="shared" si="8"/>
        <v>0</v>
      </c>
      <c r="X46" s="74"/>
      <c r="Y46" s="105">
        <f t="shared" si="7"/>
        <v>0</v>
      </c>
      <c r="Z46" s="76"/>
    </row>
    <row r="47" spans="1:27" s="29" customFormat="1" ht="21" customHeight="1" x14ac:dyDescent="0.2">
      <c r="A47" s="30"/>
      <c r="B47" s="48" t="s">
        <v>7</v>
      </c>
      <c r="C47" s="39">
        <f>IF($J$1="January",P41,IF($J$1="February",P42,IF($J$1="March",P43,IF($J$1="April",P44,IF($J$1="May",P45,IF($J$1="June",P46,IF($J$1="July",P47,IF($J$1="August",P48,IF($J$1="August",P48,IF($J$1="September",P49,IF($J$1="October",P50,IF($J$1="November",P51,IF($J$1="December",P52)))))))))))))</f>
        <v>0</v>
      </c>
      <c r="F47" s="48" t="s">
        <v>66</v>
      </c>
      <c r="G47" s="43">
        <f>IF($J$1="January",W41,IF($J$1="February",W42,IF($J$1="March",W43,IF($J$1="April",W44,IF($J$1="May",W45,IF($J$1="June",W46,IF($J$1="July",W47,IF($J$1="August",W48,IF($J$1="August",W48,IF($J$1="September",W49,IF($J$1="October",W50,IF($J$1="November",W51,IF($J$1="December",W52)))))))))))))</f>
        <v>8000</v>
      </c>
      <c r="H47" s="47"/>
      <c r="I47" s="405" t="s">
        <v>70</v>
      </c>
      <c r="J47" s="406"/>
      <c r="K47" s="53">
        <f>K45+K46</f>
        <v>18000</v>
      </c>
      <c r="L47" s="54"/>
      <c r="N47" s="71"/>
      <c r="O47" s="72" t="s">
        <v>51</v>
      </c>
      <c r="P47" s="72"/>
      <c r="Q47" s="72"/>
      <c r="R47" s="72" t="str">
        <f t="shared" si="6"/>
        <v/>
      </c>
      <c r="S47" s="63"/>
      <c r="T47" s="72" t="s">
        <v>51</v>
      </c>
      <c r="U47" s="105">
        <f t="shared" ref="U47:U50" si="9">Y46</f>
        <v>0</v>
      </c>
      <c r="V47" s="74"/>
      <c r="W47" s="105">
        <f t="shared" si="8"/>
        <v>0</v>
      </c>
      <c r="X47" s="74"/>
      <c r="Y47" s="105">
        <f t="shared" si="7"/>
        <v>0</v>
      </c>
      <c r="Z47" s="76"/>
    </row>
    <row r="48" spans="1:27" s="29" customFormat="1" ht="21" customHeight="1" x14ac:dyDescent="0.2">
      <c r="A48" s="30"/>
      <c r="B48" s="48" t="s">
        <v>6</v>
      </c>
      <c r="C48" s="39">
        <f>IF($J$1="January",Q41,IF($J$1="February",Q42,IF($J$1="March",Q43,IF($J$1="April",Q44,IF($J$1="May",Q45,IF($J$1="June",Q46,IF($J$1="July",Q47,IF($J$1="August",Q48,IF($J$1="August",Q48,IF($J$1="September",Q49,IF($J$1="October",Q50,IF($J$1="November",Q51,IF($J$1="December",Q52)))))))))))))</f>
        <v>0</v>
      </c>
      <c r="F48" s="48" t="s">
        <v>22</v>
      </c>
      <c r="G48" s="43">
        <f>IF($J$1="January",X41,IF($J$1="February",X42,IF($J$1="March",X43,IF($J$1="April",X44,IF($J$1="May",X45,IF($J$1="June",X46,IF($J$1="July",X47,IF($J$1="August",X48,IF($J$1="August",X48,IF($J$1="September",X49,IF($J$1="October",X50,IF($J$1="November",X51,IF($J$1="December",X52)))))))))))))</f>
        <v>3000</v>
      </c>
      <c r="H48" s="47"/>
      <c r="I48" s="405" t="s">
        <v>71</v>
      </c>
      <c r="J48" s="406"/>
      <c r="K48" s="43">
        <f>G48</f>
        <v>3000</v>
      </c>
      <c r="L48" s="55"/>
      <c r="N48" s="71"/>
      <c r="O48" s="72" t="s">
        <v>52</v>
      </c>
      <c r="P48" s="72"/>
      <c r="Q48" s="72"/>
      <c r="R48" s="72" t="str">
        <f t="shared" si="6"/>
        <v/>
      </c>
      <c r="S48" s="63"/>
      <c r="T48" s="72" t="s">
        <v>52</v>
      </c>
      <c r="U48" s="105">
        <f t="shared" si="9"/>
        <v>0</v>
      </c>
      <c r="V48" s="74"/>
      <c r="W48" s="105">
        <f t="shared" si="8"/>
        <v>0</v>
      </c>
      <c r="X48" s="74"/>
      <c r="Y48" s="105">
        <f t="shared" si="7"/>
        <v>0</v>
      </c>
      <c r="Z48" s="76"/>
    </row>
    <row r="49" spans="1:27" s="29" customFormat="1" ht="21" customHeight="1" x14ac:dyDescent="0.2">
      <c r="A49" s="30"/>
      <c r="B49" s="56" t="s">
        <v>69</v>
      </c>
      <c r="C49" s="39" t="str">
        <f>IF($J$1="January",R41,IF($J$1="February",R42,IF($J$1="March",R43,IF($J$1="April",R44,IF($J$1="May",R45,IF($J$1="June",R46,IF($J$1="July",R47,IF($J$1="August",R48,IF($J$1="August",R48,IF($J$1="September",R49,IF($J$1="October",R50,IF($J$1="November",R51,IF($J$1="December",R52)))))))))))))</f>
        <v/>
      </c>
      <c r="F49" s="48" t="s">
        <v>68</v>
      </c>
      <c r="G49" s="43">
        <f>IF($J$1="January",Y41,IF($J$1="February",Y42,IF($J$1="March",Y43,IF($J$1="April",Y44,IF($J$1="May",Y45,IF($J$1="June",Y46,IF($J$1="July",Y47,IF($J$1="August",Y48,IF($J$1="August",Y48,IF($J$1="September",Y49,IF($J$1="October",Y50,IF($J$1="November",Y51,IF($J$1="December",Y52)))))))))))))</f>
        <v>5000</v>
      </c>
      <c r="I49" s="394" t="s">
        <v>64</v>
      </c>
      <c r="J49" s="396"/>
      <c r="K49" s="57">
        <f>K47-K48</f>
        <v>15000</v>
      </c>
      <c r="L49" s="58"/>
      <c r="N49" s="71"/>
      <c r="O49" s="72" t="s">
        <v>57</v>
      </c>
      <c r="P49" s="72"/>
      <c r="Q49" s="72"/>
      <c r="R49" s="72" t="str">
        <f t="shared" si="6"/>
        <v/>
      </c>
      <c r="S49" s="63"/>
      <c r="T49" s="72" t="s">
        <v>57</v>
      </c>
      <c r="U49" s="105">
        <f t="shared" si="9"/>
        <v>0</v>
      </c>
      <c r="V49" s="74"/>
      <c r="W49" s="105">
        <f t="shared" si="8"/>
        <v>0</v>
      </c>
      <c r="X49" s="74"/>
      <c r="Y49" s="105">
        <f t="shared" si="7"/>
        <v>0</v>
      </c>
      <c r="Z49" s="76"/>
    </row>
    <row r="50" spans="1:27" s="29" customFormat="1" ht="21" customHeight="1" x14ac:dyDescent="0.2">
      <c r="A50" s="30"/>
      <c r="K50" s="107"/>
      <c r="L50" s="46"/>
      <c r="N50" s="71"/>
      <c r="O50" s="72" t="s">
        <v>53</v>
      </c>
      <c r="P50" s="72"/>
      <c r="Q50" s="72"/>
      <c r="R50" s="72">
        <v>0</v>
      </c>
      <c r="S50" s="63"/>
      <c r="T50" s="72" t="s">
        <v>53</v>
      </c>
      <c r="U50" s="105">
        <f t="shared" si="9"/>
        <v>0</v>
      </c>
      <c r="V50" s="74"/>
      <c r="W50" s="105">
        <f t="shared" si="8"/>
        <v>0</v>
      </c>
      <c r="X50" s="74"/>
      <c r="Y50" s="105">
        <f t="shared" si="7"/>
        <v>0</v>
      </c>
      <c r="Z50" s="76"/>
    </row>
    <row r="51" spans="1:27" s="29" customFormat="1" ht="21" customHeight="1" x14ac:dyDescent="0.2">
      <c r="A51" s="30"/>
      <c r="B51" s="407" t="s">
        <v>87</v>
      </c>
      <c r="C51" s="407"/>
      <c r="D51" s="407"/>
      <c r="E51" s="407"/>
      <c r="F51" s="407"/>
      <c r="G51" s="407"/>
      <c r="H51" s="407"/>
      <c r="I51" s="407"/>
      <c r="J51" s="407"/>
      <c r="K51" s="407"/>
      <c r="L51" s="46"/>
      <c r="N51" s="71"/>
      <c r="O51" s="72" t="s">
        <v>58</v>
      </c>
      <c r="P51" s="72"/>
      <c r="Q51" s="72"/>
      <c r="R51" s="72" t="str">
        <f t="shared" si="6"/>
        <v/>
      </c>
      <c r="S51" s="63"/>
      <c r="T51" s="72" t="s">
        <v>58</v>
      </c>
      <c r="U51" s="105">
        <f>Y50</f>
        <v>0</v>
      </c>
      <c r="V51" s="74"/>
      <c r="W51" s="105">
        <f t="shared" si="8"/>
        <v>0</v>
      </c>
      <c r="X51" s="74"/>
      <c r="Y51" s="105">
        <f t="shared" si="7"/>
        <v>0</v>
      </c>
      <c r="Z51" s="76"/>
    </row>
    <row r="52" spans="1:27" s="29" customFormat="1" ht="21" customHeight="1" x14ac:dyDescent="0.2">
      <c r="A52" s="30"/>
      <c r="B52" s="407"/>
      <c r="C52" s="407"/>
      <c r="D52" s="407"/>
      <c r="E52" s="407"/>
      <c r="F52" s="407"/>
      <c r="G52" s="407"/>
      <c r="H52" s="407"/>
      <c r="I52" s="407"/>
      <c r="J52" s="407"/>
      <c r="K52" s="407"/>
      <c r="L52" s="46"/>
      <c r="N52" s="71"/>
      <c r="O52" s="72" t="s">
        <v>59</v>
      </c>
      <c r="P52" s="72"/>
      <c r="Q52" s="72"/>
      <c r="R52" s="72" t="str">
        <f t="shared" si="6"/>
        <v/>
      </c>
      <c r="S52" s="63"/>
      <c r="T52" s="72" t="s">
        <v>59</v>
      </c>
      <c r="U52" s="105">
        <f>Y51</f>
        <v>0</v>
      </c>
      <c r="V52" s="74"/>
      <c r="W52" s="105">
        <f t="shared" si="8"/>
        <v>0</v>
      </c>
      <c r="X52" s="74"/>
      <c r="Y52" s="105">
        <f t="shared" si="7"/>
        <v>0</v>
      </c>
      <c r="Z52" s="76"/>
    </row>
    <row r="53" spans="1:27" s="29" customFormat="1" ht="21" customHeight="1" thickBot="1" x14ac:dyDescent="0.25">
      <c r="A53" s="59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1"/>
      <c r="N53" s="77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9"/>
    </row>
    <row r="54" spans="1:27" s="29" customFormat="1" ht="21" customHeight="1" x14ac:dyDescent="0.2">
      <c r="A54" s="96"/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N54" s="71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85"/>
    </row>
    <row r="55" spans="1:27" s="29" customFormat="1" ht="21" customHeight="1" thickBot="1" x14ac:dyDescent="0.25">
      <c r="N55" s="71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85"/>
    </row>
    <row r="56" spans="1:27" s="29" customFormat="1" ht="21" customHeight="1" x14ac:dyDescent="0.2">
      <c r="A56" s="443" t="s">
        <v>41</v>
      </c>
      <c r="B56" s="444"/>
      <c r="C56" s="444"/>
      <c r="D56" s="444"/>
      <c r="E56" s="444"/>
      <c r="F56" s="444"/>
      <c r="G56" s="444"/>
      <c r="H56" s="444"/>
      <c r="I56" s="444"/>
      <c r="J56" s="444"/>
      <c r="K56" s="444"/>
      <c r="L56" s="445"/>
      <c r="M56" s="28"/>
      <c r="N56" s="64"/>
      <c r="O56" s="408" t="s">
        <v>43</v>
      </c>
      <c r="P56" s="409"/>
      <c r="Q56" s="409"/>
      <c r="R56" s="410"/>
      <c r="S56" s="65"/>
      <c r="T56" s="408" t="s">
        <v>44</v>
      </c>
      <c r="U56" s="409"/>
      <c r="V56" s="409"/>
      <c r="W56" s="409"/>
      <c r="X56" s="409"/>
      <c r="Y56" s="410"/>
      <c r="Z56" s="66"/>
      <c r="AA56" s="28"/>
    </row>
    <row r="57" spans="1:27" s="29" customFormat="1" ht="21" customHeight="1" x14ac:dyDescent="0.2">
      <c r="A57" s="30"/>
      <c r="C57" s="398" t="s">
        <v>85</v>
      </c>
      <c r="D57" s="398"/>
      <c r="E57" s="398"/>
      <c r="F57" s="398"/>
      <c r="G57" s="31" t="str">
        <f>$J$1</f>
        <v>April</v>
      </c>
      <c r="H57" s="397">
        <f>$K$1</f>
        <v>2023</v>
      </c>
      <c r="I57" s="397"/>
      <c r="K57" s="32"/>
      <c r="L57" s="33"/>
      <c r="M57" s="32"/>
      <c r="N57" s="67"/>
      <c r="O57" s="68" t="s">
        <v>54</v>
      </c>
      <c r="P57" s="68" t="s">
        <v>7</v>
      </c>
      <c r="Q57" s="68" t="s">
        <v>6</v>
      </c>
      <c r="R57" s="68" t="s">
        <v>55</v>
      </c>
      <c r="S57" s="69"/>
      <c r="T57" s="68" t="s">
        <v>54</v>
      </c>
      <c r="U57" s="68" t="s">
        <v>56</v>
      </c>
      <c r="V57" s="68" t="s">
        <v>21</v>
      </c>
      <c r="W57" s="68" t="s">
        <v>20</v>
      </c>
      <c r="X57" s="68" t="s">
        <v>22</v>
      </c>
      <c r="Y57" s="68" t="s">
        <v>60</v>
      </c>
      <c r="Z57" s="70"/>
      <c r="AA57" s="32"/>
    </row>
    <row r="58" spans="1:27" s="29" customFormat="1" ht="21" customHeight="1" x14ac:dyDescent="0.2">
      <c r="A58" s="30"/>
      <c r="D58" s="35"/>
      <c r="E58" s="35"/>
      <c r="F58" s="35"/>
      <c r="G58" s="35"/>
      <c r="H58" s="35"/>
      <c r="J58" s="36" t="s">
        <v>1</v>
      </c>
      <c r="K58" s="37">
        <f>40000+5000</f>
        <v>45000</v>
      </c>
      <c r="L58" s="38"/>
      <c r="N58" s="71"/>
      <c r="O58" s="72" t="s">
        <v>46</v>
      </c>
      <c r="P58" s="72">
        <v>30</v>
      </c>
      <c r="Q58" s="72">
        <v>1</v>
      </c>
      <c r="R58" s="72">
        <f>15-Q58</f>
        <v>14</v>
      </c>
      <c r="S58" s="73"/>
      <c r="T58" s="72" t="s">
        <v>46</v>
      </c>
      <c r="U58" s="74">
        <v>10000</v>
      </c>
      <c r="V58" s="74"/>
      <c r="W58" s="74">
        <f>V58+U58</f>
        <v>10000</v>
      </c>
      <c r="X58" s="74">
        <v>2000</v>
      </c>
      <c r="Y58" s="74">
        <f>W58-X58</f>
        <v>8000</v>
      </c>
      <c r="Z58" s="70"/>
    </row>
    <row r="59" spans="1:27" s="29" customFormat="1" ht="21" customHeight="1" x14ac:dyDescent="0.2">
      <c r="A59" s="30"/>
      <c r="B59" s="29" t="s">
        <v>0</v>
      </c>
      <c r="C59" s="40" t="s">
        <v>81</v>
      </c>
      <c r="H59" s="41"/>
      <c r="I59" s="35"/>
      <c r="L59" s="42"/>
      <c r="M59" s="28"/>
      <c r="N59" s="75"/>
      <c r="O59" s="72" t="s">
        <v>72</v>
      </c>
      <c r="P59" s="72">
        <v>27</v>
      </c>
      <c r="Q59" s="72">
        <v>1</v>
      </c>
      <c r="R59" s="72">
        <f t="shared" ref="R59:R68" si="10">IF(Q59="","",R58-Q59)</f>
        <v>13</v>
      </c>
      <c r="S59" s="63"/>
      <c r="T59" s="72" t="s">
        <v>72</v>
      </c>
      <c r="U59" s="105">
        <f>Y58</f>
        <v>8000</v>
      </c>
      <c r="V59" s="74">
        <v>5000</v>
      </c>
      <c r="W59" s="105">
        <f>IF(U59="","",U59+V59)</f>
        <v>13000</v>
      </c>
      <c r="X59" s="74">
        <v>7000</v>
      </c>
      <c r="Y59" s="105">
        <f>IF(W59="","",W59-X59)</f>
        <v>6000</v>
      </c>
      <c r="Z59" s="76"/>
      <c r="AA59" s="28"/>
    </row>
    <row r="60" spans="1:27" s="29" customFormat="1" ht="21" customHeight="1" x14ac:dyDescent="0.2">
      <c r="A60" s="30"/>
      <c r="B60" s="44" t="s">
        <v>42</v>
      </c>
      <c r="C60" s="45"/>
      <c r="F60" s="414" t="s">
        <v>44</v>
      </c>
      <c r="G60" s="414"/>
      <c r="I60" s="414" t="s">
        <v>45</v>
      </c>
      <c r="J60" s="414"/>
      <c r="K60" s="414"/>
      <c r="L60" s="46"/>
      <c r="N60" s="71"/>
      <c r="O60" s="72" t="s">
        <v>47</v>
      </c>
      <c r="P60" s="72">
        <v>30</v>
      </c>
      <c r="Q60" s="72">
        <v>1</v>
      </c>
      <c r="R60" s="72">
        <f t="shared" si="10"/>
        <v>12</v>
      </c>
      <c r="S60" s="63"/>
      <c r="T60" s="72" t="s">
        <v>47</v>
      </c>
      <c r="U60" s="105">
        <f>Y59</f>
        <v>6000</v>
      </c>
      <c r="V60" s="74">
        <v>1000</v>
      </c>
      <c r="W60" s="105">
        <f t="shared" ref="W60:W69" si="11">IF(U60="","",U60+V60)</f>
        <v>7000</v>
      </c>
      <c r="X60" s="74">
        <v>7000</v>
      </c>
      <c r="Y60" s="105">
        <f t="shared" ref="Y60:Y69" si="12">IF(W60="","",W60-X60)</f>
        <v>0</v>
      </c>
      <c r="Z60" s="76"/>
    </row>
    <row r="61" spans="1:27" s="29" customFormat="1" ht="21" customHeight="1" x14ac:dyDescent="0.2">
      <c r="A61" s="30"/>
      <c r="H61" s="47"/>
      <c r="L61" s="34"/>
      <c r="N61" s="71"/>
      <c r="O61" s="72" t="s">
        <v>48</v>
      </c>
      <c r="P61" s="72">
        <v>25</v>
      </c>
      <c r="Q61" s="72">
        <v>5</v>
      </c>
      <c r="R61" s="72">
        <f t="shared" si="10"/>
        <v>7</v>
      </c>
      <c r="S61" s="63"/>
      <c r="T61" s="72" t="s">
        <v>48</v>
      </c>
      <c r="U61" s="105">
        <f>Y60</f>
        <v>0</v>
      </c>
      <c r="V61" s="74"/>
      <c r="W61" s="105">
        <f t="shared" si="11"/>
        <v>0</v>
      </c>
      <c r="X61" s="74"/>
      <c r="Y61" s="105">
        <f t="shared" si="12"/>
        <v>0</v>
      </c>
      <c r="Z61" s="76"/>
    </row>
    <row r="62" spans="1:27" s="29" customFormat="1" ht="21" customHeight="1" x14ac:dyDescent="0.2">
      <c r="A62" s="30"/>
      <c r="B62" s="392" t="s">
        <v>43</v>
      </c>
      <c r="C62" s="393"/>
      <c r="F62" s="48" t="s">
        <v>65</v>
      </c>
      <c r="G62" s="43">
        <f>IF($J$1="January",U58,IF($J$1="February",U59,IF($J$1="March",U60,IF($J$1="April",U61,IF($J$1="May",U62,IF($J$1="June",U63,IF($J$1="July",U64,IF($J$1="August",U65,IF($J$1="August",U65,IF($J$1="September",U66,IF($J$1="October",U67,IF($J$1="November",U68,IF($J$1="December",U69)))))))))))))</f>
        <v>0</v>
      </c>
      <c r="H62" s="47"/>
      <c r="I62" s="49">
        <f>IF(C66&gt;0,$K$2,C64)</f>
        <v>30</v>
      </c>
      <c r="J62" s="50" t="s">
        <v>62</v>
      </c>
      <c r="K62" s="51">
        <f>K58/$K$2*I62</f>
        <v>45000</v>
      </c>
      <c r="L62" s="52"/>
      <c r="N62" s="71"/>
      <c r="O62" s="72" t="s">
        <v>49</v>
      </c>
      <c r="P62" s="72"/>
      <c r="Q62" s="72"/>
      <c r="R62" s="72" t="str">
        <f t="shared" si="10"/>
        <v/>
      </c>
      <c r="S62" s="63"/>
      <c r="T62" s="72" t="s">
        <v>49</v>
      </c>
      <c r="U62" s="105">
        <v>0</v>
      </c>
      <c r="V62" s="74"/>
      <c r="W62" s="105"/>
      <c r="X62" s="74"/>
      <c r="Y62" s="105" t="str">
        <f t="shared" si="12"/>
        <v/>
      </c>
      <c r="Z62" s="76"/>
    </row>
    <row r="63" spans="1:27" s="29" customFormat="1" ht="21" customHeight="1" x14ac:dyDescent="0.2">
      <c r="A63" s="30"/>
      <c r="B63" s="39"/>
      <c r="C63" s="39"/>
      <c r="F63" s="48" t="s">
        <v>21</v>
      </c>
      <c r="G63" s="43">
        <f>IF($J$1="January",V58,IF($J$1="February",V59,IF($J$1="March",V60,IF($J$1="April",V61,IF($J$1="May",V62,IF($J$1="June",V63,IF($J$1="July",V64,IF($J$1="August",V65,IF($J$1="August",V65,IF($J$1="September",V66,IF($J$1="October",V67,IF($J$1="November",V68,IF($J$1="December",V69)))))))))))))</f>
        <v>0</v>
      </c>
      <c r="H63" s="47"/>
      <c r="I63" s="116"/>
      <c r="J63" s="50" t="s">
        <v>63</v>
      </c>
      <c r="K63" s="53">
        <f>K58/$K$2/8*I63</f>
        <v>0</v>
      </c>
      <c r="L63" s="54"/>
      <c r="N63" s="71"/>
      <c r="O63" s="72" t="s">
        <v>50</v>
      </c>
      <c r="P63" s="72"/>
      <c r="Q63" s="72"/>
      <c r="R63" s="72" t="str">
        <f t="shared" si="10"/>
        <v/>
      </c>
      <c r="S63" s="63"/>
      <c r="T63" s="72" t="s">
        <v>50</v>
      </c>
      <c r="U63" s="105"/>
      <c r="V63" s="74"/>
      <c r="W63" s="105" t="str">
        <f t="shared" si="11"/>
        <v/>
      </c>
      <c r="X63" s="74"/>
      <c r="Y63" s="105" t="str">
        <f t="shared" si="12"/>
        <v/>
      </c>
      <c r="Z63" s="76"/>
    </row>
    <row r="64" spans="1:27" s="29" customFormat="1" ht="21" customHeight="1" x14ac:dyDescent="0.2">
      <c r="A64" s="30"/>
      <c r="B64" s="48" t="s">
        <v>7</v>
      </c>
      <c r="C64" s="39">
        <f>IF($J$1="January",P58,IF($J$1="February",P59,IF($J$1="March",P60,IF($J$1="April",P61,IF($J$1="May",P62,IF($J$1="June",P63,IF($J$1="July",P64,IF($J$1="August",P65,IF($J$1="August",P65,IF($J$1="September",P66,IF($J$1="October",P67,IF($J$1="November",P68,IF($J$1="December",P69)))))))))))))</f>
        <v>25</v>
      </c>
      <c r="F64" s="48" t="s">
        <v>66</v>
      </c>
      <c r="G64" s="43">
        <f>IF($J$1="January",W58,IF($J$1="February",W59,IF($J$1="March",W60,IF($J$1="April",W61,IF($J$1="May",W62,IF($J$1="June",W63,IF($J$1="July",W64,IF($J$1="August",W65,IF($J$1="August",W65,IF($J$1="September",W66,IF($J$1="October",W67,IF($J$1="November",W68,IF($J$1="December",W69)))))))))))))</f>
        <v>0</v>
      </c>
      <c r="H64" s="47"/>
      <c r="I64" s="405" t="s">
        <v>70</v>
      </c>
      <c r="J64" s="406"/>
      <c r="K64" s="53">
        <f>K62+K63</f>
        <v>45000</v>
      </c>
      <c r="L64" s="54"/>
      <c r="N64" s="71"/>
      <c r="O64" s="72" t="s">
        <v>51</v>
      </c>
      <c r="P64" s="72"/>
      <c r="Q64" s="72"/>
      <c r="R64" s="72" t="str">
        <f t="shared" si="10"/>
        <v/>
      </c>
      <c r="S64" s="63"/>
      <c r="T64" s="72" t="s">
        <v>51</v>
      </c>
      <c r="U64" s="105"/>
      <c r="V64" s="74"/>
      <c r="W64" s="105" t="str">
        <f t="shared" si="11"/>
        <v/>
      </c>
      <c r="X64" s="74"/>
      <c r="Y64" s="105" t="str">
        <f t="shared" si="12"/>
        <v/>
      </c>
      <c r="Z64" s="76"/>
    </row>
    <row r="65" spans="1:26" s="29" customFormat="1" ht="21" customHeight="1" x14ac:dyDescent="0.2">
      <c r="A65" s="30"/>
      <c r="B65" s="48" t="s">
        <v>6</v>
      </c>
      <c r="C65" s="39">
        <f>IF($J$1="January",Q58,IF($J$1="February",Q59,IF($J$1="March",Q60,IF($J$1="April",Q61,IF($J$1="May",Q62,IF($J$1="June",Q63,IF($J$1="July",Q64,IF($J$1="August",Q65,IF($J$1="August",Q65,IF($J$1="September",Q66,IF($J$1="October",Q67,IF($J$1="November",Q68,IF($J$1="December",Q69)))))))))))))</f>
        <v>5</v>
      </c>
      <c r="F65" s="48" t="s">
        <v>22</v>
      </c>
      <c r="G65" s="43">
        <f>IF($J$1="January",X58,IF($J$1="February",X59,IF($J$1="March",X60,IF($J$1="April",X61,IF($J$1="May",X62,IF($J$1="June",X63,IF($J$1="July",X64,IF($J$1="August",X65,IF($J$1="August",X65,IF($J$1="September",X66,IF($J$1="October",X67,IF($J$1="November",X68,IF($J$1="December",X69)))))))))))))</f>
        <v>0</v>
      </c>
      <c r="H65" s="47"/>
      <c r="I65" s="405" t="s">
        <v>71</v>
      </c>
      <c r="J65" s="406"/>
      <c r="K65" s="43">
        <f>G65</f>
        <v>0</v>
      </c>
      <c r="L65" s="55"/>
      <c r="N65" s="71"/>
      <c r="O65" s="72" t="s">
        <v>52</v>
      </c>
      <c r="P65" s="72"/>
      <c r="Q65" s="72"/>
      <c r="R65" s="72" t="str">
        <f t="shared" si="10"/>
        <v/>
      </c>
      <c r="S65" s="63"/>
      <c r="T65" s="72" t="s">
        <v>52</v>
      </c>
      <c r="U65" s="105"/>
      <c r="V65" s="74"/>
      <c r="W65" s="105" t="str">
        <f t="shared" si="11"/>
        <v/>
      </c>
      <c r="X65" s="74"/>
      <c r="Y65" s="105" t="str">
        <f t="shared" si="12"/>
        <v/>
      </c>
      <c r="Z65" s="76"/>
    </row>
    <row r="66" spans="1:26" s="29" customFormat="1" ht="21" customHeight="1" x14ac:dyDescent="0.2">
      <c r="A66" s="30"/>
      <c r="B66" s="56" t="s">
        <v>69</v>
      </c>
      <c r="C66" s="39">
        <f>IF($J$1="January",R58,IF($J$1="February",R59,IF($J$1="March",R60,IF($J$1="April",R61,IF($J$1="May",R62,IF($J$1="June",R63,IF($J$1="July",R64,IF($J$1="August",R65,IF($J$1="August",R65,IF($J$1="September",R66,IF($J$1="October",R67,IF($J$1="November",R68,IF($J$1="December",R69)))))))))))))</f>
        <v>7</v>
      </c>
      <c r="F66" s="48" t="s">
        <v>68</v>
      </c>
      <c r="G66" s="43">
        <f>IF($J$1="January",Y58,IF($J$1="February",Y59,IF($J$1="March",Y60,IF($J$1="April",Y61,IF($J$1="May",Y62,IF($J$1="June",Y63,IF($J$1="July",Y64,IF($J$1="August",Y65,IF($J$1="August",Y65,IF($J$1="September",Y66,IF($J$1="October",Y67,IF($J$1="November",Y68,IF($J$1="December",Y69)))))))))))))</f>
        <v>0</v>
      </c>
      <c r="I66" s="394" t="s">
        <v>64</v>
      </c>
      <c r="J66" s="396"/>
      <c r="K66" s="57">
        <f>K64-K65</f>
        <v>45000</v>
      </c>
      <c r="L66" s="58"/>
      <c r="N66" s="71"/>
      <c r="O66" s="72" t="s">
        <v>57</v>
      </c>
      <c r="P66" s="72"/>
      <c r="Q66" s="72"/>
      <c r="R66" s="72" t="str">
        <f t="shared" si="10"/>
        <v/>
      </c>
      <c r="S66" s="63"/>
      <c r="T66" s="72" t="s">
        <v>57</v>
      </c>
      <c r="U66" s="105"/>
      <c r="V66" s="74"/>
      <c r="W66" s="105" t="str">
        <f t="shared" si="11"/>
        <v/>
      </c>
      <c r="X66" s="74"/>
      <c r="Y66" s="105" t="str">
        <f t="shared" si="12"/>
        <v/>
      </c>
      <c r="Z66" s="76"/>
    </row>
    <row r="67" spans="1:26" s="29" customFormat="1" ht="21" customHeight="1" x14ac:dyDescent="0.2">
      <c r="A67" s="30"/>
      <c r="K67" s="107"/>
      <c r="L67" s="46"/>
      <c r="N67" s="71"/>
      <c r="O67" s="72" t="s">
        <v>53</v>
      </c>
      <c r="P67" s="72"/>
      <c r="Q67" s="72"/>
      <c r="R67" s="72" t="str">
        <f t="shared" si="10"/>
        <v/>
      </c>
      <c r="S67" s="63"/>
      <c r="T67" s="72" t="s">
        <v>53</v>
      </c>
      <c r="U67" s="105"/>
      <c r="V67" s="74"/>
      <c r="W67" s="105" t="str">
        <f t="shared" si="11"/>
        <v/>
      </c>
      <c r="X67" s="74"/>
      <c r="Y67" s="105" t="str">
        <f t="shared" si="12"/>
        <v/>
      </c>
      <c r="Z67" s="76"/>
    </row>
    <row r="68" spans="1:26" s="29" customFormat="1" ht="21" customHeight="1" x14ac:dyDescent="0.2">
      <c r="A68" s="30"/>
      <c r="B68" s="407" t="s">
        <v>87</v>
      </c>
      <c r="C68" s="407"/>
      <c r="D68" s="407"/>
      <c r="E68" s="407"/>
      <c r="F68" s="407"/>
      <c r="G68" s="407"/>
      <c r="H68" s="407"/>
      <c r="I68" s="407"/>
      <c r="J68" s="407"/>
      <c r="K68" s="407"/>
      <c r="L68" s="46"/>
      <c r="N68" s="71"/>
      <c r="O68" s="72" t="s">
        <v>58</v>
      </c>
      <c r="P68" s="72"/>
      <c r="Q68" s="72"/>
      <c r="R68" s="72" t="str">
        <f t="shared" si="10"/>
        <v/>
      </c>
      <c r="S68" s="63"/>
      <c r="T68" s="72" t="s">
        <v>58</v>
      </c>
      <c r="U68" s="105"/>
      <c r="V68" s="74"/>
      <c r="W68" s="105" t="str">
        <f t="shared" si="11"/>
        <v/>
      </c>
      <c r="X68" s="74"/>
      <c r="Y68" s="105" t="str">
        <f t="shared" si="12"/>
        <v/>
      </c>
      <c r="Z68" s="76"/>
    </row>
    <row r="69" spans="1:26" s="29" customFormat="1" ht="21" customHeight="1" x14ac:dyDescent="0.2">
      <c r="A69" s="30"/>
      <c r="B69" s="407"/>
      <c r="C69" s="407"/>
      <c r="D69" s="407"/>
      <c r="E69" s="407"/>
      <c r="F69" s="407"/>
      <c r="G69" s="407"/>
      <c r="H69" s="407"/>
      <c r="I69" s="407"/>
      <c r="J69" s="407"/>
      <c r="K69" s="407"/>
      <c r="L69" s="46"/>
      <c r="N69" s="71"/>
      <c r="O69" s="72" t="s">
        <v>59</v>
      </c>
      <c r="P69" s="72"/>
      <c r="Q69" s="72"/>
      <c r="R69" s="72" t="str">
        <f t="shared" ref="R69" si="13">IF(Q69="","",R68-Q69)</f>
        <v/>
      </c>
      <c r="S69" s="63"/>
      <c r="T69" s="72" t="s">
        <v>59</v>
      </c>
      <c r="U69" s="105"/>
      <c r="V69" s="74"/>
      <c r="W69" s="105" t="str">
        <f t="shared" si="11"/>
        <v/>
      </c>
      <c r="X69" s="74"/>
      <c r="Y69" s="105" t="str">
        <f t="shared" si="12"/>
        <v/>
      </c>
      <c r="Z69" s="76"/>
    </row>
    <row r="70" spans="1:26" s="29" customFormat="1" ht="21" customHeight="1" thickBot="1" x14ac:dyDescent="0.25">
      <c r="A70" s="59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1"/>
      <c r="N70" s="77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9"/>
    </row>
    <row r="71" spans="1:26" ht="15.75" thickBot="1" x14ac:dyDescent="0.3"/>
    <row r="72" spans="1:26" s="29" customFormat="1" ht="21" customHeight="1" x14ac:dyDescent="0.2">
      <c r="A72" s="411" t="s">
        <v>41</v>
      </c>
      <c r="B72" s="412"/>
      <c r="C72" s="412"/>
      <c r="D72" s="412"/>
      <c r="E72" s="412"/>
      <c r="F72" s="412"/>
      <c r="G72" s="412"/>
      <c r="H72" s="412"/>
      <c r="I72" s="412"/>
      <c r="J72" s="412"/>
      <c r="K72" s="412"/>
      <c r="L72" s="413"/>
      <c r="M72" s="28"/>
      <c r="N72" s="64"/>
      <c r="O72" s="408" t="s">
        <v>43</v>
      </c>
      <c r="P72" s="409"/>
      <c r="Q72" s="409"/>
      <c r="R72" s="410"/>
      <c r="S72" s="65"/>
      <c r="T72" s="408" t="s">
        <v>44</v>
      </c>
      <c r="U72" s="409"/>
      <c r="V72" s="409"/>
      <c r="W72" s="409"/>
      <c r="X72" s="409"/>
      <c r="Y72" s="410"/>
      <c r="Z72" s="66"/>
    </row>
    <row r="73" spans="1:26" s="29" customFormat="1" ht="21" customHeight="1" x14ac:dyDescent="0.2">
      <c r="A73" s="30"/>
      <c r="C73" s="398" t="s">
        <v>85</v>
      </c>
      <c r="D73" s="398"/>
      <c r="E73" s="398"/>
      <c r="F73" s="398"/>
      <c r="G73" s="31" t="str">
        <f>$J$1</f>
        <v>April</v>
      </c>
      <c r="H73" s="397">
        <f>$K$1</f>
        <v>2023</v>
      </c>
      <c r="I73" s="397"/>
      <c r="K73" s="32"/>
      <c r="L73" s="33"/>
      <c r="M73" s="32"/>
      <c r="N73" s="67"/>
      <c r="O73" s="68" t="s">
        <v>54</v>
      </c>
      <c r="P73" s="68" t="s">
        <v>7</v>
      </c>
      <c r="Q73" s="68" t="s">
        <v>6</v>
      </c>
      <c r="R73" s="68" t="s">
        <v>55</v>
      </c>
      <c r="S73" s="69"/>
      <c r="T73" s="68" t="s">
        <v>54</v>
      </c>
      <c r="U73" s="68" t="s">
        <v>56</v>
      </c>
      <c r="V73" s="68" t="s">
        <v>21</v>
      </c>
      <c r="W73" s="68" t="s">
        <v>20</v>
      </c>
      <c r="X73" s="68" t="s">
        <v>22</v>
      </c>
      <c r="Y73" s="68" t="s">
        <v>60</v>
      </c>
      <c r="Z73" s="70"/>
    </row>
    <row r="74" spans="1:26" s="29" customFormat="1" ht="21" customHeight="1" x14ac:dyDescent="0.2">
      <c r="A74" s="30"/>
      <c r="D74" s="35"/>
      <c r="E74" s="35"/>
      <c r="F74" s="35"/>
      <c r="G74" s="35"/>
      <c r="H74" s="35"/>
      <c r="J74" s="36" t="s">
        <v>1</v>
      </c>
      <c r="K74" s="37">
        <f>50000+15000</f>
        <v>65000</v>
      </c>
      <c r="L74" s="38"/>
      <c r="N74" s="71"/>
      <c r="O74" s="72" t="s">
        <v>46</v>
      </c>
      <c r="P74" s="72"/>
      <c r="Q74" s="72"/>
      <c r="R74" s="72">
        <v>0</v>
      </c>
      <c r="S74" s="73"/>
      <c r="T74" s="72" t="s">
        <v>46</v>
      </c>
      <c r="U74" s="74"/>
      <c r="V74" s="74"/>
      <c r="W74" s="74">
        <f>V74+U74</f>
        <v>0</v>
      </c>
      <c r="X74" s="74"/>
      <c r="Y74" s="74">
        <f>W74-X74</f>
        <v>0</v>
      </c>
      <c r="Z74" s="70"/>
    </row>
    <row r="75" spans="1:26" s="29" customFormat="1" ht="21" customHeight="1" x14ac:dyDescent="0.2">
      <c r="A75" s="30"/>
      <c r="B75" s="29" t="s">
        <v>0</v>
      </c>
      <c r="C75" s="40" t="s">
        <v>210</v>
      </c>
      <c r="H75" s="41"/>
      <c r="I75" s="35"/>
      <c r="L75" s="42"/>
      <c r="M75" s="28"/>
      <c r="N75" s="75"/>
      <c r="O75" s="72" t="s">
        <v>72</v>
      </c>
      <c r="P75" s="72"/>
      <c r="Q75" s="72"/>
      <c r="R75" s="72">
        <v>0</v>
      </c>
      <c r="S75" s="63"/>
      <c r="T75" s="72" t="s">
        <v>72</v>
      </c>
      <c r="U75" s="105">
        <f>IF($J$1="January","",Y74)</f>
        <v>0</v>
      </c>
      <c r="V75" s="74"/>
      <c r="W75" s="105">
        <f>IF(U75="","",U75+V75)</f>
        <v>0</v>
      </c>
      <c r="X75" s="74"/>
      <c r="Y75" s="105">
        <f>IF(W75="","",W75-X75)</f>
        <v>0</v>
      </c>
      <c r="Z75" s="76"/>
    </row>
    <row r="76" spans="1:26" s="29" customFormat="1" ht="21" customHeight="1" x14ac:dyDescent="0.2">
      <c r="A76" s="30"/>
      <c r="B76" s="453"/>
      <c r="C76" s="453"/>
      <c r="D76" s="453"/>
      <c r="F76" s="414" t="s">
        <v>44</v>
      </c>
      <c r="G76" s="414"/>
      <c r="I76" s="414" t="s">
        <v>45</v>
      </c>
      <c r="J76" s="414"/>
      <c r="K76" s="414"/>
      <c r="L76" s="46"/>
      <c r="N76" s="71"/>
      <c r="O76" s="72" t="s">
        <v>47</v>
      </c>
      <c r="P76" s="72">
        <f>31-8</f>
        <v>23</v>
      </c>
      <c r="Q76" s="72">
        <v>8</v>
      </c>
      <c r="R76" s="72">
        <v>0</v>
      </c>
      <c r="S76" s="63"/>
      <c r="T76" s="72" t="s">
        <v>47</v>
      </c>
      <c r="U76" s="105">
        <f>IF($J$1="February","",Y75)</f>
        <v>0</v>
      </c>
      <c r="V76" s="74">
        <v>20000</v>
      </c>
      <c r="W76" s="105">
        <f t="shared" ref="W76:W85" si="14">IF(U76="","",U76+V76)</f>
        <v>20000</v>
      </c>
      <c r="X76" s="74"/>
      <c r="Y76" s="105">
        <f t="shared" ref="Y76:Y85" si="15">IF(W76="","",W76-X76)</f>
        <v>20000</v>
      </c>
      <c r="Z76" s="76"/>
    </row>
    <row r="77" spans="1:26" s="29" customFormat="1" ht="21" customHeight="1" x14ac:dyDescent="0.2">
      <c r="A77" s="30"/>
      <c r="H77" s="47"/>
      <c r="L77" s="34"/>
      <c r="N77" s="71"/>
      <c r="O77" s="72" t="s">
        <v>48</v>
      </c>
      <c r="P77" s="72">
        <v>30</v>
      </c>
      <c r="Q77" s="72">
        <v>0</v>
      </c>
      <c r="R77" s="72">
        <v>0</v>
      </c>
      <c r="S77" s="63"/>
      <c r="T77" s="72" t="s">
        <v>48</v>
      </c>
      <c r="U77" s="105">
        <f>IF($J$1="March","",Y76)</f>
        <v>20000</v>
      </c>
      <c r="V77" s="74"/>
      <c r="W77" s="105">
        <f t="shared" si="14"/>
        <v>20000</v>
      </c>
      <c r="X77" s="74"/>
      <c r="Y77" s="105">
        <f t="shared" si="15"/>
        <v>20000</v>
      </c>
      <c r="Z77" s="76"/>
    </row>
    <row r="78" spans="1:26" s="29" customFormat="1" ht="21" customHeight="1" x14ac:dyDescent="0.2">
      <c r="A78" s="30"/>
      <c r="B78" s="392" t="s">
        <v>43</v>
      </c>
      <c r="C78" s="393"/>
      <c r="F78" s="48" t="s">
        <v>65</v>
      </c>
      <c r="G78" s="43">
        <f>IF($J$1="January",U74,IF($J$1="February",U75,IF($J$1="March",U76,IF($J$1="April",U77,IF($J$1="May",U78,IF($J$1="June",U79,IF($J$1="July",U80,IF($J$1="August",U81,IF($J$1="August",U81,IF($J$1="September",U82,IF($J$1="October",U83,IF($J$1="November",U84,IF($J$1="December",U85)))))))))))))</f>
        <v>20000</v>
      </c>
      <c r="H78" s="47"/>
      <c r="I78" s="49">
        <f>IF(C82&gt;0,$K$2,C80)</f>
        <v>30</v>
      </c>
      <c r="J78" s="50" t="s">
        <v>62</v>
      </c>
      <c r="K78" s="51">
        <f>K74/$K$2*I78</f>
        <v>64999.999999999993</v>
      </c>
      <c r="L78" s="52"/>
      <c r="N78" s="71"/>
      <c r="O78" s="72" t="s">
        <v>49</v>
      </c>
      <c r="P78" s="72"/>
      <c r="Q78" s="72"/>
      <c r="R78" s="72">
        <v>0</v>
      </c>
      <c r="S78" s="63"/>
      <c r="T78" s="72" t="s">
        <v>49</v>
      </c>
      <c r="U78" s="105" t="str">
        <f>IF($J$1="April","",Y77)</f>
        <v/>
      </c>
      <c r="V78" s="74"/>
      <c r="W78" s="105" t="str">
        <f t="shared" si="14"/>
        <v/>
      </c>
      <c r="X78" s="74"/>
      <c r="Y78" s="105" t="str">
        <f t="shared" si="15"/>
        <v/>
      </c>
      <c r="Z78" s="76"/>
    </row>
    <row r="79" spans="1:26" s="29" customFormat="1" ht="21" customHeight="1" x14ac:dyDescent="0.2">
      <c r="A79" s="30"/>
      <c r="B79" s="39"/>
      <c r="C79" s="39"/>
      <c r="F79" s="48" t="s">
        <v>21</v>
      </c>
      <c r="G79" s="43">
        <f>IF($J$1="January",V74,IF($J$1="February",V75,IF($J$1="March",V76,IF($J$1="April",V77,IF($J$1="May",V78,IF($J$1="June",V79,IF($J$1="July",V80,IF($J$1="August",V81,IF($J$1="August",V81,IF($J$1="September",V82,IF($J$1="October",V83,IF($J$1="November",V84,IF($J$1="December",V85)))))))))))))</f>
        <v>0</v>
      </c>
      <c r="H79" s="47"/>
      <c r="I79" s="84"/>
      <c r="J79" s="50" t="s">
        <v>63</v>
      </c>
      <c r="K79" s="53">
        <f>K74/$K$2/8*I79</f>
        <v>0</v>
      </c>
      <c r="L79" s="54"/>
      <c r="N79" s="71"/>
      <c r="O79" s="72" t="s">
        <v>50</v>
      </c>
      <c r="P79" s="72"/>
      <c r="Q79" s="72"/>
      <c r="R79" s="72" t="str">
        <f t="shared" ref="R79" si="16">IF(Q79="","",R78-Q79)</f>
        <v/>
      </c>
      <c r="S79" s="63"/>
      <c r="T79" s="72" t="s">
        <v>50</v>
      </c>
      <c r="U79" s="105" t="str">
        <f>IF($J$1="May","",Y78)</f>
        <v/>
      </c>
      <c r="V79" s="74"/>
      <c r="W79" s="105" t="str">
        <f t="shared" si="14"/>
        <v/>
      </c>
      <c r="X79" s="74"/>
      <c r="Y79" s="105" t="str">
        <f t="shared" si="15"/>
        <v/>
      </c>
      <c r="Z79" s="76"/>
    </row>
    <row r="80" spans="1:26" s="29" customFormat="1" ht="21" customHeight="1" x14ac:dyDescent="0.2">
      <c r="A80" s="30"/>
      <c r="B80" s="48" t="s">
        <v>7</v>
      </c>
      <c r="C80" s="39">
        <f>IF($J$1="January",P74,IF($J$1="February",P75,IF($J$1="March",P76,IF($J$1="April",P77,IF($J$1="May",P78,IF($J$1="June",P79,IF($J$1="July",P80,IF($J$1="August",P81,IF($J$1="August",P81,IF($J$1="September",P82,IF($J$1="October",P83,IF($J$1="November",P84,IF($J$1="December",P85)))))))))))))</f>
        <v>30</v>
      </c>
      <c r="F80" s="48" t="s">
        <v>66</v>
      </c>
      <c r="G80" s="43">
        <f>IF($J$1="January",W74,IF($J$1="February",W75,IF($J$1="March",W76,IF($J$1="April",W77,IF($J$1="May",W78,IF($J$1="June",W79,IF($J$1="July",W80,IF($J$1="August",W81,IF($J$1="August",W81,IF($J$1="September",W82,IF($J$1="October",W83,IF($J$1="November",W84,IF($J$1="December",W85)))))))))))))</f>
        <v>20000</v>
      </c>
      <c r="H80" s="47"/>
      <c r="I80" s="405" t="s">
        <v>70</v>
      </c>
      <c r="J80" s="406"/>
      <c r="K80" s="53">
        <f>K78+K79</f>
        <v>64999.999999999993</v>
      </c>
      <c r="L80" s="54"/>
      <c r="N80" s="71"/>
      <c r="O80" s="72" t="s">
        <v>51</v>
      </c>
      <c r="P80" s="72"/>
      <c r="Q80" s="72"/>
      <c r="R80" s="72"/>
      <c r="S80" s="63"/>
      <c r="T80" s="72" t="s">
        <v>51</v>
      </c>
      <c r="U80" s="105" t="str">
        <f>IF($J$1="June","",Y79)</f>
        <v/>
      </c>
      <c r="V80" s="74"/>
      <c r="W80" s="105" t="str">
        <f t="shared" si="14"/>
        <v/>
      </c>
      <c r="X80" s="74"/>
      <c r="Y80" s="105" t="str">
        <f t="shared" si="15"/>
        <v/>
      </c>
      <c r="Z80" s="76"/>
    </row>
    <row r="81" spans="1:27" s="29" customFormat="1" ht="21" customHeight="1" x14ac:dyDescent="0.2">
      <c r="A81" s="30"/>
      <c r="B81" s="48" t="s">
        <v>6</v>
      </c>
      <c r="C81" s="39">
        <f>IF($J$1="January",Q74,IF($J$1="February",Q75,IF($J$1="March",Q76,IF($J$1="April",Q77,IF($J$1="May",Q78,IF($J$1="June",Q79,IF($J$1="July",Q80,IF($J$1="August",Q81,IF($J$1="August",Q81,IF($J$1="September",Q82,IF($J$1="October",Q83,IF($J$1="November",Q84,IF($J$1="December",Q85)))))))))))))</f>
        <v>0</v>
      </c>
      <c r="F81" s="48" t="s">
        <v>22</v>
      </c>
      <c r="G81" s="43">
        <f>IF($J$1="January",X74,IF($J$1="February",X75,IF($J$1="March",X76,IF($J$1="April",X77,IF($J$1="May",X78,IF($J$1="June",X79,IF($J$1="July",X80,IF($J$1="August",X81,IF($J$1="August",X81,IF($J$1="September",X82,IF($J$1="October",X83,IF($J$1="November",X84,IF($J$1="December",X85)))))))))))))</f>
        <v>0</v>
      </c>
      <c r="H81" s="47"/>
      <c r="I81" s="405" t="s">
        <v>71</v>
      </c>
      <c r="J81" s="406"/>
      <c r="K81" s="43">
        <f>G81</f>
        <v>0</v>
      </c>
      <c r="L81" s="55"/>
      <c r="N81" s="71"/>
      <c r="O81" s="72" t="s">
        <v>52</v>
      </c>
      <c r="P81" s="72"/>
      <c r="Q81" s="72"/>
      <c r="R81" s="72">
        <v>0</v>
      </c>
      <c r="S81" s="63"/>
      <c r="T81" s="72" t="s">
        <v>52</v>
      </c>
      <c r="U81" s="105" t="str">
        <f>IF($J$1="July","",Y80)</f>
        <v/>
      </c>
      <c r="V81" s="74"/>
      <c r="W81" s="105" t="str">
        <f t="shared" si="14"/>
        <v/>
      </c>
      <c r="X81" s="74"/>
      <c r="Y81" s="105" t="str">
        <f t="shared" si="15"/>
        <v/>
      </c>
      <c r="Z81" s="76"/>
    </row>
    <row r="82" spans="1:27" s="29" customFormat="1" ht="21" customHeight="1" x14ac:dyDescent="0.2">
      <c r="A82" s="30"/>
      <c r="B82" s="56" t="s">
        <v>69</v>
      </c>
      <c r="C82" s="39">
        <f>IF($J$1="January",R74,IF($J$1="February",R75,IF($J$1="March",R76,IF($J$1="April",R77,IF($J$1="May",R78,IF($J$1="June",R79,IF($J$1="July",R80,IF($J$1="August",R81,IF($J$1="August",R81,IF($J$1="September",R82,IF($J$1="October",R83,IF($J$1="November",R84,IF($J$1="December",R85)))))))))))))</f>
        <v>0</v>
      </c>
      <c r="F82" s="48" t="s">
        <v>68</v>
      </c>
      <c r="G82" s="43">
        <f>IF($J$1="January",Y74,IF($J$1="February",Y75,IF($J$1="March",Y76,IF($J$1="April",Y77,IF($J$1="May",Y78,IF($J$1="June",Y79,IF($J$1="July",Y80,IF($J$1="August",Y81,IF($J$1="August",Y81,IF($J$1="September",Y82,IF($J$1="October",Y83,IF($J$1="November",Y84,IF($J$1="December",Y85)))))))))))))</f>
        <v>20000</v>
      </c>
      <c r="I82" s="394" t="s">
        <v>64</v>
      </c>
      <c r="J82" s="396"/>
      <c r="K82" s="57">
        <f>K80-K81</f>
        <v>64999.999999999993</v>
      </c>
      <c r="L82" s="58"/>
      <c r="N82" s="71"/>
      <c r="O82" s="72" t="s">
        <v>57</v>
      </c>
      <c r="P82" s="72"/>
      <c r="Q82" s="72"/>
      <c r="R82" s="72">
        <v>0</v>
      </c>
      <c r="S82" s="63"/>
      <c r="T82" s="72" t="s">
        <v>57</v>
      </c>
      <c r="U82" s="105" t="str">
        <f>IF($J$1="August","",Y81)</f>
        <v/>
      </c>
      <c r="V82" s="74"/>
      <c r="W82" s="105" t="str">
        <f t="shared" si="14"/>
        <v/>
      </c>
      <c r="X82" s="74"/>
      <c r="Y82" s="105" t="str">
        <f t="shared" si="15"/>
        <v/>
      </c>
      <c r="Z82" s="76"/>
    </row>
    <row r="83" spans="1:27" s="29" customFormat="1" ht="21" customHeight="1" x14ac:dyDescent="0.2">
      <c r="A83" s="30"/>
      <c r="L83" s="46"/>
      <c r="N83" s="71"/>
      <c r="O83" s="72" t="s">
        <v>53</v>
      </c>
      <c r="P83" s="72"/>
      <c r="Q83" s="72"/>
      <c r="R83" s="72">
        <v>0</v>
      </c>
      <c r="S83" s="63"/>
      <c r="T83" s="72" t="s">
        <v>53</v>
      </c>
      <c r="U83" s="105" t="str">
        <f>IF($J$1="September","",Y82)</f>
        <v/>
      </c>
      <c r="V83" s="74"/>
      <c r="W83" s="105" t="str">
        <f t="shared" si="14"/>
        <v/>
      </c>
      <c r="X83" s="74"/>
      <c r="Y83" s="105" t="str">
        <f t="shared" si="15"/>
        <v/>
      </c>
      <c r="Z83" s="76"/>
    </row>
    <row r="84" spans="1:27" s="29" customFormat="1" ht="21" customHeight="1" x14ac:dyDescent="0.2">
      <c r="A84" s="30"/>
      <c r="B84" s="407" t="s">
        <v>87</v>
      </c>
      <c r="C84" s="407"/>
      <c r="D84" s="407"/>
      <c r="E84" s="407"/>
      <c r="F84" s="407"/>
      <c r="G84" s="407"/>
      <c r="H84" s="407"/>
      <c r="I84" s="407"/>
      <c r="J84" s="407"/>
      <c r="K84" s="407"/>
      <c r="L84" s="46"/>
      <c r="N84" s="71"/>
      <c r="O84" s="72" t="s">
        <v>58</v>
      </c>
      <c r="P84" s="72"/>
      <c r="Q84" s="72"/>
      <c r="R84" s="72">
        <v>0</v>
      </c>
      <c r="S84" s="63"/>
      <c r="T84" s="72" t="s">
        <v>58</v>
      </c>
      <c r="U84" s="105" t="str">
        <f>Y83</f>
        <v/>
      </c>
      <c r="V84" s="74"/>
      <c r="W84" s="105" t="str">
        <f t="shared" si="14"/>
        <v/>
      </c>
      <c r="X84" s="74"/>
      <c r="Y84" s="105" t="str">
        <f t="shared" si="15"/>
        <v/>
      </c>
      <c r="Z84" s="76"/>
    </row>
    <row r="85" spans="1:27" s="29" customFormat="1" ht="21" customHeight="1" x14ac:dyDescent="0.2">
      <c r="A85" s="30"/>
      <c r="B85" s="407"/>
      <c r="C85" s="407"/>
      <c r="D85" s="407"/>
      <c r="E85" s="407"/>
      <c r="F85" s="407"/>
      <c r="G85" s="407"/>
      <c r="H85" s="407"/>
      <c r="I85" s="407"/>
      <c r="J85" s="407"/>
      <c r="K85" s="407"/>
      <c r="L85" s="46"/>
      <c r="N85" s="71"/>
      <c r="O85" s="72" t="s">
        <v>59</v>
      </c>
      <c r="P85" s="72"/>
      <c r="Q85" s="72"/>
      <c r="R85" s="72">
        <v>0</v>
      </c>
      <c r="S85" s="63"/>
      <c r="T85" s="72" t="s">
        <v>59</v>
      </c>
      <c r="U85" s="105">
        <v>0</v>
      </c>
      <c r="V85" s="74"/>
      <c r="W85" s="105">
        <f t="shared" si="14"/>
        <v>0</v>
      </c>
      <c r="X85" s="74"/>
      <c r="Y85" s="105">
        <f t="shared" si="15"/>
        <v>0</v>
      </c>
      <c r="Z85" s="76"/>
    </row>
    <row r="86" spans="1:27" s="29" customFormat="1" ht="21" customHeight="1" thickBot="1" x14ac:dyDescent="0.25">
      <c r="A86" s="30"/>
      <c r="L86" s="46"/>
      <c r="N86" s="77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9"/>
    </row>
    <row r="87" spans="1:27" s="29" customFormat="1" ht="21" customHeight="1" x14ac:dyDescent="0.2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N87" s="71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85"/>
    </row>
    <row r="88" spans="1:27" s="29" customFormat="1" ht="21" customHeight="1" thickBot="1" x14ac:dyDescent="0.25">
      <c r="N88" s="71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85"/>
    </row>
    <row r="89" spans="1:27" s="29" customFormat="1" ht="21" customHeight="1" x14ac:dyDescent="0.2">
      <c r="A89" s="411" t="s">
        <v>41</v>
      </c>
      <c r="B89" s="412"/>
      <c r="C89" s="412"/>
      <c r="D89" s="412"/>
      <c r="E89" s="412"/>
      <c r="F89" s="412"/>
      <c r="G89" s="412"/>
      <c r="H89" s="412"/>
      <c r="I89" s="412"/>
      <c r="J89" s="412"/>
      <c r="K89" s="412"/>
      <c r="L89" s="413"/>
      <c r="M89" s="28"/>
      <c r="N89" s="64"/>
      <c r="O89" s="408" t="s">
        <v>43</v>
      </c>
      <c r="P89" s="409"/>
      <c r="Q89" s="409"/>
      <c r="R89" s="410"/>
      <c r="S89" s="65"/>
      <c r="T89" s="408" t="s">
        <v>44</v>
      </c>
      <c r="U89" s="409"/>
      <c r="V89" s="409"/>
      <c r="W89" s="409"/>
      <c r="X89" s="409"/>
      <c r="Y89" s="410"/>
      <c r="Z89" s="66"/>
      <c r="AA89" s="28"/>
    </row>
    <row r="90" spans="1:27" s="29" customFormat="1" ht="21" customHeight="1" x14ac:dyDescent="0.2">
      <c r="A90" s="30"/>
      <c r="C90" s="398" t="s">
        <v>85</v>
      </c>
      <c r="D90" s="398"/>
      <c r="E90" s="398"/>
      <c r="F90" s="398"/>
      <c r="G90" s="31" t="str">
        <f>$J$1</f>
        <v>April</v>
      </c>
      <c r="H90" s="397">
        <f>$K$1</f>
        <v>2023</v>
      </c>
      <c r="I90" s="397"/>
      <c r="K90" s="32"/>
      <c r="L90" s="33"/>
      <c r="M90" s="32"/>
      <c r="N90" s="67"/>
      <c r="O90" s="68" t="s">
        <v>54</v>
      </c>
      <c r="P90" s="68" t="s">
        <v>7</v>
      </c>
      <c r="Q90" s="68" t="s">
        <v>6</v>
      </c>
      <c r="R90" s="68" t="s">
        <v>55</v>
      </c>
      <c r="S90" s="69"/>
      <c r="T90" s="68" t="s">
        <v>54</v>
      </c>
      <c r="U90" s="68" t="s">
        <v>56</v>
      </c>
      <c r="V90" s="68" t="s">
        <v>21</v>
      </c>
      <c r="W90" s="68" t="s">
        <v>20</v>
      </c>
      <c r="X90" s="68" t="s">
        <v>22</v>
      </c>
      <c r="Y90" s="68" t="s">
        <v>60</v>
      </c>
      <c r="Z90" s="70"/>
      <c r="AA90" s="32"/>
    </row>
    <row r="91" spans="1:27" s="29" customFormat="1" ht="21" customHeight="1" x14ac:dyDescent="0.2">
      <c r="A91" s="30"/>
      <c r="D91" s="35"/>
      <c r="E91" s="35"/>
      <c r="F91" s="35"/>
      <c r="G91" s="35"/>
      <c r="H91" s="35"/>
      <c r="J91" s="36" t="s">
        <v>1</v>
      </c>
      <c r="K91" s="37">
        <f>45000+5000</f>
        <v>50000</v>
      </c>
      <c r="L91" s="38"/>
      <c r="N91" s="71"/>
      <c r="O91" s="72" t="s">
        <v>46</v>
      </c>
      <c r="P91" s="72">
        <v>31</v>
      </c>
      <c r="Q91" s="72">
        <v>0</v>
      </c>
      <c r="R91" s="72">
        <f>15-Q91</f>
        <v>15</v>
      </c>
      <c r="S91" s="73"/>
      <c r="T91" s="72" t="s">
        <v>46</v>
      </c>
      <c r="U91" s="74">
        <v>5000</v>
      </c>
      <c r="V91" s="74"/>
      <c r="W91" s="74">
        <f>V91+U91</f>
        <v>5000</v>
      </c>
      <c r="X91" s="74">
        <v>5000</v>
      </c>
      <c r="Y91" s="74">
        <f>W91-X91</f>
        <v>0</v>
      </c>
      <c r="Z91" s="70"/>
    </row>
    <row r="92" spans="1:27" s="29" customFormat="1" ht="21" customHeight="1" x14ac:dyDescent="0.2">
      <c r="A92" s="30"/>
      <c r="B92" s="29" t="s">
        <v>0</v>
      </c>
      <c r="C92" s="40" t="s">
        <v>76</v>
      </c>
      <c r="H92" s="41"/>
      <c r="I92" s="35"/>
      <c r="L92" s="42"/>
      <c r="M92" s="28"/>
      <c r="N92" s="75"/>
      <c r="O92" s="72" t="s">
        <v>72</v>
      </c>
      <c r="P92" s="72">
        <v>27</v>
      </c>
      <c r="Q92" s="72">
        <v>1</v>
      </c>
      <c r="R92" s="72">
        <f t="shared" ref="R92:R102" si="17">IF(Q92="","",R91-Q92)</f>
        <v>14</v>
      </c>
      <c r="S92" s="63"/>
      <c r="T92" s="72" t="s">
        <v>72</v>
      </c>
      <c r="U92" s="105">
        <f>Y91</f>
        <v>0</v>
      </c>
      <c r="V92" s="74">
        <v>10000</v>
      </c>
      <c r="W92" s="105">
        <f>IF(U92="","",U92+V92)</f>
        <v>10000</v>
      </c>
      <c r="X92" s="74">
        <v>10000</v>
      </c>
      <c r="Y92" s="105">
        <f>IF(W92="","",W92-X92)</f>
        <v>0</v>
      </c>
      <c r="Z92" s="76"/>
      <c r="AA92" s="28"/>
    </row>
    <row r="93" spans="1:27" s="29" customFormat="1" ht="21" customHeight="1" x14ac:dyDescent="0.2">
      <c r="A93" s="30"/>
      <c r="B93" s="44" t="s">
        <v>42</v>
      </c>
      <c r="C93" s="45"/>
      <c r="F93" s="414" t="s">
        <v>44</v>
      </c>
      <c r="G93" s="414"/>
      <c r="I93" s="414" t="s">
        <v>45</v>
      </c>
      <c r="J93" s="414"/>
      <c r="K93" s="414"/>
      <c r="L93" s="46"/>
      <c r="N93" s="71"/>
      <c r="O93" s="72" t="s">
        <v>47</v>
      </c>
      <c r="P93" s="72">
        <v>30</v>
      </c>
      <c r="Q93" s="72">
        <v>1</v>
      </c>
      <c r="R93" s="72">
        <f t="shared" si="17"/>
        <v>13</v>
      </c>
      <c r="S93" s="63"/>
      <c r="T93" s="72" t="s">
        <v>47</v>
      </c>
      <c r="U93" s="105">
        <f>Y92</f>
        <v>0</v>
      </c>
      <c r="V93" s="74">
        <v>6000</v>
      </c>
      <c r="W93" s="105">
        <f t="shared" ref="W93:W102" si="18">IF(U93="","",U93+V93)</f>
        <v>6000</v>
      </c>
      <c r="X93" s="74"/>
      <c r="Y93" s="105">
        <f t="shared" ref="Y93:Y102" si="19">IF(W93="","",W93-X93)</f>
        <v>6000</v>
      </c>
      <c r="Z93" s="76"/>
    </row>
    <row r="94" spans="1:27" s="29" customFormat="1" ht="21" customHeight="1" x14ac:dyDescent="0.2">
      <c r="A94" s="30"/>
      <c r="H94" s="47"/>
      <c r="L94" s="34"/>
      <c r="N94" s="71"/>
      <c r="O94" s="72" t="s">
        <v>48</v>
      </c>
      <c r="P94" s="72">
        <v>30</v>
      </c>
      <c r="Q94" s="72">
        <v>0</v>
      </c>
      <c r="R94" s="72">
        <f t="shared" si="17"/>
        <v>13</v>
      </c>
      <c r="S94" s="63"/>
      <c r="T94" s="72" t="s">
        <v>48</v>
      </c>
      <c r="U94" s="105">
        <f>Y93</f>
        <v>6000</v>
      </c>
      <c r="V94" s="74"/>
      <c r="W94" s="105">
        <f t="shared" si="18"/>
        <v>6000</v>
      </c>
      <c r="X94" s="74">
        <v>6000</v>
      </c>
      <c r="Y94" s="105">
        <f t="shared" si="19"/>
        <v>0</v>
      </c>
      <c r="Z94" s="76"/>
    </row>
    <row r="95" spans="1:27" s="29" customFormat="1" ht="21" customHeight="1" x14ac:dyDescent="0.2">
      <c r="A95" s="30"/>
      <c r="B95" s="392" t="s">
        <v>43</v>
      </c>
      <c r="C95" s="393"/>
      <c r="F95" s="48" t="s">
        <v>65</v>
      </c>
      <c r="G95" s="93">
        <f>IF($J$1="January",U91,IF($J$1="February",U92,IF($J$1="March",U93,IF($J$1="April",U94,IF($J$1="May",U95,IF($J$1="June",U96,IF($J$1="July",U97,IF($J$1="August",U98,IF($J$1="August",U98,IF($J$1="September",U99,IF($J$1="October",U100,IF($J$1="November",U101,IF($J$1="December",U102)))))))))))))</f>
        <v>6000</v>
      </c>
      <c r="H95" s="47"/>
      <c r="I95" s="49">
        <f>IF(C99&gt;0,$K$2,C97)</f>
        <v>30</v>
      </c>
      <c r="J95" s="50" t="s">
        <v>62</v>
      </c>
      <c r="K95" s="51">
        <f>K91/$K$2*I95</f>
        <v>50000</v>
      </c>
      <c r="L95" s="52"/>
      <c r="N95" s="71"/>
      <c r="O95" s="72" t="s">
        <v>49</v>
      </c>
      <c r="P95" s="72"/>
      <c r="Q95" s="72"/>
      <c r="R95" s="72" t="str">
        <f t="shared" si="17"/>
        <v/>
      </c>
      <c r="S95" s="63"/>
      <c r="T95" s="72" t="s">
        <v>49</v>
      </c>
      <c r="U95" s="105">
        <v>0</v>
      </c>
      <c r="V95" s="74"/>
      <c r="W95" s="105">
        <f t="shared" si="18"/>
        <v>0</v>
      </c>
      <c r="X95" s="74"/>
      <c r="Y95" s="105">
        <f t="shared" si="19"/>
        <v>0</v>
      </c>
      <c r="Z95" s="76"/>
    </row>
    <row r="96" spans="1:27" s="29" customFormat="1" ht="21" customHeight="1" x14ac:dyDescent="0.2">
      <c r="A96" s="30"/>
      <c r="B96" s="39"/>
      <c r="C96" s="39"/>
      <c r="F96" s="48" t="s">
        <v>21</v>
      </c>
      <c r="G96" s="93">
        <f>IF($J$1="January",V91,IF($J$1="February",V92,IF($J$1="March",V93,IF($J$1="April",V94,IF($J$1="May",V95,IF($J$1="June",V96,IF($J$1="July",V97,IF($J$1="August",V98,IF($J$1="August",V98,IF($J$1="September",V99,IF($J$1="October",V100,IF($J$1="November",V101,IF($J$1="December",V102)))))))))))))</f>
        <v>0</v>
      </c>
      <c r="H96" s="47"/>
      <c r="I96" s="84">
        <v>69</v>
      </c>
      <c r="J96" s="50" t="s">
        <v>63</v>
      </c>
      <c r="K96" s="53">
        <f>K91/$K$2/8*I96</f>
        <v>14375</v>
      </c>
      <c r="L96" s="54"/>
      <c r="N96" s="71"/>
      <c r="O96" s="72" t="s">
        <v>50</v>
      </c>
      <c r="P96" s="72"/>
      <c r="Q96" s="72"/>
      <c r="R96" s="72" t="str">
        <f t="shared" si="17"/>
        <v/>
      </c>
      <c r="S96" s="63"/>
      <c r="T96" s="72" t="s">
        <v>50</v>
      </c>
      <c r="U96" s="105"/>
      <c r="V96" s="74"/>
      <c r="W96" s="105" t="str">
        <f t="shared" si="18"/>
        <v/>
      </c>
      <c r="X96" s="74"/>
      <c r="Y96" s="105" t="str">
        <f t="shared" si="19"/>
        <v/>
      </c>
      <c r="Z96" s="76"/>
    </row>
    <row r="97" spans="1:26" s="29" customFormat="1" ht="21" customHeight="1" x14ac:dyDescent="0.2">
      <c r="A97" s="30"/>
      <c r="B97" s="48" t="s">
        <v>7</v>
      </c>
      <c r="C97" s="39">
        <f>IF($J$1="January",P91,IF($J$1="February",P92,IF($J$1="March",P93,IF($J$1="April",P94,IF($J$1="May",P95,IF($J$1="June",P96,IF($J$1="July",P97,IF($J$1="August",P98,IF($J$1="August",P98,IF($J$1="September",P99,IF($J$1="October",P100,IF($J$1="November",P101,IF($J$1="December",P102)))))))))))))</f>
        <v>30</v>
      </c>
      <c r="F97" s="48" t="s">
        <v>66</v>
      </c>
      <c r="G97" s="93">
        <f>IF($J$1="January",W91,IF($J$1="February",W92,IF($J$1="March",W93,IF($J$1="April",W94,IF($J$1="May",W95,IF($J$1="June",W96,IF($J$1="July",W97,IF($J$1="August",W98,IF($J$1="August",W98,IF($J$1="September",W99,IF($J$1="October",W100,IF($J$1="November",W101,IF($J$1="December",W102)))))))))))))</f>
        <v>6000</v>
      </c>
      <c r="H97" s="47"/>
      <c r="I97" s="405" t="s">
        <v>70</v>
      </c>
      <c r="J97" s="406"/>
      <c r="K97" s="53">
        <f>K95+K96</f>
        <v>64375</v>
      </c>
      <c r="L97" s="54"/>
      <c r="N97" s="71"/>
      <c r="O97" s="72" t="s">
        <v>51</v>
      </c>
      <c r="P97" s="72"/>
      <c r="Q97" s="72"/>
      <c r="R97" s="72" t="str">
        <f t="shared" si="17"/>
        <v/>
      </c>
      <c r="S97" s="63"/>
      <c r="T97" s="72" t="s">
        <v>51</v>
      </c>
      <c r="U97" s="105"/>
      <c r="V97" s="74"/>
      <c r="W97" s="105" t="str">
        <f t="shared" si="18"/>
        <v/>
      </c>
      <c r="X97" s="74"/>
      <c r="Y97" s="105" t="str">
        <f t="shared" si="19"/>
        <v/>
      </c>
      <c r="Z97" s="76"/>
    </row>
    <row r="98" spans="1:26" s="29" customFormat="1" ht="21" customHeight="1" x14ac:dyDescent="0.2">
      <c r="A98" s="30"/>
      <c r="B98" s="48" t="s">
        <v>6</v>
      </c>
      <c r="C98" s="39">
        <f>IF($J$1="January",Q91,IF($J$1="February",Q92,IF($J$1="March",Q93,IF($J$1="April",Q94,IF($J$1="May",Q95,IF($J$1="June",Q96,IF($J$1="July",Q97,IF($J$1="August",Q98,IF($J$1="August",Q98,IF($J$1="September",Q99,IF($J$1="October",Q100,IF($J$1="November",Q101,IF($J$1="December",Q102)))))))))))))</f>
        <v>0</v>
      </c>
      <c r="F98" s="48" t="s">
        <v>22</v>
      </c>
      <c r="G98" s="93">
        <f>IF($J$1="January",X91,IF($J$1="February",X92,IF($J$1="March",X93,IF($J$1="April",X94,IF($J$1="May",X95,IF($J$1="June",X96,IF($J$1="July",X97,IF($J$1="August",X98,IF($J$1="August",X98,IF($J$1="September",X99,IF($J$1="October",X100,IF($J$1="November",X101,IF($J$1="December",X102)))))))))))))</f>
        <v>6000</v>
      </c>
      <c r="H98" s="47"/>
      <c r="I98" s="405" t="s">
        <v>71</v>
      </c>
      <c r="J98" s="406"/>
      <c r="K98" s="43">
        <f>G98</f>
        <v>6000</v>
      </c>
      <c r="L98" s="55"/>
      <c r="N98" s="71"/>
      <c r="O98" s="72" t="s">
        <v>52</v>
      </c>
      <c r="P98" s="72"/>
      <c r="Q98" s="72"/>
      <c r="R98" s="72" t="str">
        <f t="shared" si="17"/>
        <v/>
      </c>
      <c r="S98" s="63"/>
      <c r="T98" s="72" t="s">
        <v>52</v>
      </c>
      <c r="U98" s="105"/>
      <c r="V98" s="74"/>
      <c r="W98" s="105" t="str">
        <f t="shared" si="18"/>
        <v/>
      </c>
      <c r="X98" s="74"/>
      <c r="Y98" s="105" t="str">
        <f t="shared" si="19"/>
        <v/>
      </c>
      <c r="Z98" s="76"/>
    </row>
    <row r="99" spans="1:26" s="29" customFormat="1" ht="21" customHeight="1" x14ac:dyDescent="0.2">
      <c r="A99" s="30"/>
      <c r="B99" s="56" t="s">
        <v>69</v>
      </c>
      <c r="C99" s="39">
        <f>IF($J$1="January",R91,IF($J$1="February",R92,IF($J$1="March",R93,IF($J$1="April",R94,IF($J$1="May",R95,IF($J$1="June",R96,IF($J$1="July",R97,IF($J$1="August",R98,IF($J$1="August",R98,IF($J$1="September",R99,IF($J$1="October",R100,IF($J$1="November",R101,IF($J$1="December",R102)))))))))))))</f>
        <v>13</v>
      </c>
      <c r="F99" s="48" t="s">
        <v>68</v>
      </c>
      <c r="G99" s="93">
        <f>IF($J$1="January",Y91,IF($J$1="February",Y92,IF($J$1="March",Y93,IF($J$1="April",Y94,IF($J$1="May",Y95,IF($J$1="June",Y96,IF($J$1="July",Y97,IF($J$1="August",Y98,IF($J$1="August",Y98,IF($J$1="September",Y99,IF($J$1="October",Y100,IF($J$1="November",Y101,IF($J$1="December",Y102)))))))))))))</f>
        <v>0</v>
      </c>
      <c r="I99" s="394" t="s">
        <v>64</v>
      </c>
      <c r="J99" s="396"/>
      <c r="K99" s="57">
        <f>K97-K98</f>
        <v>58375</v>
      </c>
      <c r="L99" s="58"/>
      <c r="N99" s="71"/>
      <c r="O99" s="72" t="s">
        <v>57</v>
      </c>
      <c r="P99" s="72"/>
      <c r="Q99" s="72"/>
      <c r="R99" s="72" t="str">
        <f t="shared" si="17"/>
        <v/>
      </c>
      <c r="S99" s="63"/>
      <c r="T99" s="72" t="s">
        <v>57</v>
      </c>
      <c r="U99" s="105"/>
      <c r="V99" s="74"/>
      <c r="W99" s="105" t="str">
        <f t="shared" si="18"/>
        <v/>
      </c>
      <c r="X99" s="74"/>
      <c r="Y99" s="105" t="str">
        <f t="shared" si="19"/>
        <v/>
      </c>
      <c r="Z99" s="76"/>
    </row>
    <row r="100" spans="1:26" s="29" customFormat="1" ht="21" customHeight="1" x14ac:dyDescent="0.2">
      <c r="A100" s="30"/>
      <c r="K100" s="107"/>
      <c r="L100" s="46"/>
      <c r="N100" s="71"/>
      <c r="O100" s="72" t="s">
        <v>53</v>
      </c>
      <c r="P100" s="72"/>
      <c r="Q100" s="72"/>
      <c r="R100" s="72" t="str">
        <f t="shared" si="17"/>
        <v/>
      </c>
      <c r="S100" s="63"/>
      <c r="T100" s="72" t="s">
        <v>53</v>
      </c>
      <c r="U100" s="105"/>
      <c r="V100" s="74"/>
      <c r="W100" s="105" t="str">
        <f t="shared" si="18"/>
        <v/>
      </c>
      <c r="X100" s="74"/>
      <c r="Y100" s="105" t="str">
        <f t="shared" si="19"/>
        <v/>
      </c>
      <c r="Z100" s="76"/>
    </row>
    <row r="101" spans="1:26" s="29" customFormat="1" ht="21" customHeight="1" x14ac:dyDescent="0.2">
      <c r="A101" s="30"/>
      <c r="B101" s="407" t="s">
        <v>87</v>
      </c>
      <c r="C101" s="407"/>
      <c r="D101" s="407"/>
      <c r="E101" s="407"/>
      <c r="F101" s="407"/>
      <c r="G101" s="407"/>
      <c r="H101" s="407"/>
      <c r="I101" s="407"/>
      <c r="J101" s="407"/>
      <c r="K101" s="407"/>
      <c r="L101" s="46"/>
      <c r="N101" s="71"/>
      <c r="O101" s="72" t="s">
        <v>58</v>
      </c>
      <c r="P101" s="72"/>
      <c r="Q101" s="72"/>
      <c r="R101" s="72" t="str">
        <f t="shared" si="17"/>
        <v/>
      </c>
      <c r="S101" s="63"/>
      <c r="T101" s="72" t="s">
        <v>58</v>
      </c>
      <c r="U101" s="105"/>
      <c r="V101" s="74"/>
      <c r="W101" s="105" t="str">
        <f t="shared" si="18"/>
        <v/>
      </c>
      <c r="X101" s="74"/>
      <c r="Y101" s="105" t="str">
        <f t="shared" si="19"/>
        <v/>
      </c>
      <c r="Z101" s="76"/>
    </row>
    <row r="102" spans="1:26" s="29" customFormat="1" ht="21" customHeight="1" x14ac:dyDescent="0.2">
      <c r="A102" s="30"/>
      <c r="B102" s="407"/>
      <c r="C102" s="407"/>
      <c r="D102" s="407"/>
      <c r="E102" s="407"/>
      <c r="F102" s="407"/>
      <c r="G102" s="407"/>
      <c r="H102" s="407"/>
      <c r="I102" s="407"/>
      <c r="J102" s="407"/>
      <c r="K102" s="407"/>
      <c r="L102" s="46"/>
      <c r="N102" s="71"/>
      <c r="O102" s="72" t="s">
        <v>59</v>
      </c>
      <c r="P102" s="72"/>
      <c r="Q102" s="72"/>
      <c r="R102" s="72" t="str">
        <f t="shared" si="17"/>
        <v/>
      </c>
      <c r="S102" s="63"/>
      <c r="T102" s="72" t="s">
        <v>59</v>
      </c>
      <c r="U102" s="105"/>
      <c r="V102" s="74"/>
      <c r="W102" s="105" t="str">
        <f t="shared" si="18"/>
        <v/>
      </c>
      <c r="X102" s="74"/>
      <c r="Y102" s="105" t="str">
        <f t="shared" si="19"/>
        <v/>
      </c>
      <c r="Z102" s="76"/>
    </row>
    <row r="103" spans="1:26" s="29" customFormat="1" ht="21" customHeight="1" thickBot="1" x14ac:dyDescent="0.25">
      <c r="A103" s="59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1"/>
      <c r="N103" s="77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9"/>
    </row>
    <row r="104" spans="1:26" ht="15.75" thickBot="1" x14ac:dyDescent="0.3"/>
    <row r="105" spans="1:26" s="29" customFormat="1" ht="21" customHeight="1" x14ac:dyDescent="0.2">
      <c r="A105" s="415" t="s">
        <v>41</v>
      </c>
      <c r="B105" s="416"/>
      <c r="C105" s="416"/>
      <c r="D105" s="416"/>
      <c r="E105" s="416"/>
      <c r="F105" s="416"/>
      <c r="G105" s="416"/>
      <c r="H105" s="416"/>
      <c r="I105" s="416"/>
      <c r="J105" s="416"/>
      <c r="K105" s="416"/>
      <c r="L105" s="417"/>
      <c r="M105" s="28"/>
      <c r="N105" s="64"/>
      <c r="O105" s="408" t="s">
        <v>43</v>
      </c>
      <c r="P105" s="409"/>
      <c r="Q105" s="409"/>
      <c r="R105" s="410"/>
      <c r="S105" s="65"/>
      <c r="T105" s="408" t="s">
        <v>44</v>
      </c>
      <c r="U105" s="409"/>
      <c r="V105" s="409"/>
      <c r="W105" s="409"/>
      <c r="X105" s="409"/>
      <c r="Y105" s="410"/>
      <c r="Z105" s="63"/>
    </row>
    <row r="106" spans="1:26" s="29" customFormat="1" ht="21" customHeight="1" x14ac:dyDescent="0.2">
      <c r="A106" s="30"/>
      <c r="C106" s="398" t="s">
        <v>85</v>
      </c>
      <c r="D106" s="398"/>
      <c r="E106" s="398"/>
      <c r="F106" s="398"/>
      <c r="G106" s="31" t="str">
        <f>$J$1</f>
        <v>April</v>
      </c>
      <c r="H106" s="397">
        <f>$K$1</f>
        <v>2023</v>
      </c>
      <c r="I106" s="397"/>
      <c r="K106" s="32"/>
      <c r="L106" s="33"/>
      <c r="M106" s="32"/>
      <c r="N106" s="67"/>
      <c r="O106" s="68" t="s">
        <v>54</v>
      </c>
      <c r="P106" s="68" t="s">
        <v>7</v>
      </c>
      <c r="Q106" s="68" t="s">
        <v>6</v>
      </c>
      <c r="R106" s="68" t="s">
        <v>55</v>
      </c>
      <c r="S106" s="69"/>
      <c r="T106" s="68" t="s">
        <v>54</v>
      </c>
      <c r="U106" s="68" t="s">
        <v>56</v>
      </c>
      <c r="V106" s="68" t="s">
        <v>21</v>
      </c>
      <c r="W106" s="68" t="s">
        <v>20</v>
      </c>
      <c r="X106" s="68" t="s">
        <v>22</v>
      </c>
      <c r="Y106" s="68" t="s">
        <v>60</v>
      </c>
      <c r="Z106" s="63"/>
    </row>
    <row r="107" spans="1:26" s="29" customFormat="1" ht="21" customHeight="1" x14ac:dyDescent="0.2">
      <c r="A107" s="30"/>
      <c r="D107" s="35"/>
      <c r="E107" s="35"/>
      <c r="F107" s="35"/>
      <c r="G107" s="35"/>
      <c r="H107" s="35"/>
      <c r="J107" s="36" t="s">
        <v>1</v>
      </c>
      <c r="K107" s="37">
        <v>65000</v>
      </c>
      <c r="L107" s="38"/>
      <c r="N107" s="71"/>
      <c r="O107" s="72" t="s">
        <v>46</v>
      </c>
      <c r="P107" s="72">
        <v>31</v>
      </c>
      <c r="Q107" s="72">
        <v>0</v>
      </c>
      <c r="R107" s="72"/>
      <c r="S107" s="73"/>
      <c r="T107" s="72" t="s">
        <v>46</v>
      </c>
      <c r="U107" s="74"/>
      <c r="V107" s="74"/>
      <c r="W107" s="74">
        <f>V107+U107</f>
        <v>0</v>
      </c>
      <c r="X107" s="74"/>
      <c r="Y107" s="74">
        <f>W107-X107</f>
        <v>0</v>
      </c>
      <c r="Z107" s="63"/>
    </row>
    <row r="108" spans="1:26" s="29" customFormat="1" ht="21" customHeight="1" x14ac:dyDescent="0.2">
      <c r="A108" s="30"/>
      <c r="B108" s="29" t="s">
        <v>0</v>
      </c>
      <c r="C108" s="40" t="s">
        <v>191</v>
      </c>
      <c r="H108" s="41"/>
      <c r="I108" s="35"/>
      <c r="L108" s="42"/>
      <c r="M108" s="28"/>
      <c r="N108" s="75"/>
      <c r="O108" s="72" t="s">
        <v>72</v>
      </c>
      <c r="P108" s="72">
        <v>28</v>
      </c>
      <c r="Q108" s="72">
        <v>0</v>
      </c>
      <c r="R108" s="72"/>
      <c r="S108" s="63"/>
      <c r="T108" s="72" t="s">
        <v>72</v>
      </c>
      <c r="U108" s="105">
        <f>IF($J$1="January","",Y107)</f>
        <v>0</v>
      </c>
      <c r="V108" s="74"/>
      <c r="W108" s="105">
        <f>IF(U108="","",U108+V108)</f>
        <v>0</v>
      </c>
      <c r="X108" s="74"/>
      <c r="Y108" s="105">
        <f>IF(W108="","",W108-X108)</f>
        <v>0</v>
      </c>
      <c r="Z108" s="63"/>
    </row>
    <row r="109" spans="1:26" s="29" customFormat="1" ht="21" customHeight="1" x14ac:dyDescent="0.2">
      <c r="A109" s="30"/>
      <c r="B109" s="44" t="s">
        <v>42</v>
      </c>
      <c r="C109" s="62"/>
      <c r="F109" s="414" t="s">
        <v>44</v>
      </c>
      <c r="G109" s="414"/>
      <c r="I109" s="414" t="s">
        <v>45</v>
      </c>
      <c r="J109" s="414"/>
      <c r="K109" s="414"/>
      <c r="L109" s="46"/>
      <c r="N109" s="71"/>
      <c r="O109" s="72" t="s">
        <v>47</v>
      </c>
      <c r="P109" s="72"/>
      <c r="Q109" s="72"/>
      <c r="R109" s="72" t="str">
        <f t="shared" ref="R109:R118" si="20">IF(Q109="","",R108-Q109)</f>
        <v/>
      </c>
      <c r="S109" s="63"/>
      <c r="T109" s="72" t="s">
        <v>47</v>
      </c>
      <c r="U109" s="105">
        <f>IF($J$1="February","",Y108)</f>
        <v>0</v>
      </c>
      <c r="V109" s="74"/>
      <c r="W109" s="105">
        <f t="shared" ref="W109:W118" si="21">IF(U109="","",U109+V109)</f>
        <v>0</v>
      </c>
      <c r="X109" s="74"/>
      <c r="Y109" s="105">
        <f t="shared" ref="Y109:Y118" si="22">IF(W109="","",W109-X109)</f>
        <v>0</v>
      </c>
      <c r="Z109" s="63"/>
    </row>
    <row r="110" spans="1:26" s="29" customFormat="1" ht="21" customHeight="1" x14ac:dyDescent="0.2">
      <c r="A110" s="30"/>
      <c r="H110" s="47"/>
      <c r="L110" s="34"/>
      <c r="N110" s="71"/>
      <c r="O110" s="72" t="s">
        <v>48</v>
      </c>
      <c r="P110" s="72">
        <v>20</v>
      </c>
      <c r="Q110" s="72">
        <v>10</v>
      </c>
      <c r="R110" s="72">
        <v>0</v>
      </c>
      <c r="S110" s="63"/>
      <c r="T110" s="72" t="s">
        <v>48</v>
      </c>
      <c r="U110" s="105">
        <f>IF($J$1="March","",Y109)</f>
        <v>0</v>
      </c>
      <c r="V110" s="74"/>
      <c r="W110" s="105">
        <f t="shared" si="21"/>
        <v>0</v>
      </c>
      <c r="X110" s="74"/>
      <c r="Y110" s="105">
        <f t="shared" si="22"/>
        <v>0</v>
      </c>
      <c r="Z110" s="63"/>
    </row>
    <row r="111" spans="1:26" s="29" customFormat="1" ht="21" customHeight="1" x14ac:dyDescent="0.2">
      <c r="A111" s="30"/>
      <c r="B111" s="392" t="s">
        <v>43</v>
      </c>
      <c r="C111" s="393"/>
      <c r="F111" s="48" t="s">
        <v>65</v>
      </c>
      <c r="G111" s="43">
        <f>IF($J$1="January",U107,IF($J$1="February",U108,IF($J$1="March",U109,IF($J$1="April",U110,IF($J$1="May",U111,IF($J$1="June",U112,IF($J$1="July",U113,IF($J$1="August",U114,IF($J$1="August",U114,IF($J$1="September",U115,IF($J$1="October",U116,IF($J$1="November",U117,IF($J$1="December",U118)))))))))))))</f>
        <v>0</v>
      </c>
      <c r="H111" s="47"/>
      <c r="I111" s="49">
        <f>IF(C115&gt;0,$K$2,C113)</f>
        <v>20</v>
      </c>
      <c r="J111" s="50" t="s">
        <v>62</v>
      </c>
      <c r="K111" s="322">
        <f>K107/$K$2*I111</f>
        <v>43333.333333333328</v>
      </c>
      <c r="L111" s="52"/>
      <c r="N111" s="71"/>
      <c r="O111" s="72" t="s">
        <v>49</v>
      </c>
      <c r="P111" s="72"/>
      <c r="Q111" s="72"/>
      <c r="R111" s="72" t="str">
        <f t="shared" si="20"/>
        <v/>
      </c>
      <c r="S111" s="63"/>
      <c r="T111" s="72" t="s">
        <v>49</v>
      </c>
      <c r="U111" s="105" t="str">
        <f>IF($J$1="April","",Y110)</f>
        <v/>
      </c>
      <c r="V111" s="74"/>
      <c r="W111" s="105" t="str">
        <f t="shared" si="21"/>
        <v/>
      </c>
      <c r="X111" s="74"/>
      <c r="Y111" s="105" t="str">
        <f t="shared" si="22"/>
        <v/>
      </c>
      <c r="Z111" s="63"/>
    </row>
    <row r="112" spans="1:26" s="29" customFormat="1" ht="21" customHeight="1" x14ac:dyDescent="0.2">
      <c r="A112" s="30"/>
      <c r="B112" s="39"/>
      <c r="C112" s="39"/>
      <c r="F112" s="48" t="s">
        <v>21</v>
      </c>
      <c r="G112" s="43">
        <f>IF($J$1="January",V107,IF($J$1="February",V108,IF($J$1="March",V109,IF($J$1="April",V110,IF($J$1="May",V111,IF($J$1="June",V112,IF($J$1="July",V113,IF($J$1="August",V114,IF($J$1="August",V114,IF($J$1="September",V115,IF($J$1="October",V116,IF($J$1="November",V117,IF($J$1="December",V118)))))))))))))</f>
        <v>0</v>
      </c>
      <c r="H112" s="47"/>
      <c r="I112" s="49"/>
      <c r="J112" s="50" t="s">
        <v>63</v>
      </c>
      <c r="K112" s="53">
        <f>K107/$K$2/8*I112</f>
        <v>0</v>
      </c>
      <c r="L112" s="54"/>
      <c r="N112" s="71"/>
      <c r="O112" s="72" t="s">
        <v>50</v>
      </c>
      <c r="P112" s="72"/>
      <c r="Q112" s="72"/>
      <c r="R112" s="72" t="str">
        <f t="shared" si="20"/>
        <v/>
      </c>
      <c r="S112" s="63"/>
      <c r="T112" s="72" t="s">
        <v>50</v>
      </c>
      <c r="U112" s="105" t="str">
        <f>IF($J$1="May","",Y111)</f>
        <v/>
      </c>
      <c r="V112" s="74"/>
      <c r="W112" s="105" t="str">
        <f t="shared" si="21"/>
        <v/>
      </c>
      <c r="X112" s="74"/>
      <c r="Y112" s="105" t="str">
        <f t="shared" si="22"/>
        <v/>
      </c>
      <c r="Z112" s="63"/>
    </row>
    <row r="113" spans="1:26" s="29" customFormat="1" ht="21" customHeight="1" x14ac:dyDescent="0.2">
      <c r="A113" s="30"/>
      <c r="B113" s="48" t="s">
        <v>7</v>
      </c>
      <c r="C113" s="39">
        <f>IF($J$1="January",P107,IF($J$1="February",P108,IF($J$1="March",P109,IF($J$1="April",P110,IF($J$1="May",P111,IF($J$1="June",P112,IF($J$1="July",P113,IF($J$1="August",P114,IF($J$1="August",P114,IF($J$1="September",P115,IF($J$1="October",P116,IF($J$1="November",P117,IF($J$1="December",P118)))))))))))))</f>
        <v>20</v>
      </c>
      <c r="F113" s="48" t="s">
        <v>66</v>
      </c>
      <c r="G113" s="43">
        <f>IF($J$1="January",W107,IF($J$1="February",W108,IF($J$1="March",W109,IF($J$1="April",W110,IF($J$1="May",W111,IF($J$1="June",W112,IF($J$1="July",W113,IF($J$1="August",W114,IF($J$1="August",W114,IF($J$1="September",W115,IF($J$1="October",W116,IF($J$1="November",W117,IF($J$1="December",W118)))))))))))))</f>
        <v>0</v>
      </c>
      <c r="H113" s="47"/>
      <c r="I113" s="405" t="s">
        <v>70</v>
      </c>
      <c r="J113" s="406"/>
      <c r="K113" s="53">
        <f>K111+K112</f>
        <v>43333.333333333328</v>
      </c>
      <c r="L113" s="54"/>
      <c r="N113" s="71"/>
      <c r="O113" s="72" t="s">
        <v>51</v>
      </c>
      <c r="P113" s="72"/>
      <c r="Q113" s="72"/>
      <c r="R113" s="72" t="str">
        <f t="shared" si="20"/>
        <v/>
      </c>
      <c r="S113" s="63"/>
      <c r="T113" s="72" t="s">
        <v>51</v>
      </c>
      <c r="U113" s="105" t="str">
        <f>IF($J$1="June","",Y112)</f>
        <v/>
      </c>
      <c r="V113" s="74"/>
      <c r="W113" s="105" t="str">
        <f t="shared" si="21"/>
        <v/>
      </c>
      <c r="X113" s="74"/>
      <c r="Y113" s="105" t="str">
        <f t="shared" si="22"/>
        <v/>
      </c>
      <c r="Z113" s="63"/>
    </row>
    <row r="114" spans="1:26" s="29" customFormat="1" ht="21" customHeight="1" x14ac:dyDescent="0.2">
      <c r="A114" s="30"/>
      <c r="B114" s="48" t="s">
        <v>6</v>
      </c>
      <c r="C114" s="39">
        <f>IF($J$1="January",Q107,IF($J$1="February",Q108,IF($J$1="March",Q109,IF($J$1="April",Q110,IF($J$1="May",Q111,IF($J$1="June",Q112,IF($J$1="July",Q113,IF($J$1="August",Q114,IF($J$1="August",Q114,IF($J$1="September",Q115,IF($J$1="October",Q116,IF($J$1="November",Q117,IF($J$1="December",Q118)))))))))))))</f>
        <v>10</v>
      </c>
      <c r="F114" s="48" t="s">
        <v>22</v>
      </c>
      <c r="G114" s="43">
        <f>IF($J$1="January",X107,IF($J$1="February",X108,IF($J$1="March",X109,IF($J$1="April",X110,IF($J$1="May",X111,IF($J$1="June",X112,IF($J$1="July",X113,IF($J$1="August",X114,IF($J$1="August",X114,IF($J$1="September",X115,IF($J$1="October",X116,IF($J$1="November",X117,IF($J$1="December",X118)))))))))))))</f>
        <v>0</v>
      </c>
      <c r="H114" s="47"/>
      <c r="I114" s="405" t="s">
        <v>71</v>
      </c>
      <c r="J114" s="406"/>
      <c r="K114" s="43">
        <f>G114</f>
        <v>0</v>
      </c>
      <c r="L114" s="55"/>
      <c r="N114" s="71"/>
      <c r="O114" s="72" t="s">
        <v>52</v>
      </c>
      <c r="P114" s="72"/>
      <c r="Q114" s="72"/>
      <c r="R114" s="72" t="str">
        <f t="shared" si="20"/>
        <v/>
      </c>
      <c r="S114" s="63"/>
      <c r="T114" s="72" t="s">
        <v>52</v>
      </c>
      <c r="U114" s="105" t="str">
        <f>IF($J$1="July","",Y113)</f>
        <v/>
      </c>
      <c r="V114" s="74"/>
      <c r="W114" s="105" t="str">
        <f t="shared" si="21"/>
        <v/>
      </c>
      <c r="X114" s="74"/>
      <c r="Y114" s="105" t="str">
        <f t="shared" si="22"/>
        <v/>
      </c>
      <c r="Z114" s="63"/>
    </row>
    <row r="115" spans="1:26" s="29" customFormat="1" ht="21" customHeight="1" x14ac:dyDescent="0.2">
      <c r="A115" s="30"/>
      <c r="B115" s="56" t="s">
        <v>69</v>
      </c>
      <c r="C115" s="39">
        <f>IF($J$1="January",R107,IF($J$1="February",R108,IF($J$1="March",R109,IF($J$1="April",R110,IF($J$1="May",R111,IF($J$1="June",R112,IF($J$1="July",R113,IF($J$1="August",R114,IF($J$1="August",R114,IF($J$1="September",R115,IF($J$1="October",R116,IF($J$1="November",R117,IF($J$1="December",R118)))))))))))))</f>
        <v>0</v>
      </c>
      <c r="F115" s="48" t="s">
        <v>68</v>
      </c>
      <c r="G115" s="43">
        <f>IF($J$1="January",Y107,IF($J$1="February",Y108,IF($J$1="March",Y109,IF($J$1="April",Y110,IF($J$1="May",Y111,IF($J$1="June",Y112,IF($J$1="July",Y113,IF($J$1="August",Y114,IF($J$1="August",Y114,IF($J$1="September",Y115,IF($J$1="October",Y116,IF($J$1="November",Y117,IF($J$1="December",Y118)))))))))))))</f>
        <v>0</v>
      </c>
      <c r="I115" s="394" t="s">
        <v>64</v>
      </c>
      <c r="J115" s="396"/>
      <c r="K115" s="57">
        <f>K113-K114</f>
        <v>43333.333333333328</v>
      </c>
      <c r="L115" s="58"/>
      <c r="N115" s="71"/>
      <c r="O115" s="72" t="s">
        <v>57</v>
      </c>
      <c r="P115" s="72"/>
      <c r="Q115" s="72"/>
      <c r="R115" s="72" t="str">
        <f t="shared" si="20"/>
        <v/>
      </c>
      <c r="S115" s="63"/>
      <c r="T115" s="72" t="s">
        <v>57</v>
      </c>
      <c r="U115" s="105" t="str">
        <f>IF($J$1="August","",Y114)</f>
        <v/>
      </c>
      <c r="V115" s="74"/>
      <c r="W115" s="105" t="str">
        <f t="shared" si="21"/>
        <v/>
      </c>
      <c r="X115" s="74"/>
      <c r="Y115" s="105" t="str">
        <f t="shared" si="22"/>
        <v/>
      </c>
      <c r="Z115" s="63"/>
    </row>
    <row r="116" spans="1:26" s="29" customFormat="1" ht="21" customHeight="1" x14ac:dyDescent="0.2">
      <c r="A116" s="30"/>
      <c r="J116" s="47"/>
      <c r="K116" s="47"/>
      <c r="L116" s="46"/>
      <c r="N116" s="71"/>
      <c r="O116" s="72" t="s">
        <v>53</v>
      </c>
      <c r="P116" s="72"/>
      <c r="Q116" s="72"/>
      <c r="R116" s="72" t="str">
        <f t="shared" si="20"/>
        <v/>
      </c>
      <c r="S116" s="63"/>
      <c r="T116" s="72" t="s">
        <v>53</v>
      </c>
      <c r="U116" s="105" t="str">
        <f>IF($J$1="September","",Y115)</f>
        <v/>
      </c>
      <c r="V116" s="74"/>
      <c r="W116" s="105" t="str">
        <f t="shared" si="21"/>
        <v/>
      </c>
      <c r="X116" s="74"/>
      <c r="Y116" s="105" t="str">
        <f t="shared" si="22"/>
        <v/>
      </c>
      <c r="Z116" s="63"/>
    </row>
    <row r="117" spans="1:26" s="29" customFormat="1" ht="21" customHeight="1" x14ac:dyDescent="0.2">
      <c r="A117" s="30"/>
      <c r="B117" s="407" t="s">
        <v>87</v>
      </c>
      <c r="C117" s="407"/>
      <c r="D117" s="407"/>
      <c r="E117" s="407"/>
      <c r="F117" s="407"/>
      <c r="G117" s="407"/>
      <c r="H117" s="407"/>
      <c r="I117" s="407"/>
      <c r="J117" s="407"/>
      <c r="K117" s="407"/>
      <c r="L117" s="46"/>
      <c r="N117" s="71"/>
      <c r="O117" s="72" t="s">
        <v>58</v>
      </c>
      <c r="P117" s="72"/>
      <c r="Q117" s="72"/>
      <c r="R117" s="72" t="str">
        <f t="shared" si="20"/>
        <v/>
      </c>
      <c r="S117" s="63"/>
      <c r="T117" s="72" t="s">
        <v>58</v>
      </c>
      <c r="U117" s="105" t="str">
        <f>Y116</f>
        <v/>
      </c>
      <c r="V117" s="74"/>
      <c r="W117" s="105" t="str">
        <f t="shared" si="21"/>
        <v/>
      </c>
      <c r="X117" s="74"/>
      <c r="Y117" s="105" t="str">
        <f t="shared" si="22"/>
        <v/>
      </c>
      <c r="Z117" s="63"/>
    </row>
    <row r="118" spans="1:26" s="29" customFormat="1" ht="21" customHeight="1" x14ac:dyDescent="0.2">
      <c r="A118" s="30"/>
      <c r="B118" s="407"/>
      <c r="C118" s="407"/>
      <c r="D118" s="407"/>
      <c r="E118" s="407"/>
      <c r="F118" s="407"/>
      <c r="G118" s="407"/>
      <c r="H118" s="407"/>
      <c r="I118" s="407"/>
      <c r="J118" s="407"/>
      <c r="K118" s="407"/>
      <c r="L118" s="46"/>
      <c r="N118" s="71"/>
      <c r="O118" s="72" t="s">
        <v>59</v>
      </c>
      <c r="P118" s="72"/>
      <c r="Q118" s="72"/>
      <c r="R118" s="72" t="str">
        <f t="shared" si="20"/>
        <v/>
      </c>
      <c r="S118" s="63"/>
      <c r="T118" s="72" t="s">
        <v>59</v>
      </c>
      <c r="U118" s="105">
        <v>0</v>
      </c>
      <c r="V118" s="74"/>
      <c r="W118" s="105">
        <f t="shared" si="21"/>
        <v>0</v>
      </c>
      <c r="X118" s="74"/>
      <c r="Y118" s="105">
        <f t="shared" si="22"/>
        <v>0</v>
      </c>
      <c r="Z118" s="63"/>
    </row>
    <row r="119" spans="1:26" s="29" customFormat="1" ht="21" customHeight="1" thickBot="1" x14ac:dyDescent="0.25">
      <c r="A119" s="59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1"/>
      <c r="N119" s="77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63"/>
    </row>
    <row r="120" spans="1:26" s="29" customFormat="1" ht="21" customHeight="1" thickBot="1" x14ac:dyDescent="0.25">
      <c r="A120" s="30"/>
      <c r="L120" s="46"/>
      <c r="N120" s="71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 spans="1:26" s="29" customFormat="1" ht="21.4" customHeight="1" x14ac:dyDescent="0.2">
      <c r="A121" s="437" t="s">
        <v>41</v>
      </c>
      <c r="B121" s="438"/>
      <c r="C121" s="438"/>
      <c r="D121" s="438"/>
      <c r="E121" s="438"/>
      <c r="F121" s="438"/>
      <c r="G121" s="438"/>
      <c r="H121" s="438"/>
      <c r="I121" s="438"/>
      <c r="J121" s="438"/>
      <c r="K121" s="438"/>
      <c r="L121" s="439"/>
      <c r="M121" s="28"/>
      <c r="N121" s="64"/>
      <c r="O121" s="408" t="s">
        <v>43</v>
      </c>
      <c r="P121" s="409"/>
      <c r="Q121" s="409"/>
      <c r="R121" s="410"/>
      <c r="S121" s="65"/>
      <c r="T121" s="408" t="s">
        <v>44</v>
      </c>
      <c r="U121" s="409"/>
      <c r="V121" s="409"/>
      <c r="W121" s="409"/>
      <c r="X121" s="409"/>
      <c r="Y121" s="410"/>
      <c r="Z121" s="66"/>
    </row>
    <row r="122" spans="1:26" s="29" customFormat="1" ht="21.4" customHeight="1" x14ac:dyDescent="0.2">
      <c r="A122" s="30"/>
      <c r="C122" s="398" t="s">
        <v>85</v>
      </c>
      <c r="D122" s="398"/>
      <c r="E122" s="398"/>
      <c r="F122" s="398"/>
      <c r="G122" s="31" t="str">
        <f>$J$1</f>
        <v>April</v>
      </c>
      <c r="H122" s="397">
        <f>$K$1</f>
        <v>2023</v>
      </c>
      <c r="I122" s="397"/>
      <c r="K122" s="32"/>
      <c r="L122" s="33"/>
      <c r="M122" s="32"/>
      <c r="N122" s="67"/>
      <c r="O122" s="68" t="s">
        <v>54</v>
      </c>
      <c r="P122" s="68" t="s">
        <v>7</v>
      </c>
      <c r="Q122" s="68" t="s">
        <v>6</v>
      </c>
      <c r="R122" s="68" t="s">
        <v>55</v>
      </c>
      <c r="S122" s="69"/>
      <c r="T122" s="68" t="s">
        <v>54</v>
      </c>
      <c r="U122" s="68" t="s">
        <v>56</v>
      </c>
      <c r="V122" s="68" t="s">
        <v>21</v>
      </c>
      <c r="W122" s="68" t="s">
        <v>20</v>
      </c>
      <c r="X122" s="68" t="s">
        <v>22</v>
      </c>
      <c r="Y122" s="68" t="s">
        <v>60</v>
      </c>
      <c r="Z122" s="70"/>
    </row>
    <row r="123" spans="1:26" s="29" customFormat="1" ht="21.4" customHeight="1" x14ac:dyDescent="0.2">
      <c r="A123" s="30"/>
      <c r="D123" s="35"/>
      <c r="E123" s="35"/>
      <c r="F123" s="35"/>
      <c r="G123" s="35"/>
      <c r="H123" s="35"/>
      <c r="J123" s="36" t="s">
        <v>1</v>
      </c>
      <c r="K123" s="37">
        <v>38000</v>
      </c>
      <c r="L123" s="38"/>
      <c r="N123" s="71"/>
      <c r="O123" s="72" t="s">
        <v>46</v>
      </c>
      <c r="P123" s="72">
        <v>30</v>
      </c>
      <c r="Q123" s="72">
        <v>1</v>
      </c>
      <c r="R123" s="72"/>
      <c r="S123" s="73"/>
      <c r="T123" s="72" t="s">
        <v>46</v>
      </c>
      <c r="U123" s="74">
        <v>35000</v>
      </c>
      <c r="V123" s="74"/>
      <c r="W123" s="74">
        <f>V123+U123</f>
        <v>35000</v>
      </c>
      <c r="X123" s="74"/>
      <c r="Y123" s="74">
        <f>W123-X123</f>
        <v>35000</v>
      </c>
      <c r="Z123" s="70"/>
    </row>
    <row r="124" spans="1:26" s="29" customFormat="1" ht="21.4" customHeight="1" x14ac:dyDescent="0.2">
      <c r="A124" s="30"/>
      <c r="B124" s="29" t="s">
        <v>0</v>
      </c>
      <c r="C124" s="40" t="s">
        <v>190</v>
      </c>
      <c r="H124" s="41"/>
      <c r="I124" s="35"/>
      <c r="L124" s="42"/>
      <c r="M124" s="28"/>
      <c r="N124" s="75"/>
      <c r="O124" s="72" t="s">
        <v>72</v>
      </c>
      <c r="P124" s="72">
        <v>28</v>
      </c>
      <c r="Q124" s="72">
        <v>0</v>
      </c>
      <c r="R124" s="72">
        <v>0</v>
      </c>
      <c r="S124" s="63"/>
      <c r="T124" s="72" t="s">
        <v>72</v>
      </c>
      <c r="U124" s="105">
        <f>IF($J$1="January","",Y123)</f>
        <v>35000</v>
      </c>
      <c r="V124" s="74">
        <v>5000</v>
      </c>
      <c r="W124" s="105">
        <f>IF(U124="","",U124+V124)</f>
        <v>40000</v>
      </c>
      <c r="X124" s="74">
        <v>5000</v>
      </c>
      <c r="Y124" s="105">
        <f>IF(W124="","",W124-X124)</f>
        <v>35000</v>
      </c>
      <c r="Z124" s="76"/>
    </row>
    <row r="125" spans="1:26" s="29" customFormat="1" ht="21.4" customHeight="1" x14ac:dyDescent="0.2">
      <c r="A125" s="30"/>
      <c r="B125" s="44" t="s">
        <v>42</v>
      </c>
      <c r="C125" s="118"/>
      <c r="F125" s="414" t="s">
        <v>44</v>
      </c>
      <c r="G125" s="414"/>
      <c r="I125" s="414" t="s">
        <v>45</v>
      </c>
      <c r="J125" s="414"/>
      <c r="K125" s="414"/>
      <c r="L125" s="46"/>
      <c r="N125" s="71"/>
      <c r="O125" s="72" t="s">
        <v>47</v>
      </c>
      <c r="P125" s="72">
        <v>29</v>
      </c>
      <c r="Q125" s="72">
        <v>2</v>
      </c>
      <c r="R125" s="72">
        <v>0</v>
      </c>
      <c r="S125" s="63"/>
      <c r="T125" s="72" t="s">
        <v>47</v>
      </c>
      <c r="U125" s="105">
        <f>IF($J$1="February","",Y124)</f>
        <v>35000</v>
      </c>
      <c r="V125" s="74"/>
      <c r="W125" s="105">
        <f t="shared" ref="W125:W134" si="23">IF(U125="","",U125+V125)</f>
        <v>35000</v>
      </c>
      <c r="X125" s="74"/>
      <c r="Y125" s="105">
        <f t="shared" ref="Y125:Y134" si="24">IF(W125="","",W125-X125)</f>
        <v>35000</v>
      </c>
      <c r="Z125" s="76"/>
    </row>
    <row r="126" spans="1:26" s="29" customFormat="1" ht="21.4" customHeight="1" x14ac:dyDescent="0.2">
      <c r="A126" s="30"/>
      <c r="H126" s="47"/>
      <c r="L126" s="34"/>
      <c r="N126" s="71"/>
      <c r="O126" s="72" t="s">
        <v>48</v>
      </c>
      <c r="P126" s="72">
        <v>29</v>
      </c>
      <c r="Q126" s="72">
        <v>1</v>
      </c>
      <c r="R126" s="72">
        <v>0</v>
      </c>
      <c r="S126" s="63"/>
      <c r="T126" s="72" t="s">
        <v>48</v>
      </c>
      <c r="U126" s="105">
        <f>IF($J$1="March","",Y125)</f>
        <v>35000</v>
      </c>
      <c r="V126" s="74"/>
      <c r="W126" s="105">
        <f t="shared" si="23"/>
        <v>35000</v>
      </c>
      <c r="X126" s="74"/>
      <c r="Y126" s="105">
        <f t="shared" si="24"/>
        <v>35000</v>
      </c>
      <c r="Z126" s="76"/>
    </row>
    <row r="127" spans="1:26" s="29" customFormat="1" ht="21.4" customHeight="1" x14ac:dyDescent="0.2">
      <c r="A127" s="30"/>
      <c r="B127" s="392" t="s">
        <v>43</v>
      </c>
      <c r="C127" s="393"/>
      <c r="F127" s="48" t="s">
        <v>65</v>
      </c>
      <c r="G127" s="43">
        <f>IF($J$1="January",U123,IF($J$1="February",U124,IF($J$1="March",U125,IF($J$1="April",U126,IF($J$1="May",U127,IF($J$1="June",U128,IF($J$1="July",U129,IF($J$1="August",U130,IF($J$1="August",U130,IF($J$1="September",U131,IF($J$1="October",U132,IF($J$1="November",U133,IF($J$1="December",U134)))))))))))))</f>
        <v>35000</v>
      </c>
      <c r="H127" s="47"/>
      <c r="I127" s="49">
        <f>IF(C131&gt;0,$K$2,C129)</f>
        <v>29</v>
      </c>
      <c r="J127" s="50" t="s">
        <v>62</v>
      </c>
      <c r="K127" s="51">
        <f>K123/$K$2*I127</f>
        <v>36733.333333333336</v>
      </c>
      <c r="L127" s="52"/>
      <c r="N127" s="71"/>
      <c r="O127" s="72" t="s">
        <v>49</v>
      </c>
      <c r="P127" s="72"/>
      <c r="Q127" s="72"/>
      <c r="R127" s="72">
        <v>0</v>
      </c>
      <c r="S127" s="63"/>
      <c r="T127" s="72" t="s">
        <v>49</v>
      </c>
      <c r="U127" s="105" t="str">
        <f>IF($J$1="April","",Y126)</f>
        <v/>
      </c>
      <c r="V127" s="74"/>
      <c r="W127" s="105" t="str">
        <f t="shared" si="23"/>
        <v/>
      </c>
      <c r="X127" s="74"/>
      <c r="Y127" s="105" t="str">
        <f t="shared" si="24"/>
        <v/>
      </c>
      <c r="Z127" s="76"/>
    </row>
    <row r="128" spans="1:26" s="29" customFormat="1" ht="21.4" customHeight="1" x14ac:dyDescent="0.2">
      <c r="A128" s="30"/>
      <c r="B128" s="39"/>
      <c r="C128" s="39"/>
      <c r="F128" s="48" t="s">
        <v>21</v>
      </c>
      <c r="G128" s="43">
        <f>IF($J$1="January",V123,IF($J$1="February",V124,IF($J$1="March",V125,IF($J$1="April",V126,IF($J$1="May",V127,IF($J$1="June",V128,IF($J$1="July",V129,IF($J$1="August",V130,IF($J$1="August",V130,IF($J$1="September",V131,IF($J$1="October",V132,IF($J$1="November",V133,IF($J$1="December",V134)))))))))))))</f>
        <v>0</v>
      </c>
      <c r="H128" s="47"/>
      <c r="I128" s="84"/>
      <c r="J128" s="50" t="s">
        <v>63</v>
      </c>
      <c r="K128" s="53">
        <f>K123/$K$2/8*I128</f>
        <v>0</v>
      </c>
      <c r="L128" s="54"/>
      <c r="N128" s="71"/>
      <c r="O128" s="72" t="s">
        <v>50</v>
      </c>
      <c r="P128" s="72"/>
      <c r="Q128" s="72"/>
      <c r="R128" s="72">
        <v>0</v>
      </c>
      <c r="S128" s="63"/>
      <c r="T128" s="72" t="s">
        <v>50</v>
      </c>
      <c r="U128" s="105" t="str">
        <f>IF($J$1="April",Y127,Y127)</f>
        <v/>
      </c>
      <c r="V128" s="74"/>
      <c r="W128" s="105" t="str">
        <f t="shared" si="23"/>
        <v/>
      </c>
      <c r="X128" s="74"/>
      <c r="Y128" s="105" t="str">
        <f t="shared" si="24"/>
        <v/>
      </c>
      <c r="Z128" s="76"/>
    </row>
    <row r="129" spans="1:27" s="29" customFormat="1" ht="21.4" customHeight="1" x14ac:dyDescent="0.2">
      <c r="A129" s="30"/>
      <c r="B129" s="48" t="s">
        <v>7</v>
      </c>
      <c r="C129" s="39">
        <f>IF($J$1="January",P123,IF($J$1="February",P124,IF($J$1="March",P125,IF($J$1="April",P126,IF($J$1="May",P127,IF($J$1="June",P128,IF($J$1="July",P129,IF($J$1="August",P130,IF($J$1="August",P130,IF($J$1="September",P131,IF($J$1="October",P132,IF($J$1="November",P133,IF($J$1="December",P134)))))))))))))</f>
        <v>29</v>
      </c>
      <c r="F129" s="48" t="s">
        <v>66</v>
      </c>
      <c r="G129" s="43">
        <f>IF($J$1="January",W123,IF($J$1="February",W124,IF($J$1="March",W125,IF($J$1="April",W126,IF($J$1="May",W127,IF($J$1="June",W128,IF($J$1="July",W129,IF($J$1="August",W130,IF($J$1="August",W130,IF($J$1="September",W131,IF($J$1="October",W132,IF($J$1="November",W133,IF($J$1="December",W134)))))))))))))</f>
        <v>35000</v>
      </c>
      <c r="H129" s="47"/>
      <c r="I129" s="405" t="s">
        <v>70</v>
      </c>
      <c r="J129" s="406"/>
      <c r="K129" s="53">
        <f>K127+K128</f>
        <v>36733.333333333336</v>
      </c>
      <c r="L129" s="54"/>
      <c r="N129" s="71"/>
      <c r="O129" s="72" t="s">
        <v>51</v>
      </c>
      <c r="P129" s="72"/>
      <c r="Q129" s="72"/>
      <c r="R129" s="72">
        <v>0</v>
      </c>
      <c r="S129" s="63"/>
      <c r="T129" s="72" t="s">
        <v>51</v>
      </c>
      <c r="U129" s="105" t="str">
        <f t="shared" ref="U129:U134" si="25">Y128</f>
        <v/>
      </c>
      <c r="V129" s="74"/>
      <c r="W129" s="105" t="str">
        <f t="shared" si="23"/>
        <v/>
      </c>
      <c r="X129" s="74"/>
      <c r="Y129" s="105" t="str">
        <f t="shared" si="24"/>
        <v/>
      </c>
      <c r="Z129" s="76"/>
    </row>
    <row r="130" spans="1:27" s="29" customFormat="1" ht="21.4" customHeight="1" x14ac:dyDescent="0.2">
      <c r="A130" s="30"/>
      <c r="B130" s="48" t="s">
        <v>6</v>
      </c>
      <c r="C130" s="39">
        <f>IF($J$1="January",Q123,IF($J$1="February",Q124,IF($J$1="March",Q125,IF($J$1="April",Q126,IF($J$1="May",Q127,IF($J$1="June",Q128,IF($J$1="July",Q129,IF($J$1="August",Q130,IF($J$1="August",Q130,IF($J$1="September",Q131,IF($J$1="October",Q132,IF($J$1="November",Q133,IF($J$1="December",Q134)))))))))))))</f>
        <v>1</v>
      </c>
      <c r="F130" s="48" t="s">
        <v>22</v>
      </c>
      <c r="G130" s="43">
        <f>IF($J$1="January",X123,IF($J$1="February",X124,IF($J$1="March",X125,IF($J$1="April",X126,IF($J$1="May",X127,IF($J$1="June",X128,IF($J$1="July",X129,IF($J$1="August",X130,IF($J$1="August",X130,IF($J$1="September",X131,IF($J$1="October",X132,IF($J$1="November",X133,IF($J$1="December",X134)))))))))))))</f>
        <v>0</v>
      </c>
      <c r="H130" s="47"/>
      <c r="I130" s="405" t="s">
        <v>71</v>
      </c>
      <c r="J130" s="406"/>
      <c r="K130" s="43">
        <f>G130</f>
        <v>0</v>
      </c>
      <c r="L130" s="55"/>
      <c r="N130" s="71"/>
      <c r="O130" s="72" t="s">
        <v>52</v>
      </c>
      <c r="P130" s="72"/>
      <c r="Q130" s="72"/>
      <c r="R130" s="72">
        <v>0</v>
      </c>
      <c r="S130" s="63"/>
      <c r="T130" s="72" t="s">
        <v>52</v>
      </c>
      <c r="U130" s="105" t="str">
        <f t="shared" si="25"/>
        <v/>
      </c>
      <c r="V130" s="74"/>
      <c r="W130" s="105" t="str">
        <f t="shared" si="23"/>
        <v/>
      </c>
      <c r="X130" s="74"/>
      <c r="Y130" s="105" t="str">
        <f t="shared" si="24"/>
        <v/>
      </c>
      <c r="Z130" s="76"/>
    </row>
    <row r="131" spans="1:27" s="29" customFormat="1" ht="21.4" customHeight="1" x14ac:dyDescent="0.2">
      <c r="A131" s="30"/>
      <c r="B131" s="56" t="s">
        <v>69</v>
      </c>
      <c r="C131" s="39">
        <f>IF($J$1="January",R123,IF($J$1="February",R124,IF($J$1="March",R125,IF($J$1="April",R126,IF($J$1="May",R127,IF($J$1="June",R128,IF($J$1="July",R129,IF($J$1="August",R130,IF($J$1="August",R130,IF($J$1="September",R131,IF($J$1="October",R132,IF($J$1="November",R133,IF($J$1="December",R134)))))))))))))</f>
        <v>0</v>
      </c>
      <c r="F131" s="48" t="s">
        <v>68</v>
      </c>
      <c r="G131" s="43">
        <f>IF($J$1="January",Y123,IF($J$1="February",Y124,IF($J$1="March",Y125,IF($J$1="April",Y126,IF($J$1="May",Y127,IF($J$1="June",Y128,IF($J$1="July",Y129,IF($J$1="August",Y130,IF($J$1="August",Y130,IF($J$1="September",Y131,IF($J$1="October",Y132,IF($J$1="November",Y133,IF($J$1="December",Y134)))))))))))))</f>
        <v>35000</v>
      </c>
      <c r="I131" s="394" t="s">
        <v>64</v>
      </c>
      <c r="J131" s="396"/>
      <c r="K131" s="57">
        <f>K129-K130</f>
        <v>36733.333333333336</v>
      </c>
      <c r="L131" s="58"/>
      <c r="N131" s="71"/>
      <c r="O131" s="72" t="s">
        <v>57</v>
      </c>
      <c r="P131" s="72"/>
      <c r="Q131" s="72"/>
      <c r="R131" s="72">
        <v>0</v>
      </c>
      <c r="S131" s="63">
        <v>0</v>
      </c>
      <c r="T131" s="72" t="s">
        <v>57</v>
      </c>
      <c r="U131" s="105" t="str">
        <f t="shared" si="25"/>
        <v/>
      </c>
      <c r="V131" s="74"/>
      <c r="W131" s="105" t="str">
        <f t="shared" si="23"/>
        <v/>
      </c>
      <c r="X131" s="74"/>
      <c r="Y131" s="105" t="str">
        <f t="shared" si="24"/>
        <v/>
      </c>
      <c r="Z131" s="76"/>
    </row>
    <row r="132" spans="1:27" s="29" customFormat="1" ht="21.4" customHeight="1" x14ac:dyDescent="0.2">
      <c r="A132" s="30"/>
      <c r="F132" s="29" t="s">
        <v>211</v>
      </c>
      <c r="K132" s="107"/>
      <c r="L132" s="46"/>
      <c r="N132" s="71"/>
      <c r="O132" s="72" t="s">
        <v>53</v>
      </c>
      <c r="P132" s="72"/>
      <c r="Q132" s="72"/>
      <c r="R132" s="72">
        <v>0</v>
      </c>
      <c r="S132" s="63"/>
      <c r="T132" s="72" t="s">
        <v>53</v>
      </c>
      <c r="U132" s="105" t="str">
        <f t="shared" si="25"/>
        <v/>
      </c>
      <c r="V132" s="74"/>
      <c r="W132" s="105" t="str">
        <f t="shared" si="23"/>
        <v/>
      </c>
      <c r="X132" s="74"/>
      <c r="Y132" s="105" t="str">
        <f t="shared" si="24"/>
        <v/>
      </c>
      <c r="Z132" s="76"/>
    </row>
    <row r="133" spans="1:27" s="29" customFormat="1" ht="21.4" customHeight="1" x14ac:dyDescent="0.2">
      <c r="A133" s="30"/>
      <c r="B133" s="407" t="s">
        <v>87</v>
      </c>
      <c r="C133" s="407"/>
      <c r="D133" s="407"/>
      <c r="E133" s="407"/>
      <c r="F133" s="407"/>
      <c r="G133" s="407"/>
      <c r="H133" s="407"/>
      <c r="I133" s="407"/>
      <c r="J133" s="407"/>
      <c r="K133" s="407"/>
      <c r="L133" s="46"/>
      <c r="N133" s="71"/>
      <c r="O133" s="72" t="s">
        <v>58</v>
      </c>
      <c r="P133" s="72"/>
      <c r="Q133" s="72"/>
      <c r="R133" s="72">
        <v>0</v>
      </c>
      <c r="S133" s="63"/>
      <c r="T133" s="72" t="s">
        <v>58</v>
      </c>
      <c r="U133" s="105" t="str">
        <f t="shared" si="25"/>
        <v/>
      </c>
      <c r="V133" s="74"/>
      <c r="W133" s="105" t="str">
        <f t="shared" si="23"/>
        <v/>
      </c>
      <c r="X133" s="74"/>
      <c r="Y133" s="105" t="str">
        <f t="shared" si="24"/>
        <v/>
      </c>
      <c r="Z133" s="76"/>
    </row>
    <row r="134" spans="1:27" s="29" customFormat="1" ht="21.4" customHeight="1" x14ac:dyDescent="0.2">
      <c r="A134" s="30"/>
      <c r="B134" s="407"/>
      <c r="C134" s="407"/>
      <c r="D134" s="407"/>
      <c r="E134" s="407"/>
      <c r="F134" s="407"/>
      <c r="G134" s="407"/>
      <c r="H134" s="407"/>
      <c r="I134" s="407"/>
      <c r="J134" s="407"/>
      <c r="K134" s="407"/>
      <c r="L134" s="46"/>
      <c r="N134" s="71"/>
      <c r="O134" s="72" t="s">
        <v>59</v>
      </c>
      <c r="P134" s="72"/>
      <c r="Q134" s="72"/>
      <c r="R134" s="72">
        <v>0</v>
      </c>
      <c r="S134" s="63"/>
      <c r="T134" s="72" t="s">
        <v>59</v>
      </c>
      <c r="U134" s="105" t="str">
        <f t="shared" si="25"/>
        <v/>
      </c>
      <c r="V134" s="74"/>
      <c r="W134" s="105" t="str">
        <f t="shared" si="23"/>
        <v/>
      </c>
      <c r="X134" s="74"/>
      <c r="Y134" s="105" t="str">
        <f t="shared" si="24"/>
        <v/>
      </c>
      <c r="Z134" s="76"/>
    </row>
    <row r="135" spans="1:27" s="29" customFormat="1" ht="21.4" customHeight="1" thickBot="1" x14ac:dyDescent="0.25">
      <c r="A135" s="59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1"/>
      <c r="N135" s="77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9"/>
    </row>
    <row r="136" spans="1:27" s="29" customFormat="1" ht="21" customHeight="1" thickBot="1" x14ac:dyDescent="0.25"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 spans="1:27" s="29" customFormat="1" ht="21" customHeight="1" x14ac:dyDescent="0.2">
      <c r="A137" s="450" t="s">
        <v>41</v>
      </c>
      <c r="B137" s="451"/>
      <c r="C137" s="451"/>
      <c r="D137" s="451"/>
      <c r="E137" s="451"/>
      <c r="F137" s="451"/>
      <c r="G137" s="451"/>
      <c r="H137" s="451"/>
      <c r="I137" s="451"/>
      <c r="J137" s="451"/>
      <c r="K137" s="451"/>
      <c r="L137" s="452"/>
      <c r="M137" s="28"/>
      <c r="N137" s="64"/>
      <c r="O137" s="408" t="s">
        <v>43</v>
      </c>
      <c r="P137" s="409"/>
      <c r="Q137" s="409"/>
      <c r="R137" s="410"/>
      <c r="S137" s="65"/>
      <c r="T137" s="408" t="s">
        <v>44</v>
      </c>
      <c r="U137" s="409"/>
      <c r="V137" s="409"/>
      <c r="W137" s="409"/>
      <c r="X137" s="409"/>
      <c r="Y137" s="410"/>
      <c r="Z137" s="66"/>
      <c r="AA137" s="28"/>
    </row>
    <row r="138" spans="1:27" s="29" customFormat="1" ht="21" customHeight="1" x14ac:dyDescent="0.2">
      <c r="A138" s="30"/>
      <c r="C138" s="398" t="s">
        <v>85</v>
      </c>
      <c r="D138" s="398"/>
      <c r="E138" s="398"/>
      <c r="F138" s="398"/>
      <c r="G138" s="31" t="str">
        <f>$J$1</f>
        <v>April</v>
      </c>
      <c r="H138" s="397">
        <f>$K$1</f>
        <v>2023</v>
      </c>
      <c r="I138" s="397"/>
      <c r="K138" s="32"/>
      <c r="L138" s="33"/>
      <c r="M138" s="32"/>
      <c r="N138" s="67"/>
      <c r="O138" s="68" t="s">
        <v>54</v>
      </c>
      <c r="P138" s="68" t="s">
        <v>7</v>
      </c>
      <c r="Q138" s="68" t="s">
        <v>6</v>
      </c>
      <c r="R138" s="68" t="s">
        <v>55</v>
      </c>
      <c r="S138" s="69"/>
      <c r="T138" s="68" t="s">
        <v>54</v>
      </c>
      <c r="U138" s="68" t="s">
        <v>56</v>
      </c>
      <c r="V138" s="68" t="s">
        <v>21</v>
      </c>
      <c r="W138" s="68" t="s">
        <v>20</v>
      </c>
      <c r="X138" s="68" t="s">
        <v>22</v>
      </c>
      <c r="Y138" s="68" t="s">
        <v>60</v>
      </c>
      <c r="Z138" s="70"/>
      <c r="AA138" s="32"/>
    </row>
    <row r="139" spans="1:27" s="29" customFormat="1" ht="21" customHeight="1" x14ac:dyDescent="0.2">
      <c r="A139" s="30"/>
      <c r="D139" s="35"/>
      <c r="E139" s="35"/>
      <c r="F139" s="35"/>
      <c r="G139" s="35"/>
      <c r="H139" s="35"/>
      <c r="J139" s="36" t="s">
        <v>1</v>
      </c>
      <c r="K139" s="37">
        <f>35000+3000+5000</f>
        <v>43000</v>
      </c>
      <c r="L139" s="38"/>
      <c r="N139" s="71"/>
      <c r="O139" s="72" t="s">
        <v>46</v>
      </c>
      <c r="P139" s="72">
        <v>31</v>
      </c>
      <c r="Q139" s="72">
        <v>0</v>
      </c>
      <c r="R139" s="72">
        <f>15-Q139</f>
        <v>15</v>
      </c>
      <c r="S139" s="73"/>
      <c r="T139" s="72" t="s">
        <v>46</v>
      </c>
      <c r="U139" s="74">
        <v>75500</v>
      </c>
      <c r="V139" s="74">
        <f>5000+1000</f>
        <v>6000</v>
      </c>
      <c r="W139" s="74">
        <f>V139+U139</f>
        <v>81500</v>
      </c>
      <c r="X139" s="74">
        <v>8000</v>
      </c>
      <c r="Y139" s="74">
        <f>W139-X139</f>
        <v>73500</v>
      </c>
      <c r="Z139" s="70"/>
    </row>
    <row r="140" spans="1:27" s="29" customFormat="1" ht="21" customHeight="1" x14ac:dyDescent="0.2">
      <c r="A140" s="30"/>
      <c r="B140" s="29" t="s">
        <v>0</v>
      </c>
      <c r="C140" s="40" t="s">
        <v>83</v>
      </c>
      <c r="H140" s="41"/>
      <c r="I140" s="35"/>
      <c r="L140" s="42"/>
      <c r="M140" s="28"/>
      <c r="N140" s="75"/>
      <c r="O140" s="72" t="s">
        <v>72</v>
      </c>
      <c r="P140" s="72">
        <v>28</v>
      </c>
      <c r="Q140" s="72">
        <v>0</v>
      </c>
      <c r="R140" s="72">
        <f t="shared" ref="R140:R150" si="26">IF(Q140="","",R139-Q140)</f>
        <v>15</v>
      </c>
      <c r="S140" s="63"/>
      <c r="T140" s="72" t="s">
        <v>72</v>
      </c>
      <c r="U140" s="105">
        <f>Y139</f>
        <v>73500</v>
      </c>
      <c r="V140" s="74">
        <f>3000+1000</f>
        <v>4000</v>
      </c>
      <c r="W140" s="105">
        <f>IF(U140="","",U140+V140)</f>
        <v>77500</v>
      </c>
      <c r="X140" s="74">
        <v>8000</v>
      </c>
      <c r="Y140" s="105">
        <f>IF(W140="","",W140-X140)</f>
        <v>69500</v>
      </c>
      <c r="Z140" s="76"/>
      <c r="AA140" s="28"/>
    </row>
    <row r="141" spans="1:27" s="29" customFormat="1" ht="21" customHeight="1" x14ac:dyDescent="0.2">
      <c r="A141" s="30"/>
      <c r="B141" s="44" t="s">
        <v>42</v>
      </c>
      <c r="C141" s="45" t="s">
        <v>84</v>
      </c>
      <c r="F141" s="414" t="s">
        <v>44</v>
      </c>
      <c r="G141" s="414"/>
      <c r="I141" s="414" t="s">
        <v>45</v>
      </c>
      <c r="J141" s="414"/>
      <c r="K141" s="414"/>
      <c r="L141" s="46"/>
      <c r="N141" s="71"/>
      <c r="O141" s="72" t="s">
        <v>47</v>
      </c>
      <c r="P141" s="72">
        <v>31</v>
      </c>
      <c r="Q141" s="72">
        <v>0</v>
      </c>
      <c r="R141" s="72">
        <f t="shared" si="26"/>
        <v>15</v>
      </c>
      <c r="S141" s="63"/>
      <c r="T141" s="72" t="s">
        <v>47</v>
      </c>
      <c r="U141" s="105">
        <f>Y140</f>
        <v>69500</v>
      </c>
      <c r="V141" s="74">
        <f>2000+1000+1000</f>
        <v>4000</v>
      </c>
      <c r="W141" s="105">
        <f t="shared" ref="W141:W150" si="27">IF(U141="","",U141+V141)</f>
        <v>73500</v>
      </c>
      <c r="X141" s="74">
        <v>3000</v>
      </c>
      <c r="Y141" s="105">
        <f t="shared" ref="Y141:Y150" si="28">IF(W141="","",W141-X141)</f>
        <v>70500</v>
      </c>
      <c r="Z141" s="76"/>
    </row>
    <row r="142" spans="1:27" s="29" customFormat="1" ht="21" customHeight="1" x14ac:dyDescent="0.2">
      <c r="A142" s="30"/>
      <c r="H142" s="47"/>
      <c r="L142" s="34"/>
      <c r="N142" s="71"/>
      <c r="O142" s="72" t="s">
        <v>48</v>
      </c>
      <c r="P142" s="72">
        <v>27</v>
      </c>
      <c r="Q142" s="72">
        <v>3</v>
      </c>
      <c r="R142" s="72">
        <f t="shared" si="26"/>
        <v>12</v>
      </c>
      <c r="S142" s="63"/>
      <c r="T142" s="72" t="s">
        <v>48</v>
      </c>
      <c r="U142" s="105">
        <f>Y141</f>
        <v>70500</v>
      </c>
      <c r="V142" s="74">
        <v>2000</v>
      </c>
      <c r="W142" s="105">
        <f t="shared" si="27"/>
        <v>72500</v>
      </c>
      <c r="X142" s="74">
        <v>5000</v>
      </c>
      <c r="Y142" s="105">
        <f t="shared" si="28"/>
        <v>67500</v>
      </c>
      <c r="Z142" s="76"/>
    </row>
    <row r="143" spans="1:27" s="29" customFormat="1" ht="21" customHeight="1" x14ac:dyDescent="0.2">
      <c r="A143" s="30"/>
      <c r="B143" s="392" t="s">
        <v>43</v>
      </c>
      <c r="C143" s="393"/>
      <c r="F143" s="48" t="s">
        <v>65</v>
      </c>
      <c r="G143" s="109">
        <f>IF($J$1="January",U139,IF($J$1="February",U140,IF($J$1="March",U141,IF($J$1="April",U142,IF($J$1="May",U143,IF($J$1="June",U144,IF($J$1="July",U145,IF($J$1="August",U146,IF($J$1="August",U146,IF($J$1="September",U147,IF($J$1="October",U148,IF($J$1="November",U149,IF($J$1="December",U150)))))))))))))</f>
        <v>70500</v>
      </c>
      <c r="H143" s="47"/>
      <c r="I143" s="49">
        <f>IF(C147&gt;0,$K$2,C145)</f>
        <v>30</v>
      </c>
      <c r="J143" s="50" t="s">
        <v>62</v>
      </c>
      <c r="K143" s="51">
        <f>K139/$K$2*I143</f>
        <v>43000</v>
      </c>
      <c r="L143" s="52"/>
      <c r="N143" s="71"/>
      <c r="O143" s="72" t="s">
        <v>49</v>
      </c>
      <c r="P143" s="72"/>
      <c r="Q143" s="72"/>
      <c r="R143" s="72" t="str">
        <f t="shared" si="26"/>
        <v/>
      </c>
      <c r="S143" s="63"/>
      <c r="T143" s="72" t="s">
        <v>49</v>
      </c>
      <c r="U143" s="105">
        <v>0</v>
      </c>
      <c r="V143" s="74"/>
      <c r="W143" s="105">
        <f t="shared" si="27"/>
        <v>0</v>
      </c>
      <c r="X143" s="74">
        <f>5000+V143</f>
        <v>5000</v>
      </c>
      <c r="Y143" s="105">
        <f t="shared" si="28"/>
        <v>-5000</v>
      </c>
      <c r="Z143" s="76"/>
    </row>
    <row r="144" spans="1:27" s="29" customFormat="1" ht="21" customHeight="1" x14ac:dyDescent="0.2">
      <c r="A144" s="30"/>
      <c r="B144" s="39"/>
      <c r="C144" s="39"/>
      <c r="F144" s="48" t="s">
        <v>21</v>
      </c>
      <c r="G144" s="109">
        <f>IF($J$1="January",V139,IF($J$1="February",V140,IF($J$1="March",V141,IF($J$1="April",V142,IF($J$1="May",V143,IF($J$1="June",V144,IF($J$1="July",V145,IF($J$1="August",V146,IF($J$1="August",V146,IF($J$1="September",V147,IF($J$1="October",V148,IF($J$1="November",V149,IF($J$1="December",V150)))))))))))))</f>
        <v>2000</v>
      </c>
      <c r="H144" s="47"/>
      <c r="I144" s="84"/>
      <c r="J144" s="50" t="s">
        <v>63</v>
      </c>
      <c r="K144" s="53">
        <f>K139/$K$2/8*I144</f>
        <v>0</v>
      </c>
      <c r="L144" s="54"/>
      <c r="N144" s="71"/>
      <c r="O144" s="72" t="s">
        <v>50</v>
      </c>
      <c r="P144" s="72"/>
      <c r="Q144" s="72"/>
      <c r="R144" s="72" t="str">
        <f t="shared" si="26"/>
        <v/>
      </c>
      <c r="S144" s="63"/>
      <c r="T144" s="72" t="s">
        <v>50</v>
      </c>
      <c r="U144" s="105"/>
      <c r="V144" s="74"/>
      <c r="W144" s="105" t="str">
        <f t="shared" si="27"/>
        <v/>
      </c>
      <c r="X144" s="74"/>
      <c r="Y144" s="105" t="str">
        <f t="shared" si="28"/>
        <v/>
      </c>
      <c r="Z144" s="76"/>
    </row>
    <row r="145" spans="1:27" s="29" customFormat="1" ht="21" customHeight="1" x14ac:dyDescent="0.2">
      <c r="A145" s="30"/>
      <c r="B145" s="48" t="s">
        <v>7</v>
      </c>
      <c r="C145" s="39">
        <f>IF($J$1="January",P139,IF($J$1="February",P140,IF($J$1="March",P141,IF($J$1="April",P142,IF($J$1="May",P143,IF($J$1="June",P144,IF($J$1="July",P145,IF($J$1="August",P146,IF($J$1="August",P146,IF($J$1="September",P147,IF($J$1="October",P148,IF($J$1="November",P149,IF($J$1="December",P150)))))))))))))</f>
        <v>27</v>
      </c>
      <c r="F145" s="48" t="s">
        <v>66</v>
      </c>
      <c r="G145" s="109">
        <f>IF($J$1="January",W139,IF($J$1="February",W140,IF($J$1="March",W141,IF($J$1="April",W142,IF($J$1="May",W143,IF($J$1="June",W144,IF($J$1="July",W145,IF($J$1="August",W146,IF($J$1="August",W146,IF($J$1="September",W147,IF($J$1="October",W148,IF($J$1="November",W149,IF($J$1="December",W150)))))))))))))</f>
        <v>72500</v>
      </c>
      <c r="H145" s="47"/>
      <c r="I145" s="405" t="s">
        <v>70</v>
      </c>
      <c r="J145" s="406"/>
      <c r="K145" s="53">
        <f>K143+K144</f>
        <v>43000</v>
      </c>
      <c r="L145" s="54"/>
      <c r="N145" s="71"/>
      <c r="O145" s="72" t="s">
        <v>51</v>
      </c>
      <c r="P145" s="72"/>
      <c r="Q145" s="72"/>
      <c r="R145" s="72" t="str">
        <f t="shared" si="26"/>
        <v/>
      </c>
      <c r="S145" s="63"/>
      <c r="T145" s="72" t="s">
        <v>51</v>
      </c>
      <c r="U145" s="105"/>
      <c r="V145" s="74"/>
      <c r="W145" s="105" t="str">
        <f t="shared" si="27"/>
        <v/>
      </c>
      <c r="X145" s="74"/>
      <c r="Y145" s="105" t="str">
        <f t="shared" si="28"/>
        <v/>
      </c>
      <c r="Z145" s="76"/>
    </row>
    <row r="146" spans="1:27" s="29" customFormat="1" ht="21" customHeight="1" x14ac:dyDescent="0.2">
      <c r="A146" s="30"/>
      <c r="B146" s="48" t="s">
        <v>6</v>
      </c>
      <c r="C146" s="39">
        <f>IF($J$1="January",Q139,IF($J$1="February",Q140,IF($J$1="March",Q141,IF($J$1="April",Q142,IF($J$1="May",Q143,IF($J$1="June",Q144,IF($J$1="July",Q145,IF($J$1="August",Q146,IF($J$1="August",Q146,IF($J$1="September",Q147,IF($J$1="October",Q148,IF($J$1="November",Q149,IF($J$1="December",Q150)))))))))))))</f>
        <v>3</v>
      </c>
      <c r="F146" s="48" t="s">
        <v>22</v>
      </c>
      <c r="G146" s="109">
        <f>IF($J$1="January",X139,IF($J$1="February",X140,IF($J$1="March",X141,IF($J$1="April",X142,IF($J$1="May",X143,IF($J$1="June",X144,IF($J$1="July",X145,IF($J$1="August",X146,IF($J$1="August",X146,IF($J$1="September",X147,IF($J$1="October",X148,IF($J$1="November",X149,IF($J$1="December",X150)))))))))))))</f>
        <v>5000</v>
      </c>
      <c r="H146" s="47"/>
      <c r="I146" s="405" t="s">
        <v>71</v>
      </c>
      <c r="J146" s="406"/>
      <c r="K146" s="43">
        <f>G146</f>
        <v>5000</v>
      </c>
      <c r="L146" s="55"/>
      <c r="N146" s="71"/>
      <c r="O146" s="72" t="s">
        <v>52</v>
      </c>
      <c r="P146" s="72"/>
      <c r="Q146" s="72"/>
      <c r="R146" s="72" t="str">
        <f t="shared" si="26"/>
        <v/>
      </c>
      <c r="S146" s="63"/>
      <c r="T146" s="72" t="s">
        <v>52</v>
      </c>
      <c r="U146" s="105"/>
      <c r="V146" s="74"/>
      <c r="W146" s="105" t="str">
        <f t="shared" si="27"/>
        <v/>
      </c>
      <c r="X146" s="74"/>
      <c r="Y146" s="105" t="str">
        <f t="shared" si="28"/>
        <v/>
      </c>
      <c r="Z146" s="76"/>
    </row>
    <row r="147" spans="1:27" s="29" customFormat="1" ht="21" customHeight="1" x14ac:dyDescent="0.2">
      <c r="A147" s="30"/>
      <c r="B147" s="56" t="s">
        <v>69</v>
      </c>
      <c r="C147" s="39">
        <f>IF($J$1="January",R139,IF($J$1="February",R140,IF($J$1="March",R141,IF($J$1="April",R142,IF($J$1="May",R143,IF($J$1="June",R144,IF($J$1="July",R145,IF($J$1="August",R146,IF($J$1="August",R146,IF($J$1="September",R147,IF($J$1="October",R148,IF($J$1="November",R149,IF($J$1="December",R150)))))))))))))</f>
        <v>12</v>
      </c>
      <c r="F147" s="48" t="s">
        <v>68</v>
      </c>
      <c r="G147" s="109">
        <f>IF($J$1="January",Y139,IF($J$1="February",Y140,IF($J$1="March",Y141,IF($J$1="April",Y142,IF($J$1="May",Y143,IF($J$1="June",Y144,IF($J$1="July",Y145,IF($J$1="August",Y146,IF($J$1="August",Y146,IF($J$1="September",Y147,IF($J$1="October",Y148,IF($J$1="November",Y149,IF($J$1="December",Y150)))))))))))))</f>
        <v>67500</v>
      </c>
      <c r="I147" s="394" t="s">
        <v>64</v>
      </c>
      <c r="J147" s="396"/>
      <c r="K147" s="57">
        <f>K145-K146</f>
        <v>38000</v>
      </c>
      <c r="L147" s="58"/>
      <c r="N147" s="71"/>
      <c r="O147" s="72" t="s">
        <v>57</v>
      </c>
      <c r="P147" s="72"/>
      <c r="Q147" s="72"/>
      <c r="R147" s="72" t="str">
        <f t="shared" si="26"/>
        <v/>
      </c>
      <c r="S147" s="63"/>
      <c r="T147" s="72" t="s">
        <v>57</v>
      </c>
      <c r="U147" s="105"/>
      <c r="V147" s="74"/>
      <c r="W147" s="105" t="str">
        <f t="shared" si="27"/>
        <v/>
      </c>
      <c r="X147" s="74"/>
      <c r="Y147" s="105" t="str">
        <f t="shared" si="28"/>
        <v/>
      </c>
      <c r="Z147" s="76"/>
    </row>
    <row r="148" spans="1:27" s="29" customFormat="1" ht="21" customHeight="1" x14ac:dyDescent="0.2">
      <c r="A148" s="30"/>
      <c r="J148" s="47"/>
      <c r="K148" s="107"/>
      <c r="L148" s="46"/>
      <c r="N148" s="71"/>
      <c r="O148" s="72" t="s">
        <v>53</v>
      </c>
      <c r="P148" s="72"/>
      <c r="Q148" s="72"/>
      <c r="R148" s="72" t="str">
        <f t="shared" si="26"/>
        <v/>
      </c>
      <c r="S148" s="63"/>
      <c r="T148" s="72" t="s">
        <v>53</v>
      </c>
      <c r="U148" s="105"/>
      <c r="V148" s="74"/>
      <c r="W148" s="105" t="str">
        <f t="shared" si="27"/>
        <v/>
      </c>
      <c r="X148" s="74"/>
      <c r="Y148" s="105" t="str">
        <f t="shared" si="28"/>
        <v/>
      </c>
      <c r="Z148" s="76"/>
    </row>
    <row r="149" spans="1:27" s="29" customFormat="1" ht="21" customHeight="1" x14ac:dyDescent="0.2">
      <c r="A149" s="30"/>
      <c r="B149" s="407" t="s">
        <v>87</v>
      </c>
      <c r="C149" s="407"/>
      <c r="D149" s="407"/>
      <c r="E149" s="407"/>
      <c r="F149" s="407"/>
      <c r="G149" s="407"/>
      <c r="H149" s="407"/>
      <c r="I149" s="407"/>
      <c r="J149" s="407"/>
      <c r="K149" s="407"/>
      <c r="L149" s="46"/>
      <c r="N149" s="71"/>
      <c r="O149" s="72" t="s">
        <v>58</v>
      </c>
      <c r="P149" s="72"/>
      <c r="Q149" s="72"/>
      <c r="R149" s="72" t="str">
        <f t="shared" si="26"/>
        <v/>
      </c>
      <c r="S149" s="63"/>
      <c r="T149" s="72" t="s">
        <v>58</v>
      </c>
      <c r="U149" s="105"/>
      <c r="V149" s="74"/>
      <c r="W149" s="105" t="str">
        <f t="shared" si="27"/>
        <v/>
      </c>
      <c r="X149" s="74"/>
      <c r="Y149" s="105" t="str">
        <f t="shared" si="28"/>
        <v/>
      </c>
      <c r="Z149" s="76"/>
    </row>
    <row r="150" spans="1:27" s="29" customFormat="1" ht="21" customHeight="1" x14ac:dyDescent="0.2">
      <c r="A150" s="30"/>
      <c r="B150" s="407"/>
      <c r="C150" s="407"/>
      <c r="D150" s="407"/>
      <c r="E150" s="407"/>
      <c r="F150" s="407"/>
      <c r="G150" s="407"/>
      <c r="H150" s="407"/>
      <c r="I150" s="407"/>
      <c r="J150" s="407"/>
      <c r="K150" s="407"/>
      <c r="L150" s="46"/>
      <c r="N150" s="71"/>
      <c r="O150" s="72" t="s">
        <v>59</v>
      </c>
      <c r="P150" s="72"/>
      <c r="Q150" s="72"/>
      <c r="R150" s="72" t="str">
        <f t="shared" si="26"/>
        <v/>
      </c>
      <c r="S150" s="63"/>
      <c r="T150" s="72" t="s">
        <v>59</v>
      </c>
      <c r="U150" s="105"/>
      <c r="V150" s="74"/>
      <c r="W150" s="105" t="str">
        <f t="shared" si="27"/>
        <v/>
      </c>
      <c r="X150" s="74"/>
      <c r="Y150" s="105" t="str">
        <f t="shared" si="28"/>
        <v/>
      </c>
      <c r="Z150" s="76"/>
    </row>
    <row r="151" spans="1:27" s="29" customFormat="1" ht="21" customHeight="1" thickBot="1" x14ac:dyDescent="0.25">
      <c r="A151" s="59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1"/>
      <c r="N151" s="77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9"/>
    </row>
    <row r="152" spans="1:27" s="29" customFormat="1" ht="21" customHeight="1" thickBot="1" x14ac:dyDescent="0.25"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 spans="1:27" s="29" customFormat="1" ht="21" customHeight="1" x14ac:dyDescent="0.2">
      <c r="A153" s="411" t="s">
        <v>41</v>
      </c>
      <c r="B153" s="412"/>
      <c r="C153" s="412"/>
      <c r="D153" s="412"/>
      <c r="E153" s="412"/>
      <c r="F153" s="412"/>
      <c r="G153" s="412"/>
      <c r="H153" s="412"/>
      <c r="I153" s="412"/>
      <c r="J153" s="412"/>
      <c r="K153" s="412"/>
      <c r="L153" s="413"/>
      <c r="M153" s="28"/>
      <c r="N153" s="64"/>
      <c r="O153" s="408" t="s">
        <v>43</v>
      </c>
      <c r="P153" s="409"/>
      <c r="Q153" s="409"/>
      <c r="R153" s="410"/>
      <c r="S153" s="65"/>
      <c r="T153" s="408" t="s">
        <v>44</v>
      </c>
      <c r="U153" s="409"/>
      <c r="V153" s="409"/>
      <c r="W153" s="409"/>
      <c r="X153" s="409"/>
      <c r="Y153" s="410"/>
      <c r="Z153" s="66"/>
      <c r="AA153" s="28"/>
    </row>
    <row r="154" spans="1:27" s="29" customFormat="1" ht="21" customHeight="1" x14ac:dyDescent="0.2">
      <c r="A154" s="30"/>
      <c r="C154" s="398" t="s">
        <v>85</v>
      </c>
      <c r="D154" s="398"/>
      <c r="E154" s="398"/>
      <c r="F154" s="398"/>
      <c r="G154" s="31" t="str">
        <f>$J$1</f>
        <v>April</v>
      </c>
      <c r="H154" s="397">
        <f>$K$1</f>
        <v>2023</v>
      </c>
      <c r="I154" s="397"/>
      <c r="K154" s="32"/>
      <c r="L154" s="33"/>
      <c r="M154" s="32"/>
      <c r="N154" s="67"/>
      <c r="O154" s="68" t="s">
        <v>54</v>
      </c>
      <c r="P154" s="68" t="s">
        <v>7</v>
      </c>
      <c r="Q154" s="68" t="s">
        <v>6</v>
      </c>
      <c r="R154" s="68" t="s">
        <v>55</v>
      </c>
      <c r="S154" s="69"/>
      <c r="T154" s="68" t="s">
        <v>54</v>
      </c>
      <c r="U154" s="68" t="s">
        <v>56</v>
      </c>
      <c r="V154" s="68" t="s">
        <v>21</v>
      </c>
      <c r="W154" s="68" t="s">
        <v>20</v>
      </c>
      <c r="X154" s="68" t="s">
        <v>22</v>
      </c>
      <c r="Y154" s="68" t="s">
        <v>60</v>
      </c>
      <c r="Z154" s="70"/>
      <c r="AA154" s="32"/>
    </row>
    <row r="155" spans="1:27" s="29" customFormat="1" ht="21" customHeight="1" x14ac:dyDescent="0.2">
      <c r="A155" s="30"/>
      <c r="D155" s="35"/>
      <c r="E155" s="35"/>
      <c r="F155" s="35"/>
      <c r="G155" s="35"/>
      <c r="H155" s="35"/>
      <c r="J155" s="36" t="s">
        <v>1</v>
      </c>
      <c r="K155" s="37">
        <v>35000</v>
      </c>
      <c r="L155" s="38"/>
      <c r="N155" s="71"/>
      <c r="O155" s="72" t="s">
        <v>46</v>
      </c>
      <c r="P155" s="72">
        <v>29</v>
      </c>
      <c r="Q155" s="72">
        <v>2</v>
      </c>
      <c r="R155" s="72">
        <f>15-Q155</f>
        <v>13</v>
      </c>
      <c r="S155" s="73"/>
      <c r="T155" s="72" t="s">
        <v>46</v>
      </c>
      <c r="U155" s="74"/>
      <c r="V155" s="74"/>
      <c r="W155" s="74">
        <f>V155+U155</f>
        <v>0</v>
      </c>
      <c r="X155" s="74"/>
      <c r="Y155" s="74">
        <f>W155-X155</f>
        <v>0</v>
      </c>
      <c r="Z155" s="70"/>
    </row>
    <row r="156" spans="1:27" s="29" customFormat="1" ht="21" customHeight="1" x14ac:dyDescent="0.2">
      <c r="A156" s="30"/>
      <c r="B156" s="29" t="s">
        <v>0</v>
      </c>
      <c r="C156" s="40" t="s">
        <v>79</v>
      </c>
      <c r="H156" s="41"/>
      <c r="I156" s="35"/>
      <c r="L156" s="42"/>
      <c r="M156" s="28"/>
      <c r="N156" s="75"/>
      <c r="O156" s="72" t="s">
        <v>72</v>
      </c>
      <c r="P156" s="72">
        <v>28</v>
      </c>
      <c r="Q156" s="72">
        <v>0</v>
      </c>
      <c r="R156" s="72">
        <f t="shared" ref="R156:R166" si="29">IF(Q156="","",R155-Q156)</f>
        <v>13</v>
      </c>
      <c r="S156" s="63"/>
      <c r="T156" s="72" t="s">
        <v>72</v>
      </c>
      <c r="U156" s="105">
        <f t="shared" ref="U156:U161" si="30">Y155</f>
        <v>0</v>
      </c>
      <c r="V156" s="74"/>
      <c r="W156" s="105">
        <f>IF(U156="","",U156+V156)</f>
        <v>0</v>
      </c>
      <c r="X156" s="74"/>
      <c r="Y156" s="105">
        <f>IF(W156="","",W156-X156)</f>
        <v>0</v>
      </c>
      <c r="Z156" s="76"/>
      <c r="AA156" s="28"/>
    </row>
    <row r="157" spans="1:27" s="29" customFormat="1" ht="21" customHeight="1" x14ac:dyDescent="0.2">
      <c r="A157" s="30"/>
      <c r="B157" s="44" t="s">
        <v>42</v>
      </c>
      <c r="C157" s="45"/>
      <c r="F157" s="414" t="s">
        <v>44</v>
      </c>
      <c r="G157" s="414"/>
      <c r="I157" s="414" t="s">
        <v>45</v>
      </c>
      <c r="J157" s="414"/>
      <c r="K157" s="414"/>
      <c r="L157" s="46"/>
      <c r="N157" s="71"/>
      <c r="O157" s="72" t="s">
        <v>47</v>
      </c>
      <c r="P157" s="72">
        <v>31</v>
      </c>
      <c r="Q157" s="72">
        <v>0</v>
      </c>
      <c r="R157" s="72">
        <f t="shared" si="29"/>
        <v>13</v>
      </c>
      <c r="S157" s="63"/>
      <c r="T157" s="72" t="s">
        <v>47</v>
      </c>
      <c r="U157" s="105">
        <f t="shared" si="30"/>
        <v>0</v>
      </c>
      <c r="V157" s="74"/>
      <c r="W157" s="105">
        <f t="shared" ref="W157:W166" si="31">IF(U157="","",U157+V157)</f>
        <v>0</v>
      </c>
      <c r="X157" s="74"/>
      <c r="Y157" s="105">
        <f t="shared" ref="Y157:Y166" si="32">IF(W157="","",W157-X157)</f>
        <v>0</v>
      </c>
      <c r="Z157" s="76"/>
    </row>
    <row r="158" spans="1:27" s="29" customFormat="1" ht="21" customHeight="1" x14ac:dyDescent="0.2">
      <c r="A158" s="30"/>
      <c r="H158" s="47"/>
      <c r="L158" s="34"/>
      <c r="N158" s="71"/>
      <c r="O158" s="72" t="s">
        <v>48</v>
      </c>
      <c r="P158" s="72">
        <v>30</v>
      </c>
      <c r="Q158" s="72">
        <v>0</v>
      </c>
      <c r="R158" s="72">
        <f t="shared" si="29"/>
        <v>13</v>
      </c>
      <c r="S158" s="63"/>
      <c r="T158" s="72" t="s">
        <v>48</v>
      </c>
      <c r="U158" s="105">
        <f t="shared" si="30"/>
        <v>0</v>
      </c>
      <c r="V158" s="74"/>
      <c r="W158" s="105">
        <f t="shared" si="31"/>
        <v>0</v>
      </c>
      <c r="X158" s="74"/>
      <c r="Y158" s="105">
        <f t="shared" si="32"/>
        <v>0</v>
      </c>
      <c r="Z158" s="76"/>
    </row>
    <row r="159" spans="1:27" s="29" customFormat="1" ht="21" customHeight="1" x14ac:dyDescent="0.2">
      <c r="A159" s="30"/>
      <c r="B159" s="392" t="s">
        <v>43</v>
      </c>
      <c r="C159" s="393"/>
      <c r="F159" s="48" t="s">
        <v>65</v>
      </c>
      <c r="G159" s="43">
        <f>IF($J$1="January",U155,IF($J$1="February",U156,IF($J$1="March",U157,IF($J$1="April",U158,IF($J$1="May",U159,IF($J$1="June",U160,IF($J$1="July",U161,IF($J$1="August",U162,IF($J$1="August",U162,IF($J$1="September",U163,IF($J$1="October",U164,IF($J$1="November",U165,IF($J$1="December",U166)))))))))))))</f>
        <v>0</v>
      </c>
      <c r="H159" s="47"/>
      <c r="I159" s="49">
        <f>IF(C163&gt;0,$K$2,C161)</f>
        <v>30</v>
      </c>
      <c r="J159" s="50" t="s">
        <v>62</v>
      </c>
      <c r="K159" s="51">
        <f>K155/$K$2*I159</f>
        <v>35000</v>
      </c>
      <c r="L159" s="52"/>
      <c r="N159" s="71"/>
      <c r="O159" s="72" t="s">
        <v>49</v>
      </c>
      <c r="P159" s="72"/>
      <c r="Q159" s="72"/>
      <c r="R159" s="72" t="str">
        <f t="shared" si="29"/>
        <v/>
      </c>
      <c r="S159" s="63"/>
      <c r="T159" s="72" t="s">
        <v>49</v>
      </c>
      <c r="U159" s="105">
        <f t="shared" si="30"/>
        <v>0</v>
      </c>
      <c r="V159" s="74"/>
      <c r="W159" s="105">
        <f t="shared" si="31"/>
        <v>0</v>
      </c>
      <c r="X159" s="74"/>
      <c r="Y159" s="105">
        <f t="shared" si="32"/>
        <v>0</v>
      </c>
      <c r="Z159" s="76"/>
    </row>
    <row r="160" spans="1:27" s="29" customFormat="1" ht="21" customHeight="1" x14ac:dyDescent="0.2">
      <c r="A160" s="30"/>
      <c r="B160" s="39"/>
      <c r="C160" s="39"/>
      <c r="F160" s="48" t="s">
        <v>21</v>
      </c>
      <c r="G160" s="43">
        <f>IF($J$1="January",V155,IF($J$1="February",V156,IF($J$1="March",V157,IF($J$1="April",V158,IF($J$1="May",V159,IF($J$1="June",V160,IF($J$1="July",V161,IF($J$1="August",V162,IF($J$1="August",V162,IF($J$1="September",V163,IF($J$1="October",V164,IF($J$1="November",V165,IF($J$1="December",V166)))))))))))))</f>
        <v>0</v>
      </c>
      <c r="H160" s="47"/>
      <c r="I160" s="103"/>
      <c r="J160" s="50" t="s">
        <v>63</v>
      </c>
      <c r="K160" s="53">
        <f>K155/$K$2/8*I160</f>
        <v>0</v>
      </c>
      <c r="L160" s="54"/>
      <c r="N160" s="71"/>
      <c r="O160" s="72" t="s">
        <v>50</v>
      </c>
      <c r="P160" s="72"/>
      <c r="Q160" s="72"/>
      <c r="R160" s="72" t="str">
        <f t="shared" si="29"/>
        <v/>
      </c>
      <c r="S160" s="63"/>
      <c r="T160" s="72" t="s">
        <v>50</v>
      </c>
      <c r="U160" s="105">
        <f t="shared" si="30"/>
        <v>0</v>
      </c>
      <c r="V160" s="74"/>
      <c r="W160" s="105">
        <f t="shared" si="31"/>
        <v>0</v>
      </c>
      <c r="X160" s="74"/>
      <c r="Y160" s="105">
        <f t="shared" si="32"/>
        <v>0</v>
      </c>
      <c r="Z160" s="76"/>
    </row>
    <row r="161" spans="1:27" s="29" customFormat="1" ht="21" customHeight="1" x14ac:dyDescent="0.2">
      <c r="A161" s="30"/>
      <c r="B161" s="48" t="s">
        <v>7</v>
      </c>
      <c r="C161" s="39">
        <f>IF($J$1="January",P155,IF($J$1="February",P156,IF($J$1="March",P157,IF($J$1="April",P158,IF($J$1="May",P159,IF($J$1="June",P160,IF($J$1="July",P161,IF($J$1="August",P162,IF($J$1="August",P162,IF($J$1="September",P163,IF($J$1="October",P164,IF($J$1="November",P165,IF($J$1="December",P166)))))))))))))</f>
        <v>30</v>
      </c>
      <c r="F161" s="48" t="s">
        <v>66</v>
      </c>
      <c r="G161" s="43">
        <f>IF($J$1="January",W155,IF($J$1="February",W156,IF($J$1="March",W157,IF($J$1="April",W158,IF($J$1="May",W159,IF($J$1="June",W160,IF($J$1="July",W161,IF($J$1="August",W162,IF($J$1="August",W162,IF($J$1="September",W163,IF($J$1="October",W164,IF($J$1="November",W165,IF($J$1="December",W166)))))))))))))</f>
        <v>0</v>
      </c>
      <c r="H161" s="47"/>
      <c r="I161" s="405" t="s">
        <v>70</v>
      </c>
      <c r="J161" s="406"/>
      <c r="K161" s="53">
        <f>K159+K160</f>
        <v>35000</v>
      </c>
      <c r="L161" s="54"/>
      <c r="N161" s="71"/>
      <c r="O161" s="72" t="s">
        <v>51</v>
      </c>
      <c r="P161" s="72"/>
      <c r="Q161" s="72"/>
      <c r="R161" s="72" t="str">
        <f t="shared" si="29"/>
        <v/>
      </c>
      <c r="S161" s="63"/>
      <c r="T161" s="72" t="s">
        <v>51</v>
      </c>
      <c r="U161" s="105">
        <f t="shared" si="30"/>
        <v>0</v>
      </c>
      <c r="V161" s="74"/>
      <c r="W161" s="105">
        <f t="shared" si="31"/>
        <v>0</v>
      </c>
      <c r="X161" s="74"/>
      <c r="Y161" s="105">
        <f t="shared" si="32"/>
        <v>0</v>
      </c>
      <c r="Z161" s="76"/>
    </row>
    <row r="162" spans="1:27" s="29" customFormat="1" ht="21" customHeight="1" x14ac:dyDescent="0.2">
      <c r="A162" s="30"/>
      <c r="B162" s="48" t="s">
        <v>6</v>
      </c>
      <c r="C162" s="39">
        <f>IF($J$1="January",Q155,IF($J$1="February",Q156,IF($J$1="March",Q157,IF($J$1="April",Q158,IF($J$1="May",Q159,IF($J$1="June",Q160,IF($J$1="July",Q161,IF($J$1="August",Q162,IF($J$1="August",Q162,IF($J$1="September",Q163,IF($J$1="October",Q164,IF($J$1="November",Q165,IF($J$1="December",Q166)))))))))))))</f>
        <v>0</v>
      </c>
      <c r="F162" s="48" t="s">
        <v>22</v>
      </c>
      <c r="G162" s="43">
        <f>IF($J$1="January",X155,IF($J$1="February",X156,IF($J$1="March",X157,IF($J$1="April",X158,IF($J$1="May",X159,IF($J$1="June",X160,IF($J$1="July",X161,IF($J$1="August",X162,IF($J$1="August",X162,IF($J$1="September",X163,IF($J$1="October",X164,IF($J$1="November",X165,IF($J$1="December",X166)))))))))))))</f>
        <v>0</v>
      </c>
      <c r="H162" s="47"/>
      <c r="I162" s="405" t="s">
        <v>71</v>
      </c>
      <c r="J162" s="406"/>
      <c r="K162" s="43">
        <f>G162</f>
        <v>0</v>
      </c>
      <c r="L162" s="55"/>
      <c r="N162" s="71"/>
      <c r="O162" s="72" t="s">
        <v>52</v>
      </c>
      <c r="P162" s="72"/>
      <c r="Q162" s="72"/>
      <c r="R162" s="72" t="str">
        <f t="shared" si="29"/>
        <v/>
      </c>
      <c r="S162" s="63"/>
      <c r="T162" s="72" t="s">
        <v>52</v>
      </c>
      <c r="U162" s="105">
        <f>Y161</f>
        <v>0</v>
      </c>
      <c r="V162" s="74"/>
      <c r="W162" s="105">
        <f t="shared" si="31"/>
        <v>0</v>
      </c>
      <c r="X162" s="74"/>
      <c r="Y162" s="105">
        <f t="shared" si="32"/>
        <v>0</v>
      </c>
      <c r="Z162" s="76"/>
    </row>
    <row r="163" spans="1:27" s="29" customFormat="1" ht="21" customHeight="1" x14ac:dyDescent="0.2">
      <c r="A163" s="30"/>
      <c r="B163" s="56" t="s">
        <v>69</v>
      </c>
      <c r="C163" s="39">
        <f>IF($J$1="January",R155,IF($J$1="February",R156,IF($J$1="March",R157,IF($J$1="April",R158,IF($J$1="May",R159,IF($J$1="June",R160,IF($J$1="July",R161,IF($J$1="August",R162,IF($J$1="August",R162,IF($J$1="September",R163,IF($J$1="October",R164,IF($J$1="November",R165,IF($J$1="December",R166)))))))))))))</f>
        <v>13</v>
      </c>
      <c r="F163" s="48" t="s">
        <v>68</v>
      </c>
      <c r="G163" s="43">
        <f>IF($J$1="January",Y155,IF($J$1="February",Y156,IF($J$1="March",Y157,IF($J$1="April",Y158,IF($J$1="May",Y159,IF($J$1="June",Y160,IF($J$1="July",Y161,IF($J$1="August",Y162,IF($J$1="August",Y162,IF($J$1="September",Y163,IF($J$1="October",Y164,IF($J$1="November",Y165,IF($J$1="December",Y166)))))))))))))</f>
        <v>0</v>
      </c>
      <c r="I163" s="394" t="s">
        <v>64</v>
      </c>
      <c r="J163" s="396"/>
      <c r="K163" s="57">
        <f>K161-K162</f>
        <v>35000</v>
      </c>
      <c r="L163" s="58"/>
      <c r="N163" s="71"/>
      <c r="O163" s="72" t="s">
        <v>57</v>
      </c>
      <c r="P163" s="72"/>
      <c r="Q163" s="72"/>
      <c r="R163" s="72" t="str">
        <f t="shared" si="29"/>
        <v/>
      </c>
      <c r="S163" s="63"/>
      <c r="T163" s="72" t="s">
        <v>57</v>
      </c>
      <c r="U163" s="105">
        <f>Y162</f>
        <v>0</v>
      </c>
      <c r="V163" s="74"/>
      <c r="W163" s="105">
        <f t="shared" si="31"/>
        <v>0</v>
      </c>
      <c r="X163" s="74"/>
      <c r="Y163" s="105">
        <f t="shared" si="32"/>
        <v>0</v>
      </c>
      <c r="Z163" s="76"/>
    </row>
    <row r="164" spans="1:27" s="29" customFormat="1" ht="21" customHeight="1" x14ac:dyDescent="0.2">
      <c r="A164" s="30"/>
      <c r="K164" s="107"/>
      <c r="L164" s="46"/>
      <c r="N164" s="71"/>
      <c r="O164" s="72" t="s">
        <v>53</v>
      </c>
      <c r="P164" s="72"/>
      <c r="Q164" s="72"/>
      <c r="R164" s="72" t="str">
        <f t="shared" si="29"/>
        <v/>
      </c>
      <c r="S164" s="63"/>
      <c r="T164" s="72" t="s">
        <v>53</v>
      </c>
      <c r="U164" s="105">
        <f>Y163</f>
        <v>0</v>
      </c>
      <c r="V164" s="74"/>
      <c r="W164" s="105">
        <f t="shared" si="31"/>
        <v>0</v>
      </c>
      <c r="X164" s="74"/>
      <c r="Y164" s="105">
        <f t="shared" si="32"/>
        <v>0</v>
      </c>
      <c r="Z164" s="76"/>
    </row>
    <row r="165" spans="1:27" s="29" customFormat="1" ht="21" customHeight="1" x14ac:dyDescent="0.2">
      <c r="A165" s="30"/>
      <c r="B165" s="407" t="s">
        <v>87</v>
      </c>
      <c r="C165" s="407"/>
      <c r="D165" s="407"/>
      <c r="E165" s="407"/>
      <c r="F165" s="407"/>
      <c r="G165" s="407"/>
      <c r="H165" s="407"/>
      <c r="I165" s="407"/>
      <c r="J165" s="407"/>
      <c r="K165" s="407"/>
      <c r="L165" s="46"/>
      <c r="N165" s="71"/>
      <c r="O165" s="72" t="s">
        <v>58</v>
      </c>
      <c r="P165" s="72"/>
      <c r="Q165" s="72"/>
      <c r="R165" s="72" t="str">
        <f t="shared" si="29"/>
        <v/>
      </c>
      <c r="S165" s="63"/>
      <c r="T165" s="72" t="s">
        <v>58</v>
      </c>
      <c r="U165" s="105">
        <f>Y164</f>
        <v>0</v>
      </c>
      <c r="V165" s="74"/>
      <c r="W165" s="105">
        <f t="shared" si="31"/>
        <v>0</v>
      </c>
      <c r="X165" s="74"/>
      <c r="Y165" s="105">
        <f t="shared" si="32"/>
        <v>0</v>
      </c>
      <c r="Z165" s="76"/>
    </row>
    <row r="166" spans="1:27" s="29" customFormat="1" ht="21" customHeight="1" x14ac:dyDescent="0.2">
      <c r="A166" s="30"/>
      <c r="B166" s="407"/>
      <c r="C166" s="407"/>
      <c r="D166" s="407"/>
      <c r="E166" s="407"/>
      <c r="F166" s="407"/>
      <c r="G166" s="407"/>
      <c r="H166" s="407"/>
      <c r="I166" s="407"/>
      <c r="J166" s="407"/>
      <c r="K166" s="407"/>
      <c r="L166" s="46"/>
      <c r="N166" s="71"/>
      <c r="O166" s="72" t="s">
        <v>59</v>
      </c>
      <c r="P166" s="72"/>
      <c r="Q166" s="72"/>
      <c r="R166" s="72" t="str">
        <f t="shared" si="29"/>
        <v/>
      </c>
      <c r="S166" s="63"/>
      <c r="T166" s="72" t="s">
        <v>59</v>
      </c>
      <c r="U166" s="105">
        <f>Y165</f>
        <v>0</v>
      </c>
      <c r="V166" s="74"/>
      <c r="W166" s="105">
        <f t="shared" si="31"/>
        <v>0</v>
      </c>
      <c r="X166" s="74"/>
      <c r="Y166" s="105">
        <f t="shared" si="32"/>
        <v>0</v>
      </c>
      <c r="Z166" s="76"/>
    </row>
    <row r="167" spans="1:27" s="29" customFormat="1" ht="21" customHeight="1" thickBot="1" x14ac:dyDescent="0.25">
      <c r="A167" s="59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1"/>
      <c r="N167" s="77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9"/>
    </row>
    <row r="168" spans="1:27" ht="15.75" thickBot="1" x14ac:dyDescent="0.3"/>
    <row r="169" spans="1:27" s="29" customFormat="1" ht="21" customHeight="1" x14ac:dyDescent="0.2">
      <c r="A169" s="411" t="s">
        <v>41</v>
      </c>
      <c r="B169" s="412"/>
      <c r="C169" s="412"/>
      <c r="D169" s="412"/>
      <c r="E169" s="412"/>
      <c r="F169" s="412"/>
      <c r="G169" s="412"/>
      <c r="H169" s="412"/>
      <c r="I169" s="412"/>
      <c r="J169" s="412"/>
      <c r="K169" s="412"/>
      <c r="L169" s="413"/>
      <c r="M169" s="28"/>
      <c r="N169" s="64"/>
      <c r="O169" s="408" t="s">
        <v>43</v>
      </c>
      <c r="P169" s="409"/>
      <c r="Q169" s="409"/>
      <c r="R169" s="410"/>
      <c r="S169" s="65"/>
      <c r="T169" s="408" t="s">
        <v>44</v>
      </c>
      <c r="U169" s="409"/>
      <c r="V169" s="409"/>
      <c r="W169" s="409"/>
      <c r="X169" s="409"/>
      <c r="Y169" s="410"/>
      <c r="Z169" s="66"/>
      <c r="AA169" s="28"/>
    </row>
    <row r="170" spans="1:27" s="29" customFormat="1" ht="21" customHeight="1" x14ac:dyDescent="0.2">
      <c r="A170" s="30"/>
      <c r="C170" s="398" t="s">
        <v>85</v>
      </c>
      <c r="D170" s="398"/>
      <c r="E170" s="398"/>
      <c r="F170" s="398"/>
      <c r="G170" s="31" t="str">
        <f>$J$1</f>
        <v>April</v>
      </c>
      <c r="H170" s="397">
        <f>$K$1</f>
        <v>2023</v>
      </c>
      <c r="I170" s="397"/>
      <c r="K170" s="32"/>
      <c r="L170" s="33"/>
      <c r="M170" s="32"/>
      <c r="N170" s="67"/>
      <c r="O170" s="68" t="s">
        <v>54</v>
      </c>
      <c r="P170" s="68" t="s">
        <v>7</v>
      </c>
      <c r="Q170" s="68" t="s">
        <v>6</v>
      </c>
      <c r="R170" s="68" t="s">
        <v>55</v>
      </c>
      <c r="S170" s="69"/>
      <c r="T170" s="68" t="s">
        <v>54</v>
      </c>
      <c r="U170" s="68" t="s">
        <v>56</v>
      </c>
      <c r="V170" s="68" t="s">
        <v>21</v>
      </c>
      <c r="W170" s="68" t="s">
        <v>20</v>
      </c>
      <c r="X170" s="68" t="s">
        <v>22</v>
      </c>
      <c r="Y170" s="68" t="s">
        <v>60</v>
      </c>
      <c r="Z170" s="70"/>
      <c r="AA170" s="32"/>
    </row>
    <row r="171" spans="1:27" s="29" customFormat="1" ht="21" customHeight="1" x14ac:dyDescent="0.2">
      <c r="A171" s="30"/>
      <c r="D171" s="35"/>
      <c r="E171" s="35"/>
      <c r="F171" s="35"/>
      <c r="G171" s="35"/>
      <c r="H171" s="35"/>
      <c r="J171" s="36" t="s">
        <v>1</v>
      </c>
      <c r="K171" s="37">
        <v>30000</v>
      </c>
      <c r="L171" s="38"/>
      <c r="N171" s="71"/>
      <c r="O171" s="72" t="s">
        <v>46</v>
      </c>
      <c r="P171" s="72">
        <v>31</v>
      </c>
      <c r="Q171" s="72">
        <v>0</v>
      </c>
      <c r="R171" s="72">
        <f>15-Q171+8</f>
        <v>23</v>
      </c>
      <c r="S171" s="73"/>
      <c r="T171" s="72" t="s">
        <v>46</v>
      </c>
      <c r="U171" s="74">
        <v>68167</v>
      </c>
      <c r="V171" s="74">
        <v>700</v>
      </c>
      <c r="W171" s="74">
        <f>V171+U171</f>
        <v>68867</v>
      </c>
      <c r="X171" s="74">
        <v>5000</v>
      </c>
      <c r="Y171" s="74">
        <f>W171-X171</f>
        <v>63867</v>
      </c>
      <c r="Z171" s="70"/>
    </row>
    <row r="172" spans="1:27" s="29" customFormat="1" ht="21" customHeight="1" x14ac:dyDescent="0.2">
      <c r="A172" s="30"/>
      <c r="B172" s="29" t="s">
        <v>0</v>
      </c>
      <c r="C172" s="40" t="s">
        <v>24</v>
      </c>
      <c r="H172" s="41"/>
      <c r="I172" s="35"/>
      <c r="L172" s="42"/>
      <c r="M172" s="28"/>
      <c r="N172" s="75"/>
      <c r="O172" s="72" t="s">
        <v>72</v>
      </c>
      <c r="P172" s="72">
        <v>25</v>
      </c>
      <c r="Q172" s="72">
        <v>3</v>
      </c>
      <c r="R172" s="72">
        <f t="shared" ref="R172:R182" si="33">IF(Q172="","",R171-Q172)</f>
        <v>20</v>
      </c>
      <c r="S172" s="63"/>
      <c r="T172" s="72" t="s">
        <v>72</v>
      </c>
      <c r="U172" s="105">
        <f>Y171</f>
        <v>63867</v>
      </c>
      <c r="V172" s="74">
        <v>3000</v>
      </c>
      <c r="W172" s="105">
        <f>IF(U172="","",U172+V172)</f>
        <v>66867</v>
      </c>
      <c r="X172" s="74">
        <v>7000</v>
      </c>
      <c r="Y172" s="105">
        <f>IF(W172="","",W172-X172)</f>
        <v>59867</v>
      </c>
      <c r="Z172" s="76"/>
      <c r="AA172" s="28"/>
    </row>
    <row r="173" spans="1:27" s="29" customFormat="1" ht="21" customHeight="1" x14ac:dyDescent="0.2">
      <c r="A173" s="30"/>
      <c r="B173" s="44" t="s">
        <v>42</v>
      </c>
      <c r="C173" s="45"/>
      <c r="F173" s="414" t="s">
        <v>44</v>
      </c>
      <c r="G173" s="414"/>
      <c r="I173" s="414" t="s">
        <v>45</v>
      </c>
      <c r="J173" s="414"/>
      <c r="K173" s="414"/>
      <c r="L173" s="46"/>
      <c r="N173" s="71"/>
      <c r="O173" s="72" t="s">
        <v>47</v>
      </c>
      <c r="P173" s="72">
        <v>28</v>
      </c>
      <c r="Q173" s="72">
        <v>3</v>
      </c>
      <c r="R173" s="72">
        <f t="shared" si="33"/>
        <v>17</v>
      </c>
      <c r="S173" s="63"/>
      <c r="T173" s="72" t="s">
        <v>47</v>
      </c>
      <c r="U173" s="105">
        <f>Y172</f>
        <v>59867</v>
      </c>
      <c r="V173" s="74">
        <v>10000</v>
      </c>
      <c r="W173" s="105">
        <f t="shared" ref="W173:W182" si="34">IF(U173="","",U173+V173)</f>
        <v>69867</v>
      </c>
      <c r="X173" s="74"/>
      <c r="Y173" s="105">
        <f t="shared" ref="Y173:Y182" si="35">IF(W173="","",W173-X173)</f>
        <v>69867</v>
      </c>
      <c r="Z173" s="76"/>
    </row>
    <row r="174" spans="1:27" s="29" customFormat="1" ht="21" customHeight="1" x14ac:dyDescent="0.2">
      <c r="A174" s="30"/>
      <c r="H174" s="47"/>
      <c r="L174" s="34"/>
      <c r="N174" s="71"/>
      <c r="O174" s="72" t="s">
        <v>48</v>
      </c>
      <c r="P174" s="72"/>
      <c r="Q174" s="72"/>
      <c r="R174" s="72" t="str">
        <f t="shared" si="33"/>
        <v/>
      </c>
      <c r="S174" s="63"/>
      <c r="T174" s="72" t="s">
        <v>48</v>
      </c>
      <c r="U174" s="105">
        <f>Y173</f>
        <v>69867</v>
      </c>
      <c r="V174" s="74"/>
      <c r="W174" s="105">
        <f t="shared" si="34"/>
        <v>69867</v>
      </c>
      <c r="X174" s="74"/>
      <c r="Y174" s="105">
        <f t="shared" si="35"/>
        <v>69867</v>
      </c>
      <c r="Z174" s="76"/>
    </row>
    <row r="175" spans="1:27" s="29" customFormat="1" ht="21" customHeight="1" x14ac:dyDescent="0.2">
      <c r="A175" s="30"/>
      <c r="B175" s="392" t="s">
        <v>43</v>
      </c>
      <c r="C175" s="393"/>
      <c r="F175" s="48" t="s">
        <v>65</v>
      </c>
      <c r="G175" s="109">
        <f>IF($J$1="January",U171,IF($J$1="February",U172,IF($J$1="March",U173,IF($J$1="April",U174,IF($J$1="May",U175,IF($J$1="June",U176,IF($J$1="July",U177,IF($J$1="August",U178,IF($J$1="August",U178,IF($J$1="September",U179,IF($J$1="October",U180,IF($J$1="November",U181,IF($J$1="December",U182)))))))))))))</f>
        <v>69867</v>
      </c>
      <c r="H175" s="47"/>
      <c r="I175" s="49">
        <f>IF(C179&gt;0,$K$2,C177)</f>
        <v>30</v>
      </c>
      <c r="J175" s="50" t="s">
        <v>62</v>
      </c>
      <c r="K175" s="51">
        <f>K171/$K$2*I175</f>
        <v>30000</v>
      </c>
      <c r="L175" s="52"/>
      <c r="N175" s="71"/>
      <c r="O175" s="72" t="s">
        <v>49</v>
      </c>
      <c r="P175" s="72"/>
      <c r="Q175" s="72"/>
      <c r="R175" s="72" t="str">
        <f t="shared" si="33"/>
        <v/>
      </c>
      <c r="S175" s="63"/>
      <c r="T175" s="72" t="s">
        <v>49</v>
      </c>
      <c r="U175" s="105">
        <v>0</v>
      </c>
      <c r="V175" s="74"/>
      <c r="W175" s="105">
        <f t="shared" si="34"/>
        <v>0</v>
      </c>
      <c r="X175" s="74"/>
      <c r="Y175" s="105">
        <f t="shared" si="35"/>
        <v>0</v>
      </c>
      <c r="Z175" s="76"/>
    </row>
    <row r="176" spans="1:27" s="29" customFormat="1" ht="21" customHeight="1" x14ac:dyDescent="0.2">
      <c r="A176" s="30"/>
      <c r="B176" s="39"/>
      <c r="C176" s="39"/>
      <c r="F176" s="48" t="s">
        <v>21</v>
      </c>
      <c r="G176" s="109">
        <f>IF($J$1="January",V171,IF($J$1="February",V172,IF($J$1="March",V173,IF($J$1="April",V174,IF($J$1="May",V175,IF($J$1="June",V176,IF($J$1="July",V177,IF($J$1="August",V178,IF($J$1="August",V178,IF($J$1="September",V179,IF($J$1="October",V180,IF($J$1="November",V181,IF($J$1="December",V182)))))))))))))</f>
        <v>0</v>
      </c>
      <c r="H176" s="47"/>
      <c r="I176" s="84">
        <v>45</v>
      </c>
      <c r="J176" s="50" t="s">
        <v>63</v>
      </c>
      <c r="K176" s="53">
        <f>K171/$K$2/8*I176</f>
        <v>5625</v>
      </c>
      <c r="L176" s="54"/>
      <c r="N176" s="71"/>
      <c r="O176" s="72" t="s">
        <v>50</v>
      </c>
      <c r="P176" s="72"/>
      <c r="Q176" s="72"/>
      <c r="R176" s="72" t="str">
        <f t="shared" si="33"/>
        <v/>
      </c>
      <c r="S176" s="63"/>
      <c r="T176" s="72" t="s">
        <v>50</v>
      </c>
      <c r="U176" s="105">
        <f t="shared" ref="U176:U177" si="36">Y175</f>
        <v>0</v>
      </c>
      <c r="V176" s="74"/>
      <c r="W176" s="105">
        <f t="shared" si="34"/>
        <v>0</v>
      </c>
      <c r="X176" s="74"/>
      <c r="Y176" s="105">
        <f t="shared" si="35"/>
        <v>0</v>
      </c>
      <c r="Z176" s="76"/>
    </row>
    <row r="177" spans="1:27" s="29" customFormat="1" ht="21" customHeight="1" x14ac:dyDescent="0.2">
      <c r="A177" s="30"/>
      <c r="B177" s="48" t="s">
        <v>7</v>
      </c>
      <c r="C177" s="39">
        <f>IF($J$1="January",P171,IF($J$1="February",P172,IF($J$1="March",P173,IF($J$1="April",P174,IF($J$1="May",P175,IF($J$1="June",P176,IF($J$1="July",P177,IF($J$1="August",P178,IF($J$1="August",P178,IF($J$1="September",P179,IF($J$1="October",P180,IF($J$1="November",P181,IF($J$1="December",P182)))))))))))))</f>
        <v>0</v>
      </c>
      <c r="F177" s="48" t="s">
        <v>66</v>
      </c>
      <c r="G177" s="109">
        <f>IF($J$1="January",W171,IF($J$1="February",W172,IF($J$1="March",W173,IF($J$1="April",W174,IF($J$1="May",W175,IF($J$1="June",W176,IF($J$1="July",W177,IF($J$1="August",W178,IF($J$1="August",W178,IF($J$1="September",W179,IF($J$1="October",W180,IF($J$1="November",W181,IF($J$1="December",W182)))))))))))))</f>
        <v>69867</v>
      </c>
      <c r="H177" s="47"/>
      <c r="I177" s="405" t="s">
        <v>70</v>
      </c>
      <c r="J177" s="406"/>
      <c r="K177" s="53">
        <f>K175+K176</f>
        <v>35625</v>
      </c>
      <c r="L177" s="54"/>
      <c r="N177" s="71"/>
      <c r="O177" s="72" t="s">
        <v>51</v>
      </c>
      <c r="P177" s="72"/>
      <c r="Q177" s="72"/>
      <c r="R177" s="72" t="str">
        <f t="shared" si="33"/>
        <v/>
      </c>
      <c r="S177" s="63"/>
      <c r="T177" s="72" t="s">
        <v>51</v>
      </c>
      <c r="U177" s="105">
        <f t="shared" si="36"/>
        <v>0</v>
      </c>
      <c r="V177" s="74"/>
      <c r="W177" s="105">
        <f t="shared" si="34"/>
        <v>0</v>
      </c>
      <c r="X177" s="74"/>
      <c r="Y177" s="105">
        <f t="shared" si="35"/>
        <v>0</v>
      </c>
      <c r="Z177" s="76"/>
    </row>
    <row r="178" spans="1:27" s="29" customFormat="1" ht="21" customHeight="1" x14ac:dyDescent="0.2">
      <c r="A178" s="30"/>
      <c r="B178" s="48" t="s">
        <v>6</v>
      </c>
      <c r="C178" s="39">
        <f>IF($J$1="January",Q171,IF($J$1="February",Q172,IF($J$1="March",Q173,IF($J$1="April",Q174,IF($J$1="May",Q175,IF($J$1="June",Q176,IF($J$1="July",Q177,IF($J$1="August",Q178,IF($J$1="August",Q178,IF($J$1="September",Q179,IF($J$1="October",Q180,IF($J$1="November",Q181,IF($J$1="December",Q182)))))))))))))</f>
        <v>0</v>
      </c>
      <c r="F178" s="48" t="s">
        <v>22</v>
      </c>
      <c r="G178" s="109">
        <f>IF($J$1="January",X171,IF($J$1="February",X172,IF($J$1="March",X173,IF($J$1="April",X174,IF($J$1="May",X175,IF($J$1="June",X176,IF($J$1="July",X177,IF($J$1="August",X178,IF($J$1="August",X178,IF($J$1="September",X179,IF($J$1="October",X180,IF($J$1="November",X181,IF($J$1="December",X182)))))))))))))</f>
        <v>0</v>
      </c>
      <c r="H178" s="47"/>
      <c r="I178" s="405" t="s">
        <v>71</v>
      </c>
      <c r="J178" s="406"/>
      <c r="K178" s="43">
        <f>G178</f>
        <v>0</v>
      </c>
      <c r="L178" s="55"/>
      <c r="N178" s="71"/>
      <c r="O178" s="72" t="s">
        <v>52</v>
      </c>
      <c r="P178" s="72"/>
      <c r="Q178" s="72"/>
      <c r="R178" s="72" t="str">
        <f t="shared" si="33"/>
        <v/>
      </c>
      <c r="S178" s="63"/>
      <c r="T178" s="72" t="s">
        <v>52</v>
      </c>
      <c r="U178" s="105">
        <f>Y177</f>
        <v>0</v>
      </c>
      <c r="V178" s="74"/>
      <c r="W178" s="105">
        <f t="shared" si="34"/>
        <v>0</v>
      </c>
      <c r="X178" s="74"/>
      <c r="Y178" s="105">
        <f t="shared" si="35"/>
        <v>0</v>
      </c>
      <c r="Z178" s="76"/>
    </row>
    <row r="179" spans="1:27" s="29" customFormat="1" ht="21" customHeight="1" x14ac:dyDescent="0.2">
      <c r="A179" s="30"/>
      <c r="B179" s="56" t="s">
        <v>69</v>
      </c>
      <c r="C179" s="39" t="str">
        <f>IF($J$1="January",R171,IF($J$1="February",R172,IF($J$1="March",R173,IF($J$1="April",R174,IF($J$1="May",R175,IF($J$1="June",R176,IF($J$1="July",R177,IF($J$1="August",R178,IF($J$1="August",R178,IF($J$1="September",R179,IF($J$1="October",R180,IF($J$1="November",R181,IF($J$1="December",R182)))))))))))))</f>
        <v/>
      </c>
      <c r="F179" s="48" t="s">
        <v>68</v>
      </c>
      <c r="G179" s="109">
        <f>IF($J$1="January",Y171,IF($J$1="February",Y172,IF($J$1="March",Y173,IF($J$1="April",Y174,IF($J$1="May",Y175,IF($J$1="June",Y176,IF($J$1="July",Y177,IF($J$1="August",Y178,IF($J$1="August",Y178,IF($J$1="September",Y179,IF($J$1="October",Y180,IF($J$1="November",Y181,IF($J$1="December",Y182)))))))))))))</f>
        <v>69867</v>
      </c>
      <c r="I179" s="394" t="s">
        <v>64</v>
      </c>
      <c r="J179" s="396"/>
      <c r="K179" s="57">
        <f>K177-K178</f>
        <v>35625</v>
      </c>
      <c r="L179" s="58"/>
      <c r="N179" s="71"/>
      <c r="O179" s="72" t="s">
        <v>57</v>
      </c>
      <c r="P179" s="72"/>
      <c r="Q179" s="72"/>
      <c r="R179" s="72" t="str">
        <f t="shared" si="33"/>
        <v/>
      </c>
      <c r="S179" s="63"/>
      <c r="T179" s="72" t="s">
        <v>57</v>
      </c>
      <c r="U179" s="105">
        <f>Y178</f>
        <v>0</v>
      </c>
      <c r="V179" s="74"/>
      <c r="W179" s="105">
        <f t="shared" si="34"/>
        <v>0</v>
      </c>
      <c r="X179" s="74"/>
      <c r="Y179" s="105">
        <f t="shared" si="35"/>
        <v>0</v>
      </c>
      <c r="Z179" s="76"/>
    </row>
    <row r="180" spans="1:27" s="29" customFormat="1" ht="21" customHeight="1" x14ac:dyDescent="0.2">
      <c r="A180" s="30"/>
      <c r="L180" s="46"/>
      <c r="N180" s="71"/>
      <c r="O180" s="72" t="s">
        <v>53</v>
      </c>
      <c r="P180" s="72"/>
      <c r="Q180" s="72"/>
      <c r="R180" s="72" t="str">
        <f t="shared" si="33"/>
        <v/>
      </c>
      <c r="S180" s="63"/>
      <c r="T180" s="72" t="s">
        <v>53</v>
      </c>
      <c r="U180" s="105">
        <f>Y179</f>
        <v>0</v>
      </c>
      <c r="V180" s="74"/>
      <c r="W180" s="105">
        <f t="shared" si="34"/>
        <v>0</v>
      </c>
      <c r="X180" s="74"/>
      <c r="Y180" s="105">
        <f t="shared" si="35"/>
        <v>0</v>
      </c>
      <c r="Z180" s="76"/>
    </row>
    <row r="181" spans="1:27" s="29" customFormat="1" ht="21" customHeight="1" x14ac:dyDescent="0.2">
      <c r="A181" s="30"/>
      <c r="B181" s="407" t="s">
        <v>87</v>
      </c>
      <c r="C181" s="407"/>
      <c r="D181" s="407"/>
      <c r="E181" s="407"/>
      <c r="F181" s="407"/>
      <c r="G181" s="407"/>
      <c r="H181" s="407"/>
      <c r="I181" s="407"/>
      <c r="J181" s="407"/>
      <c r="K181" s="407"/>
      <c r="L181" s="46"/>
      <c r="N181" s="71"/>
      <c r="O181" s="72" t="s">
        <v>58</v>
      </c>
      <c r="P181" s="72"/>
      <c r="Q181" s="72"/>
      <c r="R181" s="72" t="str">
        <f t="shared" si="33"/>
        <v/>
      </c>
      <c r="S181" s="63"/>
      <c r="T181" s="72" t="s">
        <v>58</v>
      </c>
      <c r="U181" s="105">
        <f>Y180</f>
        <v>0</v>
      </c>
      <c r="V181" s="74"/>
      <c r="W181" s="105">
        <f t="shared" si="34"/>
        <v>0</v>
      </c>
      <c r="X181" s="74"/>
      <c r="Y181" s="105">
        <f t="shared" si="35"/>
        <v>0</v>
      </c>
      <c r="Z181" s="76"/>
    </row>
    <row r="182" spans="1:27" s="29" customFormat="1" ht="21" customHeight="1" x14ac:dyDescent="0.2">
      <c r="A182" s="30"/>
      <c r="B182" s="407"/>
      <c r="C182" s="407"/>
      <c r="D182" s="407"/>
      <c r="E182" s="407"/>
      <c r="F182" s="407"/>
      <c r="G182" s="407"/>
      <c r="H182" s="407"/>
      <c r="I182" s="407"/>
      <c r="J182" s="407"/>
      <c r="K182" s="407"/>
      <c r="L182" s="46"/>
      <c r="N182" s="71"/>
      <c r="O182" s="72" t="s">
        <v>59</v>
      </c>
      <c r="P182" s="72"/>
      <c r="Q182" s="72"/>
      <c r="R182" s="72" t="str">
        <f t="shared" si="33"/>
        <v/>
      </c>
      <c r="S182" s="63"/>
      <c r="T182" s="72" t="s">
        <v>59</v>
      </c>
      <c r="U182" s="105">
        <f>Y181</f>
        <v>0</v>
      </c>
      <c r="V182" s="74"/>
      <c r="W182" s="105">
        <f t="shared" si="34"/>
        <v>0</v>
      </c>
      <c r="X182" s="74"/>
      <c r="Y182" s="105">
        <f t="shared" si="35"/>
        <v>0</v>
      </c>
      <c r="Z182" s="76"/>
    </row>
    <row r="183" spans="1:27" s="29" customFormat="1" ht="21" customHeight="1" thickBot="1" x14ac:dyDescent="0.25">
      <c r="A183" s="59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1"/>
      <c r="N183" s="77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9"/>
    </row>
    <row r="184" spans="1:27" s="29" customFormat="1" ht="21" customHeight="1" thickBot="1" x14ac:dyDescent="0.25"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 spans="1:27" s="29" customFormat="1" ht="21" customHeight="1" x14ac:dyDescent="0.2">
      <c r="A185" s="415" t="s">
        <v>41</v>
      </c>
      <c r="B185" s="416"/>
      <c r="C185" s="416"/>
      <c r="D185" s="416"/>
      <c r="E185" s="416"/>
      <c r="F185" s="416"/>
      <c r="G185" s="416"/>
      <c r="H185" s="416"/>
      <c r="I185" s="416"/>
      <c r="J185" s="416"/>
      <c r="K185" s="416"/>
      <c r="L185" s="417"/>
      <c r="M185" s="28"/>
      <c r="N185" s="64"/>
      <c r="O185" s="408" t="s">
        <v>43</v>
      </c>
      <c r="P185" s="409"/>
      <c r="Q185" s="409"/>
      <c r="R185" s="410"/>
      <c r="S185" s="65"/>
      <c r="T185" s="408" t="s">
        <v>44</v>
      </c>
      <c r="U185" s="409"/>
      <c r="V185" s="409"/>
      <c r="W185" s="409"/>
      <c r="X185" s="409"/>
      <c r="Y185" s="410"/>
      <c r="Z185" s="66"/>
      <c r="AA185" s="28"/>
    </row>
    <row r="186" spans="1:27" s="29" customFormat="1" ht="21" customHeight="1" x14ac:dyDescent="0.2">
      <c r="A186" s="30"/>
      <c r="C186" s="398" t="s">
        <v>85</v>
      </c>
      <c r="D186" s="398"/>
      <c r="E186" s="398"/>
      <c r="F186" s="398"/>
      <c r="G186" s="31" t="str">
        <f>$J$1</f>
        <v>April</v>
      </c>
      <c r="H186" s="397">
        <f>$K$1</f>
        <v>2023</v>
      </c>
      <c r="I186" s="397"/>
      <c r="K186" s="32"/>
      <c r="L186" s="33"/>
      <c r="M186" s="32"/>
      <c r="N186" s="67"/>
      <c r="O186" s="68" t="s">
        <v>54</v>
      </c>
      <c r="P186" s="68" t="s">
        <v>7</v>
      </c>
      <c r="Q186" s="68" t="s">
        <v>6</v>
      </c>
      <c r="R186" s="68" t="s">
        <v>55</v>
      </c>
      <c r="S186" s="69"/>
      <c r="T186" s="68" t="s">
        <v>54</v>
      </c>
      <c r="U186" s="68" t="s">
        <v>56</v>
      </c>
      <c r="V186" s="68" t="s">
        <v>21</v>
      </c>
      <c r="W186" s="68" t="s">
        <v>20</v>
      </c>
      <c r="X186" s="68" t="s">
        <v>22</v>
      </c>
      <c r="Y186" s="68" t="s">
        <v>60</v>
      </c>
      <c r="Z186" s="70"/>
      <c r="AA186" s="32"/>
    </row>
    <row r="187" spans="1:27" s="29" customFormat="1" ht="21" customHeight="1" x14ac:dyDescent="0.2">
      <c r="A187" s="30"/>
      <c r="D187" s="35"/>
      <c r="E187" s="35"/>
      <c r="F187" s="35"/>
      <c r="G187" s="35"/>
      <c r="H187" s="35"/>
      <c r="J187" s="36" t="s">
        <v>1</v>
      </c>
      <c r="K187" s="37">
        <v>60000</v>
      </c>
      <c r="L187" s="38"/>
      <c r="N187" s="71"/>
      <c r="O187" s="72" t="s">
        <v>46</v>
      </c>
      <c r="P187" s="72">
        <v>30</v>
      </c>
      <c r="Q187" s="72">
        <v>1</v>
      </c>
      <c r="R187" s="72">
        <f>15-Q187+27</f>
        <v>41</v>
      </c>
      <c r="S187" s="73"/>
      <c r="T187" s="72" t="s">
        <v>46</v>
      </c>
      <c r="U187" s="74">
        <v>108200</v>
      </c>
      <c r="V187" s="74"/>
      <c r="W187" s="74">
        <f>V187+U187</f>
        <v>108200</v>
      </c>
      <c r="X187" s="74">
        <v>5000</v>
      </c>
      <c r="Y187" s="74">
        <f>W187-X187</f>
        <v>103200</v>
      </c>
      <c r="Z187" s="70"/>
    </row>
    <row r="188" spans="1:27" s="29" customFormat="1" ht="21" customHeight="1" x14ac:dyDescent="0.2">
      <c r="A188" s="30"/>
      <c r="B188" s="29" t="s">
        <v>0</v>
      </c>
      <c r="C188" s="40" t="s">
        <v>74</v>
      </c>
      <c r="H188" s="41"/>
      <c r="I188" s="35"/>
      <c r="L188" s="42"/>
      <c r="M188" s="28"/>
      <c r="N188" s="75"/>
      <c r="O188" s="72" t="s">
        <v>72</v>
      </c>
      <c r="P188" s="72">
        <v>28</v>
      </c>
      <c r="Q188" s="72">
        <v>0</v>
      </c>
      <c r="R188" s="72">
        <f t="shared" ref="R188:R198" si="37">IF(Q188="","",R187-Q188)</f>
        <v>41</v>
      </c>
      <c r="S188" s="63"/>
      <c r="T188" s="72" t="s">
        <v>72</v>
      </c>
      <c r="U188" s="105">
        <f>Y187</f>
        <v>103200</v>
      </c>
      <c r="V188" s="74"/>
      <c r="W188" s="105">
        <f>IF(U188="","",U188+V188)</f>
        <v>103200</v>
      </c>
      <c r="X188" s="74">
        <v>5000</v>
      </c>
      <c r="Y188" s="105">
        <f>IF(W188="","",W188-X188)</f>
        <v>98200</v>
      </c>
      <c r="Z188" s="76"/>
      <c r="AA188" s="28"/>
    </row>
    <row r="189" spans="1:27" s="29" customFormat="1" ht="21" customHeight="1" x14ac:dyDescent="0.2">
      <c r="A189" s="30"/>
      <c r="B189" s="44" t="s">
        <v>42</v>
      </c>
      <c r="C189" s="45"/>
      <c r="F189" s="414" t="s">
        <v>44</v>
      </c>
      <c r="G189" s="414"/>
      <c r="I189" s="414" t="s">
        <v>45</v>
      </c>
      <c r="J189" s="414"/>
      <c r="K189" s="414"/>
      <c r="L189" s="46"/>
      <c r="N189" s="71"/>
      <c r="O189" s="72" t="s">
        <v>47</v>
      </c>
      <c r="P189" s="72">
        <v>29</v>
      </c>
      <c r="Q189" s="72">
        <v>2</v>
      </c>
      <c r="R189" s="72">
        <f t="shared" si="37"/>
        <v>39</v>
      </c>
      <c r="S189" s="63"/>
      <c r="T189" s="72" t="s">
        <v>47</v>
      </c>
      <c r="U189" s="105">
        <f>Y188</f>
        <v>98200</v>
      </c>
      <c r="V189" s="74"/>
      <c r="W189" s="105">
        <f t="shared" ref="W189:W198" si="38">IF(U189="","",U189+V189)</f>
        <v>98200</v>
      </c>
      <c r="X189" s="74">
        <v>5000</v>
      </c>
      <c r="Y189" s="105">
        <f t="shared" ref="Y189:Y198" si="39">IF(W189="","",W189-X189)</f>
        <v>93200</v>
      </c>
      <c r="Z189" s="76"/>
    </row>
    <row r="190" spans="1:27" s="29" customFormat="1" ht="21" customHeight="1" x14ac:dyDescent="0.2">
      <c r="A190" s="30"/>
      <c r="H190" s="47"/>
      <c r="L190" s="34"/>
      <c r="N190" s="71"/>
      <c r="O190" s="72" t="s">
        <v>48</v>
      </c>
      <c r="P190" s="72">
        <v>29</v>
      </c>
      <c r="Q190" s="72">
        <v>1</v>
      </c>
      <c r="R190" s="72">
        <f t="shared" si="37"/>
        <v>38</v>
      </c>
      <c r="S190" s="63"/>
      <c r="T190" s="72" t="s">
        <v>48</v>
      </c>
      <c r="U190" s="105">
        <f>Y189</f>
        <v>93200</v>
      </c>
      <c r="V190" s="74"/>
      <c r="W190" s="105">
        <f t="shared" si="38"/>
        <v>93200</v>
      </c>
      <c r="X190" s="74">
        <v>5000</v>
      </c>
      <c r="Y190" s="105">
        <f t="shared" si="39"/>
        <v>88200</v>
      </c>
      <c r="Z190" s="76"/>
    </row>
    <row r="191" spans="1:27" s="29" customFormat="1" ht="21" customHeight="1" x14ac:dyDescent="0.2">
      <c r="A191" s="30"/>
      <c r="B191" s="392" t="s">
        <v>43</v>
      </c>
      <c r="C191" s="393"/>
      <c r="F191" s="48" t="s">
        <v>65</v>
      </c>
      <c r="G191" s="110">
        <f>IF($J$1="January",U187,IF($J$1="February",U188,IF($J$1="March",U189,IF($J$1="April",U190,IF($J$1="May",U191,IF($J$1="June",U192,IF($J$1="July",U193,IF($J$1="August",U194,IF($J$1="August",U194,IF($J$1="September",U195,IF($J$1="October",U196,IF($J$1="November",U197,IF($J$1="December",U198)))))))))))))</f>
        <v>93200</v>
      </c>
      <c r="H191" s="47"/>
      <c r="I191" s="49">
        <f>IF(C195&gt;=C194,$K$2,C193+C195)</f>
        <v>30</v>
      </c>
      <c r="J191" s="50" t="s">
        <v>62</v>
      </c>
      <c r="K191" s="51">
        <f>K187/$K$2*I191</f>
        <v>60000</v>
      </c>
      <c r="L191" s="52"/>
      <c r="N191" s="71"/>
      <c r="O191" s="72" t="s">
        <v>49</v>
      </c>
      <c r="P191" s="72"/>
      <c r="Q191" s="72"/>
      <c r="R191" s="72" t="str">
        <f t="shared" si="37"/>
        <v/>
      </c>
      <c r="S191" s="63"/>
      <c r="T191" s="72" t="s">
        <v>49</v>
      </c>
      <c r="U191" s="105">
        <v>0</v>
      </c>
      <c r="V191" s="74"/>
      <c r="W191" s="105">
        <f t="shared" si="38"/>
        <v>0</v>
      </c>
      <c r="X191" s="74"/>
      <c r="Y191" s="105">
        <f t="shared" si="39"/>
        <v>0</v>
      </c>
      <c r="Z191" s="76"/>
    </row>
    <row r="192" spans="1:27" s="29" customFormat="1" ht="21" customHeight="1" x14ac:dyDescent="0.2">
      <c r="A192" s="30"/>
      <c r="B192" s="39"/>
      <c r="C192" s="39"/>
      <c r="F192" s="48" t="s">
        <v>21</v>
      </c>
      <c r="G192" s="110">
        <f>IF($J$1="January",V187,IF($J$1="February",V188,IF($J$1="March",V189,IF($J$1="April",V190,IF($J$1="May",V191,IF($J$1="June",V192,IF($J$1="July",V193,IF($J$1="August",V194,IF($J$1="August",V194,IF($J$1="September",V195,IF($J$1="October",V196,IF($J$1="November",V197,IF($J$1="December",V198)))))))))))))</f>
        <v>0</v>
      </c>
      <c r="H192" s="47"/>
      <c r="I192" s="49">
        <v>104</v>
      </c>
      <c r="J192" s="50" t="s">
        <v>63</v>
      </c>
      <c r="K192" s="53">
        <f>K187/$K$2/8*I192</f>
        <v>26000</v>
      </c>
      <c r="L192" s="54"/>
      <c r="N192" s="71"/>
      <c r="O192" s="72" t="s">
        <v>50</v>
      </c>
      <c r="P192" s="72"/>
      <c r="Q192" s="72"/>
      <c r="R192" s="72" t="str">
        <f t="shared" si="37"/>
        <v/>
      </c>
      <c r="S192" s="63"/>
      <c r="T192" s="72" t="s">
        <v>50</v>
      </c>
      <c r="U192" s="105"/>
      <c r="V192" s="74"/>
      <c r="W192" s="105" t="str">
        <f t="shared" si="38"/>
        <v/>
      </c>
      <c r="X192" s="74"/>
      <c r="Y192" s="105" t="str">
        <f t="shared" si="39"/>
        <v/>
      </c>
      <c r="Z192" s="76"/>
    </row>
    <row r="193" spans="1:27" s="29" customFormat="1" ht="21" customHeight="1" x14ac:dyDescent="0.2">
      <c r="A193" s="30"/>
      <c r="B193" s="48" t="s">
        <v>7</v>
      </c>
      <c r="C193" s="39">
        <f>IF($J$1="January",P187,IF($J$1="February",P188,IF($J$1="March",P189,IF($J$1="April",P190,IF($J$1="May",P191,IF($J$1="June",P192,IF($J$1="July",P193,IF($J$1="August",P194,IF($J$1="August",P194,IF($J$1="September",P195,IF($J$1="October",P196,IF($J$1="November",P197,IF($J$1="December",P198)))))))))))))</f>
        <v>29</v>
      </c>
      <c r="F193" s="48" t="s">
        <v>66</v>
      </c>
      <c r="G193" s="110">
        <f>IF($J$1="January",W187,IF($J$1="February",W188,IF($J$1="March",W189,IF($J$1="April",W190,IF($J$1="May",W191,IF($J$1="June",W192,IF($J$1="July",W193,IF($J$1="August",W194,IF($J$1="August",W194,IF($J$1="September",W195,IF($J$1="October",W196,IF($J$1="November",W197,IF($J$1="December",W198)))))))))))))</f>
        <v>93200</v>
      </c>
      <c r="H193" s="47"/>
      <c r="I193" s="405" t="s">
        <v>70</v>
      </c>
      <c r="J193" s="406"/>
      <c r="K193" s="53">
        <f>K191+K192</f>
        <v>86000</v>
      </c>
      <c r="L193" s="54"/>
      <c r="N193" s="71"/>
      <c r="O193" s="72" t="s">
        <v>51</v>
      </c>
      <c r="P193" s="72"/>
      <c r="Q193" s="72"/>
      <c r="R193" s="72" t="str">
        <f t="shared" si="37"/>
        <v/>
      </c>
      <c r="S193" s="63"/>
      <c r="T193" s="72" t="s">
        <v>51</v>
      </c>
      <c r="U193" s="105"/>
      <c r="V193" s="74"/>
      <c r="W193" s="105" t="str">
        <f t="shared" si="38"/>
        <v/>
      </c>
      <c r="X193" s="74"/>
      <c r="Y193" s="105" t="str">
        <f t="shared" si="39"/>
        <v/>
      </c>
      <c r="Z193" s="76"/>
    </row>
    <row r="194" spans="1:27" s="29" customFormat="1" ht="21" customHeight="1" x14ac:dyDescent="0.2">
      <c r="A194" s="30"/>
      <c r="B194" s="48" t="s">
        <v>6</v>
      </c>
      <c r="C194" s="39">
        <f>IF($J$1="January",Q187,IF($J$1="February",Q188,IF($J$1="March",Q189,IF($J$1="April",Q190,IF($J$1="May",Q191,IF($J$1="June",Q192,IF($J$1="July",Q193,IF($J$1="August",Q194,IF($J$1="August",Q194,IF($J$1="September",Q195,IF($J$1="October",Q196,IF($J$1="November",Q197,IF($J$1="December",Q198)))))))))))))</f>
        <v>1</v>
      </c>
      <c r="F194" s="48" t="s">
        <v>22</v>
      </c>
      <c r="G194" s="110">
        <f>IF($J$1="January",X187,IF($J$1="February",X188,IF($J$1="March",X189,IF($J$1="April",X190,IF($J$1="May",X191,IF($J$1="June",X192,IF($J$1="July",X193,IF($J$1="August",X194,IF($J$1="August",X194,IF($J$1="September",X195,IF($J$1="October",X196,IF($J$1="November",X197,IF($J$1="December",X198)))))))))))))</f>
        <v>5000</v>
      </c>
      <c r="H194" s="47"/>
      <c r="I194" s="405" t="s">
        <v>71</v>
      </c>
      <c r="J194" s="406"/>
      <c r="K194" s="43">
        <f>G194</f>
        <v>5000</v>
      </c>
      <c r="L194" s="55"/>
      <c r="N194" s="71"/>
      <c r="O194" s="72" t="s">
        <v>52</v>
      </c>
      <c r="P194" s="72"/>
      <c r="Q194" s="72"/>
      <c r="R194" s="72" t="str">
        <f t="shared" si="37"/>
        <v/>
      </c>
      <c r="S194" s="63"/>
      <c r="T194" s="72" t="s">
        <v>52</v>
      </c>
      <c r="U194" s="105"/>
      <c r="V194" s="74"/>
      <c r="W194" s="105" t="str">
        <f t="shared" si="38"/>
        <v/>
      </c>
      <c r="X194" s="74"/>
      <c r="Y194" s="105" t="str">
        <f t="shared" si="39"/>
        <v/>
      </c>
      <c r="Z194" s="76"/>
    </row>
    <row r="195" spans="1:27" s="29" customFormat="1" ht="21" customHeight="1" x14ac:dyDescent="0.2">
      <c r="A195" s="30"/>
      <c r="B195" s="56" t="s">
        <v>69</v>
      </c>
      <c r="C195" s="39">
        <f>IF($J$1="January",R187,IF($J$1="February",R188,IF($J$1="March",R189,IF($J$1="April",R190,IF($J$1="May",R191,IF($J$1="June",R192,IF($J$1="July",R193,IF($J$1="August",R194,IF($J$1="August",R194,IF($J$1="September",R195,IF($J$1="October",R196,IF($J$1="November",R197,IF($J$1="December",R198)))))))))))))</f>
        <v>38</v>
      </c>
      <c r="F195" s="48" t="s">
        <v>68</v>
      </c>
      <c r="G195" s="110">
        <f>IF($J$1="January",Y187,IF($J$1="February",Y188,IF($J$1="March",Y189,IF($J$1="April",Y190,IF($J$1="May",Y191,IF($J$1="June",Y192,IF($J$1="July",Y193,IF($J$1="August",Y194,IF($J$1="August",Y194,IF($J$1="September",Y195,IF($J$1="October",Y196,IF($J$1="November",Y197,IF($J$1="December",Y198)))))))))))))</f>
        <v>88200</v>
      </c>
      <c r="I195" s="394" t="s">
        <v>64</v>
      </c>
      <c r="J195" s="396"/>
      <c r="K195" s="57">
        <f>K193-K194</f>
        <v>81000</v>
      </c>
      <c r="L195" s="58"/>
      <c r="N195" s="71"/>
      <c r="O195" s="72" t="s">
        <v>57</v>
      </c>
      <c r="P195" s="72"/>
      <c r="Q195" s="72"/>
      <c r="R195" s="72" t="str">
        <f t="shared" si="37"/>
        <v/>
      </c>
      <c r="S195" s="63"/>
      <c r="T195" s="72" t="s">
        <v>57</v>
      </c>
      <c r="U195" s="105"/>
      <c r="V195" s="74"/>
      <c r="W195" s="105" t="str">
        <f t="shared" si="38"/>
        <v/>
      </c>
      <c r="X195" s="74"/>
      <c r="Y195" s="105" t="str">
        <f t="shared" si="39"/>
        <v/>
      </c>
      <c r="Z195" s="76"/>
    </row>
    <row r="196" spans="1:27" s="29" customFormat="1" ht="21" customHeight="1" x14ac:dyDescent="0.2">
      <c r="A196" s="30"/>
      <c r="F196" s="329"/>
      <c r="L196" s="46"/>
      <c r="N196" s="71"/>
      <c r="O196" s="72" t="s">
        <v>53</v>
      </c>
      <c r="P196" s="72"/>
      <c r="Q196" s="72"/>
      <c r="R196" s="72" t="str">
        <f t="shared" si="37"/>
        <v/>
      </c>
      <c r="S196" s="63"/>
      <c r="T196" s="72" t="s">
        <v>53</v>
      </c>
      <c r="U196" s="105"/>
      <c r="V196" s="74"/>
      <c r="W196" s="105" t="str">
        <f t="shared" si="38"/>
        <v/>
      </c>
      <c r="X196" s="74"/>
      <c r="Y196" s="105" t="str">
        <f t="shared" si="39"/>
        <v/>
      </c>
      <c r="Z196" s="76"/>
    </row>
    <row r="197" spans="1:27" s="29" customFormat="1" ht="21" customHeight="1" x14ac:dyDescent="0.2">
      <c r="A197" s="30"/>
      <c r="B197" s="407" t="s">
        <v>87</v>
      </c>
      <c r="C197" s="407"/>
      <c r="D197" s="407"/>
      <c r="E197" s="407"/>
      <c r="F197" s="407"/>
      <c r="G197" s="407"/>
      <c r="H197" s="407"/>
      <c r="I197" s="407"/>
      <c r="J197" s="407"/>
      <c r="K197" s="407"/>
      <c r="L197" s="46"/>
      <c r="N197" s="71"/>
      <c r="O197" s="72" t="s">
        <v>58</v>
      </c>
      <c r="P197" s="72"/>
      <c r="Q197" s="72"/>
      <c r="R197" s="72" t="str">
        <f t="shared" si="37"/>
        <v/>
      </c>
      <c r="S197" s="63"/>
      <c r="T197" s="72" t="s">
        <v>58</v>
      </c>
      <c r="U197" s="105"/>
      <c r="V197" s="74"/>
      <c r="W197" s="105" t="str">
        <f t="shared" si="38"/>
        <v/>
      </c>
      <c r="X197" s="74"/>
      <c r="Y197" s="105" t="str">
        <f t="shared" si="39"/>
        <v/>
      </c>
      <c r="Z197" s="76"/>
    </row>
    <row r="198" spans="1:27" s="29" customFormat="1" ht="21" customHeight="1" x14ac:dyDescent="0.2">
      <c r="A198" s="30"/>
      <c r="B198" s="407"/>
      <c r="C198" s="407"/>
      <c r="D198" s="407"/>
      <c r="E198" s="407"/>
      <c r="F198" s="407"/>
      <c r="G198" s="407"/>
      <c r="H198" s="407"/>
      <c r="I198" s="407"/>
      <c r="J198" s="407"/>
      <c r="K198" s="407"/>
      <c r="L198" s="46"/>
      <c r="N198" s="71"/>
      <c r="O198" s="72" t="s">
        <v>59</v>
      </c>
      <c r="P198" s="72"/>
      <c r="Q198" s="72"/>
      <c r="R198" s="72" t="str">
        <f t="shared" si="37"/>
        <v/>
      </c>
      <c r="S198" s="63"/>
      <c r="T198" s="72" t="s">
        <v>59</v>
      </c>
      <c r="U198" s="105"/>
      <c r="V198" s="74"/>
      <c r="W198" s="105" t="str">
        <f t="shared" si="38"/>
        <v/>
      </c>
      <c r="X198" s="74"/>
      <c r="Y198" s="105" t="str">
        <f t="shared" si="39"/>
        <v/>
      </c>
      <c r="Z198" s="76"/>
    </row>
    <row r="199" spans="1:27" s="29" customFormat="1" ht="21" customHeight="1" thickBot="1" x14ac:dyDescent="0.25">
      <c r="A199" s="59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1"/>
      <c r="N199" s="77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9"/>
    </row>
    <row r="200" spans="1:27" s="29" customFormat="1" ht="21" customHeight="1" thickBot="1" x14ac:dyDescent="0.25"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 spans="1:27" s="29" customFormat="1" ht="21" customHeight="1" x14ac:dyDescent="0.2">
      <c r="A201" s="411" t="s">
        <v>41</v>
      </c>
      <c r="B201" s="412"/>
      <c r="C201" s="412"/>
      <c r="D201" s="412"/>
      <c r="E201" s="412"/>
      <c r="F201" s="412"/>
      <c r="G201" s="412"/>
      <c r="H201" s="412"/>
      <c r="I201" s="412"/>
      <c r="J201" s="412"/>
      <c r="K201" s="412"/>
      <c r="L201" s="413"/>
      <c r="M201" s="28"/>
      <c r="N201" s="64"/>
      <c r="O201" s="408" t="s">
        <v>43</v>
      </c>
      <c r="P201" s="409"/>
      <c r="Q201" s="409"/>
      <c r="R201" s="410"/>
      <c r="S201" s="65"/>
      <c r="T201" s="408" t="s">
        <v>44</v>
      </c>
      <c r="U201" s="409"/>
      <c r="V201" s="409"/>
      <c r="W201" s="409"/>
      <c r="X201" s="409"/>
      <c r="Y201" s="410"/>
      <c r="Z201" s="66"/>
      <c r="AA201" s="28"/>
    </row>
    <row r="202" spans="1:27" s="29" customFormat="1" ht="21" customHeight="1" x14ac:dyDescent="0.2">
      <c r="A202" s="30"/>
      <c r="C202" s="398" t="s">
        <v>85</v>
      </c>
      <c r="D202" s="398"/>
      <c r="E202" s="398"/>
      <c r="F202" s="398"/>
      <c r="G202" s="31" t="str">
        <f>$J$1</f>
        <v>April</v>
      </c>
      <c r="H202" s="397">
        <f>$K$1</f>
        <v>2023</v>
      </c>
      <c r="I202" s="397"/>
      <c r="K202" s="32"/>
      <c r="L202" s="33"/>
      <c r="M202" s="32"/>
      <c r="N202" s="67"/>
      <c r="O202" s="68" t="s">
        <v>54</v>
      </c>
      <c r="P202" s="68" t="s">
        <v>7</v>
      </c>
      <c r="Q202" s="68" t="s">
        <v>6</v>
      </c>
      <c r="R202" s="68" t="s">
        <v>55</v>
      </c>
      <c r="S202" s="69"/>
      <c r="T202" s="68" t="s">
        <v>54</v>
      </c>
      <c r="U202" s="68" t="s">
        <v>56</v>
      </c>
      <c r="V202" s="68" t="s">
        <v>21</v>
      </c>
      <c r="W202" s="68" t="s">
        <v>20</v>
      </c>
      <c r="X202" s="68" t="s">
        <v>22</v>
      </c>
      <c r="Y202" s="68" t="s">
        <v>60</v>
      </c>
      <c r="Z202" s="70"/>
      <c r="AA202" s="32"/>
    </row>
    <row r="203" spans="1:27" s="29" customFormat="1" ht="21" customHeight="1" x14ac:dyDescent="0.2">
      <c r="A203" s="30"/>
      <c r="D203" s="35"/>
      <c r="E203" s="35"/>
      <c r="F203" s="35"/>
      <c r="G203" s="35"/>
      <c r="H203" s="35"/>
      <c r="J203" s="36" t="s">
        <v>1</v>
      </c>
      <c r="K203" s="37">
        <f>45000+2000+3000</f>
        <v>50000</v>
      </c>
      <c r="L203" s="38"/>
      <c r="N203" s="71"/>
      <c r="O203" s="72" t="s">
        <v>46</v>
      </c>
      <c r="P203" s="72">
        <v>29</v>
      </c>
      <c r="Q203" s="72">
        <v>2</v>
      </c>
      <c r="R203" s="72">
        <f>15-Q203</f>
        <v>13</v>
      </c>
      <c r="S203" s="73"/>
      <c r="T203" s="72" t="s">
        <v>46</v>
      </c>
      <c r="U203" s="74">
        <v>15000</v>
      </c>
      <c r="V203" s="74">
        <v>2000</v>
      </c>
      <c r="W203" s="74">
        <f>V203+U203</f>
        <v>17000</v>
      </c>
      <c r="X203" s="74">
        <v>3000</v>
      </c>
      <c r="Y203" s="74">
        <f>W203-X203</f>
        <v>14000</v>
      </c>
      <c r="Z203" s="70"/>
    </row>
    <row r="204" spans="1:27" s="29" customFormat="1" ht="21" customHeight="1" x14ac:dyDescent="0.2">
      <c r="A204" s="30"/>
      <c r="B204" s="29" t="s">
        <v>0</v>
      </c>
      <c r="C204" s="40" t="s">
        <v>160</v>
      </c>
      <c r="H204" s="41"/>
      <c r="I204" s="35"/>
      <c r="L204" s="42"/>
      <c r="M204" s="28"/>
      <c r="N204" s="75"/>
      <c r="O204" s="72" t="s">
        <v>72</v>
      </c>
      <c r="P204" s="72">
        <v>27</v>
      </c>
      <c r="Q204" s="72">
        <v>1</v>
      </c>
      <c r="R204" s="72">
        <f t="shared" ref="R204:R214" si="40">IF(Q204="","",R203-Q204)</f>
        <v>12</v>
      </c>
      <c r="S204" s="63"/>
      <c r="T204" s="72" t="s">
        <v>72</v>
      </c>
      <c r="U204" s="105">
        <f>IF($J$1="January","",Y203)</f>
        <v>14000</v>
      </c>
      <c r="V204" s="74">
        <v>10000</v>
      </c>
      <c r="W204" s="105">
        <f>IF(U204="","",U204+V204)</f>
        <v>24000</v>
      </c>
      <c r="X204" s="74">
        <v>3000</v>
      </c>
      <c r="Y204" s="105">
        <f>IF(W204="","",W204-X204)</f>
        <v>21000</v>
      </c>
      <c r="Z204" s="76"/>
      <c r="AA204" s="28"/>
    </row>
    <row r="205" spans="1:27" s="29" customFormat="1" ht="21" customHeight="1" x14ac:dyDescent="0.2">
      <c r="A205" s="30"/>
      <c r="B205" s="44" t="s">
        <v>42</v>
      </c>
      <c r="C205" s="45"/>
      <c r="F205" s="414" t="s">
        <v>44</v>
      </c>
      <c r="G205" s="414"/>
      <c r="I205" s="414" t="s">
        <v>45</v>
      </c>
      <c r="J205" s="414"/>
      <c r="K205" s="414"/>
      <c r="L205" s="46"/>
      <c r="N205" s="71"/>
      <c r="O205" s="72" t="s">
        <v>47</v>
      </c>
      <c r="P205" s="72">
        <v>31</v>
      </c>
      <c r="Q205" s="72">
        <v>0</v>
      </c>
      <c r="R205" s="72">
        <f t="shared" si="40"/>
        <v>12</v>
      </c>
      <c r="S205" s="63"/>
      <c r="T205" s="72" t="s">
        <v>47</v>
      </c>
      <c r="U205" s="105">
        <f>IF($J$1="February","",Y204)</f>
        <v>21000</v>
      </c>
      <c r="V205" s="74">
        <v>15000</v>
      </c>
      <c r="W205" s="105">
        <f t="shared" ref="W205:W214" si="41">IF(U205="","",U205+V205)</f>
        <v>36000</v>
      </c>
      <c r="X205" s="74">
        <v>3000</v>
      </c>
      <c r="Y205" s="105">
        <f t="shared" ref="Y205:Y214" si="42">IF(W205="","",W205-X205)</f>
        <v>33000</v>
      </c>
      <c r="Z205" s="76"/>
    </row>
    <row r="206" spans="1:27" s="29" customFormat="1" ht="21" customHeight="1" x14ac:dyDescent="0.2">
      <c r="A206" s="30"/>
      <c r="H206" s="47"/>
      <c r="L206" s="34"/>
      <c r="N206" s="71"/>
      <c r="O206" s="72" t="s">
        <v>48</v>
      </c>
      <c r="P206" s="72">
        <v>29</v>
      </c>
      <c r="Q206" s="72">
        <v>1</v>
      </c>
      <c r="R206" s="72">
        <f t="shared" si="40"/>
        <v>11</v>
      </c>
      <c r="S206" s="63"/>
      <c r="T206" s="72" t="s">
        <v>48</v>
      </c>
      <c r="U206" s="105">
        <f>Y205</f>
        <v>33000</v>
      </c>
      <c r="V206" s="74"/>
      <c r="W206" s="105">
        <f t="shared" si="41"/>
        <v>33000</v>
      </c>
      <c r="X206" s="74">
        <v>3000</v>
      </c>
      <c r="Y206" s="105">
        <f t="shared" si="42"/>
        <v>30000</v>
      </c>
      <c r="Z206" s="76"/>
    </row>
    <row r="207" spans="1:27" s="29" customFormat="1" ht="21" customHeight="1" x14ac:dyDescent="0.2">
      <c r="A207" s="30"/>
      <c r="B207" s="392" t="s">
        <v>43</v>
      </c>
      <c r="C207" s="393"/>
      <c r="F207" s="48" t="s">
        <v>65</v>
      </c>
      <c r="G207" s="43">
        <f>IF($J$1="January",U203,IF($J$1="February",U204,IF($J$1="March",U205,IF($J$1="April",U206,IF($J$1="May",U207,IF($J$1="June",U208,IF($J$1="July",U209,IF($J$1="August",U210,IF($J$1="August",U210,IF($J$1="September",U211,IF($J$1="October",U212,IF($J$1="November",U213,IF($J$1="December",U214)))))))))))))</f>
        <v>33000</v>
      </c>
      <c r="H207" s="47"/>
      <c r="I207" s="49">
        <f>IF(C211&gt;0,$K$2,C209)</f>
        <v>30</v>
      </c>
      <c r="J207" s="50" t="s">
        <v>62</v>
      </c>
      <c r="K207" s="51">
        <f>K203/$K$2*I207</f>
        <v>50000</v>
      </c>
      <c r="L207" s="52"/>
      <c r="N207" s="71"/>
      <c r="O207" s="72" t="s">
        <v>49</v>
      </c>
      <c r="P207" s="72"/>
      <c r="Q207" s="72"/>
      <c r="R207" s="72" t="str">
        <f t="shared" si="40"/>
        <v/>
      </c>
      <c r="S207" s="63"/>
      <c r="T207" s="72" t="s">
        <v>49</v>
      </c>
      <c r="U207" s="105"/>
      <c r="V207" s="74"/>
      <c r="W207" s="105" t="str">
        <f t="shared" si="41"/>
        <v/>
      </c>
      <c r="X207" s="74"/>
      <c r="Y207" s="105" t="str">
        <f t="shared" si="42"/>
        <v/>
      </c>
      <c r="Z207" s="76"/>
    </row>
    <row r="208" spans="1:27" s="29" customFormat="1" ht="21" customHeight="1" x14ac:dyDescent="0.2">
      <c r="A208" s="30"/>
      <c r="B208" s="39"/>
      <c r="C208" s="39"/>
      <c r="F208" s="48" t="s">
        <v>21</v>
      </c>
      <c r="G208" s="43">
        <f>IF($J$1="January",V203,IF($J$1="February",V204,IF($J$1="March",V205,IF($J$1="April",V206,IF($J$1="May",V207,IF($J$1="June",V208,IF($J$1="July",V209,IF($J$1="August",V210,IF($J$1="August",V210,IF($J$1="September",V211,IF($J$1="October",V212,IF($J$1="November",V213,IF($J$1="December",V214)))))))))))))</f>
        <v>0</v>
      </c>
      <c r="H208" s="47"/>
      <c r="I208" s="84"/>
      <c r="J208" s="50" t="s">
        <v>63</v>
      </c>
      <c r="K208" s="53">
        <f>K203/$K$2/8*I208</f>
        <v>0</v>
      </c>
      <c r="L208" s="54"/>
      <c r="N208" s="71"/>
      <c r="O208" s="72" t="s">
        <v>50</v>
      </c>
      <c r="P208" s="72"/>
      <c r="Q208" s="72"/>
      <c r="R208" s="72" t="str">
        <f t="shared" si="40"/>
        <v/>
      </c>
      <c r="S208" s="63"/>
      <c r="T208" s="72" t="s">
        <v>50</v>
      </c>
      <c r="U208" s="105"/>
      <c r="V208" s="74"/>
      <c r="W208" s="105" t="str">
        <f t="shared" si="41"/>
        <v/>
      </c>
      <c r="X208" s="74"/>
      <c r="Y208" s="105" t="str">
        <f t="shared" si="42"/>
        <v/>
      </c>
      <c r="Z208" s="76"/>
    </row>
    <row r="209" spans="1:26" s="29" customFormat="1" ht="21" customHeight="1" x14ac:dyDescent="0.2">
      <c r="A209" s="30"/>
      <c r="B209" s="48" t="s">
        <v>7</v>
      </c>
      <c r="C209" s="39">
        <f>IF($J$1="January",P203,IF($J$1="February",P204,IF($J$1="March",P205,IF($J$1="April",P206,IF($J$1="May",P207,IF($J$1="June",P208,IF($J$1="July",P209,IF($J$1="August",P210,IF($J$1="August",P210,IF($J$1="September",P211,IF($J$1="October",P212,IF($J$1="November",P213,IF($J$1="December",P214)))))))))))))</f>
        <v>29</v>
      </c>
      <c r="F209" s="48" t="s">
        <v>66</v>
      </c>
      <c r="G209" s="43">
        <f>IF($J$1="January",W203,IF($J$1="February",W204,IF($J$1="March",W205,IF($J$1="April",W206,IF($J$1="May",W207,IF($J$1="June",W208,IF($J$1="July",W209,IF($J$1="August",W210,IF($J$1="August",W210,IF($J$1="September",W211,IF($J$1="October",W212,IF($J$1="November",W213,IF($J$1="December",W214)))))))))))))</f>
        <v>33000</v>
      </c>
      <c r="H209" s="47"/>
      <c r="I209" s="405" t="s">
        <v>70</v>
      </c>
      <c r="J209" s="406"/>
      <c r="K209" s="53">
        <f>K207+K208</f>
        <v>50000</v>
      </c>
      <c r="L209" s="54"/>
      <c r="N209" s="71"/>
      <c r="O209" s="72" t="s">
        <v>51</v>
      </c>
      <c r="P209" s="72"/>
      <c r="Q209" s="72"/>
      <c r="R209" s="72" t="str">
        <f t="shared" si="40"/>
        <v/>
      </c>
      <c r="S209" s="63"/>
      <c r="T209" s="72" t="s">
        <v>51</v>
      </c>
      <c r="U209" s="105"/>
      <c r="V209" s="74"/>
      <c r="W209" s="105" t="str">
        <f t="shared" si="41"/>
        <v/>
      </c>
      <c r="X209" s="74"/>
      <c r="Y209" s="105" t="str">
        <f t="shared" si="42"/>
        <v/>
      </c>
      <c r="Z209" s="76"/>
    </row>
    <row r="210" spans="1:26" s="29" customFormat="1" ht="21" customHeight="1" x14ac:dyDescent="0.2">
      <c r="A210" s="30"/>
      <c r="B210" s="48" t="s">
        <v>6</v>
      </c>
      <c r="C210" s="39">
        <f>IF($J$1="January",Q203,IF($J$1="February",Q204,IF($J$1="March",Q205,IF($J$1="April",Q206,IF($J$1="May",Q207,IF($J$1="June",Q208,IF($J$1="July",Q209,IF($J$1="August",Q210,IF($J$1="August",Q210,IF($J$1="September",Q211,IF($J$1="October",Q212,IF($J$1="November",Q213,IF($J$1="December",Q214)))))))))))))</f>
        <v>1</v>
      </c>
      <c r="F210" s="48" t="s">
        <v>22</v>
      </c>
      <c r="G210" s="43">
        <f>IF($J$1="January",X203,IF($J$1="February",X204,IF($J$1="March",X205,IF($J$1="April",X206,IF($J$1="May",X207,IF($J$1="June",X208,IF($J$1="July",X209,IF($J$1="August",X210,IF($J$1="August",X210,IF($J$1="September",X211,IF($J$1="October",X212,IF($J$1="November",X213,IF($J$1="December",X214)))))))))))))</f>
        <v>3000</v>
      </c>
      <c r="H210" s="47"/>
      <c r="I210" s="405" t="s">
        <v>71</v>
      </c>
      <c r="J210" s="406"/>
      <c r="K210" s="43">
        <f>G210</f>
        <v>3000</v>
      </c>
      <c r="L210" s="55"/>
      <c r="N210" s="71"/>
      <c r="O210" s="72" t="s">
        <v>52</v>
      </c>
      <c r="P210" s="72"/>
      <c r="Q210" s="72"/>
      <c r="R210" s="72" t="str">
        <f t="shared" si="40"/>
        <v/>
      </c>
      <c r="S210" s="63"/>
      <c r="T210" s="72" t="s">
        <v>52</v>
      </c>
      <c r="U210" s="105"/>
      <c r="V210" s="74"/>
      <c r="W210" s="105" t="str">
        <f t="shared" si="41"/>
        <v/>
      </c>
      <c r="X210" s="74"/>
      <c r="Y210" s="105" t="str">
        <f t="shared" si="42"/>
        <v/>
      </c>
      <c r="Z210" s="76"/>
    </row>
    <row r="211" spans="1:26" s="29" customFormat="1" ht="21" customHeight="1" x14ac:dyDescent="0.2">
      <c r="A211" s="30"/>
      <c r="B211" s="56" t="s">
        <v>69</v>
      </c>
      <c r="C211" s="39">
        <f>IF($J$1="January",R203,IF($J$1="February",R204,IF($J$1="March",R205,IF($J$1="April",R206,IF($J$1="May",R207,IF($J$1="June",R208,IF($J$1="July",R209,IF($J$1="August",R210,IF($J$1="August",R210,IF($J$1="September",R211,IF($J$1="October",R212,IF($J$1="November",R213,IF($J$1="December",R214)))))))))))))</f>
        <v>11</v>
      </c>
      <c r="F211" s="48" t="s">
        <v>68</v>
      </c>
      <c r="G211" s="43">
        <f>IF($J$1="January",Y203,IF($J$1="February",Y204,IF($J$1="March",Y205,IF($J$1="April",Y206,IF($J$1="May",Y207,IF($J$1="June",Y208,IF($J$1="July",Y209,IF($J$1="August",Y210,IF($J$1="August",Y210,IF($J$1="September",Y211,IF($J$1="October",Y212,IF($J$1="November",Y213,IF($J$1="December",Y214)))))))))))))</f>
        <v>30000</v>
      </c>
      <c r="I211" s="394" t="s">
        <v>64</v>
      </c>
      <c r="J211" s="396"/>
      <c r="K211" s="57">
        <f>K209-K210</f>
        <v>47000</v>
      </c>
      <c r="L211" s="58"/>
      <c r="N211" s="71"/>
      <c r="O211" s="72" t="s">
        <v>57</v>
      </c>
      <c r="P211" s="72"/>
      <c r="Q211" s="72"/>
      <c r="R211" s="72" t="str">
        <f t="shared" si="40"/>
        <v/>
      </c>
      <c r="S211" s="63"/>
      <c r="T211" s="72" t="s">
        <v>57</v>
      </c>
      <c r="U211" s="105"/>
      <c r="V211" s="74"/>
      <c r="W211" s="105" t="str">
        <f t="shared" si="41"/>
        <v/>
      </c>
      <c r="X211" s="74"/>
      <c r="Y211" s="105" t="str">
        <f t="shared" si="42"/>
        <v/>
      </c>
      <c r="Z211" s="76"/>
    </row>
    <row r="212" spans="1:26" s="29" customFormat="1" ht="21" customHeight="1" x14ac:dyDescent="0.2">
      <c r="A212" s="30"/>
      <c r="J212" s="47"/>
      <c r="K212" s="107"/>
      <c r="L212" s="46"/>
      <c r="N212" s="71"/>
      <c r="O212" s="72" t="s">
        <v>53</v>
      </c>
      <c r="P212" s="72"/>
      <c r="Q212" s="72"/>
      <c r="R212" s="72" t="str">
        <f t="shared" si="40"/>
        <v/>
      </c>
      <c r="S212" s="63"/>
      <c r="T212" s="72" t="s">
        <v>53</v>
      </c>
      <c r="U212" s="105"/>
      <c r="V212" s="74"/>
      <c r="W212" s="105" t="str">
        <f t="shared" si="41"/>
        <v/>
      </c>
      <c r="X212" s="74"/>
      <c r="Y212" s="105" t="str">
        <f t="shared" si="42"/>
        <v/>
      </c>
      <c r="Z212" s="76"/>
    </row>
    <row r="213" spans="1:26" s="29" customFormat="1" ht="21" customHeight="1" x14ac:dyDescent="0.2">
      <c r="A213" s="30"/>
      <c r="B213" s="407" t="s">
        <v>87</v>
      </c>
      <c r="C213" s="407"/>
      <c r="D213" s="407"/>
      <c r="E213" s="407"/>
      <c r="F213" s="407"/>
      <c r="G213" s="407"/>
      <c r="H213" s="407"/>
      <c r="I213" s="407"/>
      <c r="J213" s="407"/>
      <c r="K213" s="407"/>
      <c r="L213" s="46"/>
      <c r="N213" s="71"/>
      <c r="O213" s="72" t="s">
        <v>58</v>
      </c>
      <c r="P213" s="72"/>
      <c r="Q213" s="72"/>
      <c r="R213" s="72" t="str">
        <f t="shared" si="40"/>
        <v/>
      </c>
      <c r="S213" s="63"/>
      <c r="T213" s="72" t="s">
        <v>58</v>
      </c>
      <c r="U213" s="105"/>
      <c r="V213" s="74"/>
      <c r="W213" s="105" t="str">
        <f t="shared" si="41"/>
        <v/>
      </c>
      <c r="X213" s="74"/>
      <c r="Y213" s="105" t="str">
        <f t="shared" si="42"/>
        <v/>
      </c>
      <c r="Z213" s="76"/>
    </row>
    <row r="214" spans="1:26" s="29" customFormat="1" ht="21" customHeight="1" x14ac:dyDescent="0.2">
      <c r="A214" s="30"/>
      <c r="B214" s="407"/>
      <c r="C214" s="407"/>
      <c r="D214" s="407"/>
      <c r="E214" s="407"/>
      <c r="F214" s="407"/>
      <c r="G214" s="407"/>
      <c r="H214" s="407"/>
      <c r="I214" s="407"/>
      <c r="J214" s="407"/>
      <c r="K214" s="407"/>
      <c r="L214" s="46"/>
      <c r="N214" s="71"/>
      <c r="O214" s="72" t="s">
        <v>59</v>
      </c>
      <c r="P214" s="72"/>
      <c r="Q214" s="72"/>
      <c r="R214" s="72" t="str">
        <f t="shared" si="40"/>
        <v/>
      </c>
      <c r="S214" s="63"/>
      <c r="T214" s="72" t="s">
        <v>59</v>
      </c>
      <c r="U214" s="105"/>
      <c r="V214" s="74"/>
      <c r="W214" s="105" t="str">
        <f t="shared" si="41"/>
        <v/>
      </c>
      <c r="X214" s="74"/>
      <c r="Y214" s="105" t="str">
        <f t="shared" si="42"/>
        <v/>
      </c>
      <c r="Z214" s="76"/>
    </row>
    <row r="215" spans="1:26" s="29" customFormat="1" ht="21" customHeight="1" thickBot="1" x14ac:dyDescent="0.25">
      <c r="A215" s="59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1"/>
      <c r="N215" s="77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9"/>
    </row>
    <row r="216" spans="1:26" s="29" customFormat="1" ht="21" customHeight="1" thickBot="1" x14ac:dyDescent="0.25">
      <c r="A216" s="30"/>
      <c r="L216" s="46"/>
      <c r="N216" s="71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85"/>
    </row>
    <row r="217" spans="1:26" s="29" customFormat="1" ht="21" customHeight="1" x14ac:dyDescent="0.2">
      <c r="A217" s="411" t="s">
        <v>41</v>
      </c>
      <c r="B217" s="412"/>
      <c r="C217" s="412"/>
      <c r="D217" s="412"/>
      <c r="E217" s="412"/>
      <c r="F217" s="412"/>
      <c r="G217" s="412"/>
      <c r="H217" s="412"/>
      <c r="I217" s="412"/>
      <c r="J217" s="412"/>
      <c r="K217" s="412"/>
      <c r="L217" s="413"/>
      <c r="M217" s="28"/>
      <c r="N217" s="64"/>
      <c r="O217" s="408" t="s">
        <v>43</v>
      </c>
      <c r="P217" s="409"/>
      <c r="Q217" s="409"/>
      <c r="R217" s="410"/>
      <c r="S217" s="65"/>
      <c r="T217" s="408" t="s">
        <v>44</v>
      </c>
      <c r="U217" s="409"/>
      <c r="V217" s="409"/>
      <c r="W217" s="409"/>
      <c r="X217" s="409"/>
      <c r="Y217" s="410"/>
      <c r="Z217" s="66"/>
    </row>
    <row r="218" spans="1:26" s="29" customFormat="1" ht="21" customHeight="1" x14ac:dyDescent="0.2">
      <c r="A218" s="30"/>
      <c r="C218" s="398" t="s">
        <v>85</v>
      </c>
      <c r="D218" s="398"/>
      <c r="E218" s="398"/>
      <c r="F218" s="398"/>
      <c r="G218" s="31" t="str">
        <f>$J$1</f>
        <v>April</v>
      </c>
      <c r="H218" s="397">
        <f>$K$1</f>
        <v>2023</v>
      </c>
      <c r="I218" s="397"/>
      <c r="K218" s="32"/>
      <c r="L218" s="33"/>
      <c r="M218" s="32"/>
      <c r="N218" s="67"/>
      <c r="O218" s="68" t="s">
        <v>54</v>
      </c>
      <c r="P218" s="68" t="s">
        <v>7</v>
      </c>
      <c r="Q218" s="68" t="s">
        <v>6</v>
      </c>
      <c r="R218" s="68" t="s">
        <v>55</v>
      </c>
      <c r="S218" s="69"/>
      <c r="T218" s="68" t="s">
        <v>54</v>
      </c>
      <c r="U218" s="68" t="s">
        <v>56</v>
      </c>
      <c r="V218" s="68" t="s">
        <v>21</v>
      </c>
      <c r="W218" s="68" t="s">
        <v>20</v>
      </c>
      <c r="X218" s="68" t="s">
        <v>22</v>
      </c>
      <c r="Y218" s="68" t="s">
        <v>60</v>
      </c>
      <c r="Z218" s="70"/>
    </row>
    <row r="219" spans="1:26" s="29" customFormat="1" ht="21" customHeight="1" x14ac:dyDescent="0.2">
      <c r="A219" s="30"/>
      <c r="D219" s="35"/>
      <c r="E219" s="35"/>
      <c r="F219" s="35"/>
      <c r="G219" s="35"/>
      <c r="H219" s="35"/>
      <c r="J219" s="36" t="s">
        <v>1</v>
      </c>
      <c r="K219" s="37">
        <f>20000+2000+3000</f>
        <v>25000</v>
      </c>
      <c r="L219" s="38"/>
      <c r="N219" s="71"/>
      <c r="O219" s="72" t="s">
        <v>46</v>
      </c>
      <c r="P219" s="72">
        <v>25</v>
      </c>
      <c r="Q219" s="72">
        <v>6</v>
      </c>
      <c r="R219" s="72">
        <f>15-Q219</f>
        <v>9</v>
      </c>
      <c r="S219" s="73"/>
      <c r="T219" s="72" t="s">
        <v>46</v>
      </c>
      <c r="U219" s="74">
        <v>24000</v>
      </c>
      <c r="V219" s="74"/>
      <c r="W219" s="74">
        <f>V219+U219</f>
        <v>24000</v>
      </c>
      <c r="X219" s="74">
        <v>5000</v>
      </c>
      <c r="Y219" s="74">
        <f>W219-X219</f>
        <v>19000</v>
      </c>
      <c r="Z219" s="70"/>
    </row>
    <row r="220" spans="1:26" s="29" customFormat="1" ht="21" customHeight="1" x14ac:dyDescent="0.2">
      <c r="A220" s="30"/>
      <c r="B220" s="29" t="s">
        <v>0</v>
      </c>
      <c r="C220" s="40" t="s">
        <v>178</v>
      </c>
      <c r="H220" s="41"/>
      <c r="I220" s="35"/>
      <c r="L220" s="42"/>
      <c r="M220" s="28"/>
      <c r="N220" s="75"/>
      <c r="O220" s="72" t="s">
        <v>72</v>
      </c>
      <c r="P220" s="72">
        <v>26</v>
      </c>
      <c r="Q220" s="72">
        <v>2</v>
      </c>
      <c r="R220" s="72">
        <f>R219-Q220</f>
        <v>7</v>
      </c>
      <c r="S220" s="63"/>
      <c r="T220" s="72" t="s">
        <v>72</v>
      </c>
      <c r="U220" s="105">
        <f>IF($J$1="January","",Y219)</f>
        <v>19000</v>
      </c>
      <c r="V220" s="74"/>
      <c r="W220" s="105">
        <f>IF(U220="","",U220+V220)</f>
        <v>19000</v>
      </c>
      <c r="X220" s="74">
        <v>5000</v>
      </c>
      <c r="Y220" s="105">
        <f>IF(W220="","",W220-X220)</f>
        <v>14000</v>
      </c>
      <c r="Z220" s="76"/>
    </row>
    <row r="221" spans="1:26" s="29" customFormat="1" ht="21" customHeight="1" x14ac:dyDescent="0.2">
      <c r="A221" s="30"/>
      <c r="B221" s="44" t="s">
        <v>42</v>
      </c>
      <c r="C221" s="40"/>
      <c r="F221" s="414" t="s">
        <v>44</v>
      </c>
      <c r="G221" s="414"/>
      <c r="I221" s="414" t="s">
        <v>45</v>
      </c>
      <c r="J221" s="414"/>
      <c r="K221" s="414"/>
      <c r="L221" s="46"/>
      <c r="N221" s="71"/>
      <c r="O221" s="72" t="s">
        <v>47</v>
      </c>
      <c r="P221" s="72">
        <v>27</v>
      </c>
      <c r="Q221" s="72">
        <v>4</v>
      </c>
      <c r="R221" s="72">
        <f t="shared" ref="R221:R230" si="43">R220-Q221</f>
        <v>3</v>
      </c>
      <c r="S221" s="63"/>
      <c r="T221" s="72" t="s">
        <v>47</v>
      </c>
      <c r="U221" s="105">
        <f>IF($J$1="February","",Y220)</f>
        <v>14000</v>
      </c>
      <c r="V221" s="74">
        <f>2000+1000+3000</f>
        <v>6000</v>
      </c>
      <c r="W221" s="105">
        <f t="shared" ref="W221:W230" si="44">IF(U221="","",U221+V221)</f>
        <v>20000</v>
      </c>
      <c r="X221" s="74">
        <v>5000</v>
      </c>
      <c r="Y221" s="105">
        <f t="shared" ref="Y221:Y230" si="45">IF(W221="","",W221-X221)</f>
        <v>15000</v>
      </c>
      <c r="Z221" s="76"/>
    </row>
    <row r="222" spans="1:26" s="29" customFormat="1" ht="21" customHeight="1" x14ac:dyDescent="0.2">
      <c r="A222" s="30"/>
      <c r="H222" s="47"/>
      <c r="L222" s="34"/>
      <c r="N222" s="71"/>
      <c r="O222" s="72" t="s">
        <v>48</v>
      </c>
      <c r="P222" s="72">
        <v>29</v>
      </c>
      <c r="Q222" s="72">
        <v>1</v>
      </c>
      <c r="R222" s="72">
        <f t="shared" si="43"/>
        <v>2</v>
      </c>
      <c r="S222" s="63"/>
      <c r="T222" s="72" t="s">
        <v>48</v>
      </c>
      <c r="U222" s="105">
        <f>IF($J$1="March","",Y221)</f>
        <v>15000</v>
      </c>
      <c r="V222" s="74">
        <v>3000</v>
      </c>
      <c r="W222" s="105">
        <f t="shared" si="44"/>
        <v>18000</v>
      </c>
      <c r="X222" s="74">
        <v>5000</v>
      </c>
      <c r="Y222" s="105">
        <f t="shared" si="45"/>
        <v>13000</v>
      </c>
      <c r="Z222" s="76"/>
    </row>
    <row r="223" spans="1:26" s="29" customFormat="1" ht="21" customHeight="1" x14ac:dyDescent="0.2">
      <c r="A223" s="30"/>
      <c r="B223" s="392" t="s">
        <v>43</v>
      </c>
      <c r="C223" s="393"/>
      <c r="F223" s="48" t="s">
        <v>65</v>
      </c>
      <c r="G223" s="43">
        <f>IF($J$1="January",U219,IF($J$1="February",U220,IF($J$1="March",U221,IF($J$1="April",U222,IF($J$1="May",U223,IF($J$1="June",U224,IF($J$1="July",U225,IF($J$1="August",U226,IF($J$1="August",U226,IF($J$1="September",U227,IF($J$1="October",U228,IF($J$1="November",U229,IF($J$1="December",U230)))))))))))))</f>
        <v>15000</v>
      </c>
      <c r="H223" s="47"/>
      <c r="I223" s="49">
        <f>IF(C227&gt;0,$K$2,C225)</f>
        <v>30</v>
      </c>
      <c r="J223" s="50" t="s">
        <v>62</v>
      </c>
      <c r="K223" s="51">
        <f>K219/$K$2*I223</f>
        <v>25000</v>
      </c>
      <c r="L223" s="52"/>
      <c r="N223" s="71"/>
      <c r="O223" s="72" t="s">
        <v>49</v>
      </c>
      <c r="P223" s="72"/>
      <c r="Q223" s="72"/>
      <c r="R223" s="72">
        <f t="shared" si="43"/>
        <v>2</v>
      </c>
      <c r="S223" s="63"/>
      <c r="T223" s="72" t="s">
        <v>49</v>
      </c>
      <c r="U223" s="105" t="str">
        <f>IF($J$1="April","",Y222)</f>
        <v/>
      </c>
      <c r="V223" s="74"/>
      <c r="W223" s="105" t="str">
        <f t="shared" si="44"/>
        <v/>
      </c>
      <c r="X223" s="74"/>
      <c r="Y223" s="105" t="str">
        <f t="shared" si="45"/>
        <v/>
      </c>
      <c r="Z223" s="76"/>
    </row>
    <row r="224" spans="1:26" s="29" customFormat="1" ht="21" customHeight="1" x14ac:dyDescent="0.2">
      <c r="A224" s="30"/>
      <c r="B224" s="39"/>
      <c r="C224" s="39"/>
      <c r="F224" s="48" t="s">
        <v>21</v>
      </c>
      <c r="G224" s="43">
        <f>IF($J$1="January",V219,IF($J$1="February",V220,IF($J$1="March",V221,IF($J$1="April",V222,IF($J$1="May",V223,IF($J$1="June",V224,IF($J$1="July",V225,IF($J$1="August",V226,IF($J$1="August",V226,IF($J$1="September",V227,IF($J$1="October",V228,IF($J$1="November",V229,IF($J$1="December",V230)))))))))))))</f>
        <v>3000</v>
      </c>
      <c r="H224" s="47"/>
      <c r="I224" s="84">
        <v>82</v>
      </c>
      <c r="J224" s="50" t="s">
        <v>63</v>
      </c>
      <c r="K224" s="53">
        <f>K219/$K$2/8*I224</f>
        <v>8541.6666666666679</v>
      </c>
      <c r="L224" s="54"/>
      <c r="N224" s="71"/>
      <c r="O224" s="72" t="s">
        <v>50</v>
      </c>
      <c r="P224" s="72"/>
      <c r="Q224" s="72"/>
      <c r="R224" s="72">
        <f t="shared" si="43"/>
        <v>2</v>
      </c>
      <c r="S224" s="63"/>
      <c r="T224" s="72" t="s">
        <v>50</v>
      </c>
      <c r="U224" s="105" t="str">
        <f t="shared" ref="U224:U229" si="46">Y223</f>
        <v/>
      </c>
      <c r="V224" s="74"/>
      <c r="W224" s="105" t="str">
        <f t="shared" si="44"/>
        <v/>
      </c>
      <c r="X224" s="74"/>
      <c r="Y224" s="105" t="str">
        <f t="shared" si="45"/>
        <v/>
      </c>
      <c r="Z224" s="76"/>
    </row>
    <row r="225" spans="1:27" s="29" customFormat="1" ht="21" customHeight="1" x14ac:dyDescent="0.2">
      <c r="A225" s="30"/>
      <c r="B225" s="48" t="s">
        <v>7</v>
      </c>
      <c r="C225" s="39">
        <f>IF($J$1="January",P219,IF($J$1="February",P220,IF($J$1="March",P221,IF($J$1="April",P222,IF($J$1="May",P223,IF($J$1="June",P224,IF($J$1="July",P225,IF($J$1="August",P226,IF($J$1="August",P226,IF($J$1="September",P227,IF($J$1="October",P228,IF($J$1="November",P229,IF($J$1="December",P230)))))))))))))</f>
        <v>29</v>
      </c>
      <c r="F225" s="48" t="s">
        <v>66</v>
      </c>
      <c r="G225" s="43">
        <f>IF($J$1="January",W219,IF($J$1="February",W220,IF($J$1="March",W221,IF($J$1="April",W222,IF($J$1="May",W223,IF($J$1="June",W224,IF($J$1="July",W225,IF($J$1="August",W226,IF($J$1="August",W226,IF($J$1="September",W227,IF($J$1="October",W228,IF($J$1="November",W229,IF($J$1="December",W230)))))))))))))</f>
        <v>18000</v>
      </c>
      <c r="H225" s="47"/>
      <c r="I225" s="405" t="s">
        <v>70</v>
      </c>
      <c r="J225" s="406"/>
      <c r="K225" s="53">
        <f>K223+K224</f>
        <v>33541.666666666672</v>
      </c>
      <c r="L225" s="54"/>
      <c r="N225" s="71"/>
      <c r="O225" s="72" t="s">
        <v>51</v>
      </c>
      <c r="P225" s="72"/>
      <c r="Q225" s="72"/>
      <c r="R225" s="72">
        <f t="shared" si="43"/>
        <v>2</v>
      </c>
      <c r="S225" s="63"/>
      <c r="T225" s="72" t="s">
        <v>51</v>
      </c>
      <c r="U225" s="105" t="str">
        <f t="shared" si="46"/>
        <v/>
      </c>
      <c r="V225" s="74"/>
      <c r="W225" s="105" t="str">
        <f t="shared" si="44"/>
        <v/>
      </c>
      <c r="X225" s="74"/>
      <c r="Y225" s="105" t="str">
        <f t="shared" si="45"/>
        <v/>
      </c>
      <c r="Z225" s="76"/>
    </row>
    <row r="226" spans="1:27" s="29" customFormat="1" ht="21" customHeight="1" x14ac:dyDescent="0.2">
      <c r="A226" s="30"/>
      <c r="B226" s="48" t="s">
        <v>6</v>
      </c>
      <c r="C226" s="39">
        <f>IF($J$1="January",Q219,IF($J$1="February",Q220,IF($J$1="March",Q221,IF($J$1="April",Q222,IF($J$1="May",Q223,IF($J$1="June",Q224,IF($J$1="July",Q225,IF($J$1="August",Q226,IF($J$1="August",Q226,IF($J$1="September",Q227,IF($J$1="October",Q228,IF($J$1="November",Q229,IF($J$1="December",Q230)))))))))))))</f>
        <v>1</v>
      </c>
      <c r="F226" s="48" t="s">
        <v>22</v>
      </c>
      <c r="G226" s="43">
        <f>IF($J$1="January",X219,IF($J$1="February",X220,IF($J$1="March",X221,IF($J$1="April",X222,IF($J$1="May",X223,IF($J$1="June",X224,IF($J$1="July",X225,IF($J$1="August",X226,IF($J$1="August",X226,IF($J$1="September",X227,IF($J$1="October",X228,IF($J$1="November",X229,IF($J$1="December",X230)))))))))))))</f>
        <v>5000</v>
      </c>
      <c r="H226" s="47"/>
      <c r="I226" s="405" t="s">
        <v>71</v>
      </c>
      <c r="J226" s="406"/>
      <c r="K226" s="43">
        <f>G226</f>
        <v>5000</v>
      </c>
      <c r="L226" s="55"/>
      <c r="N226" s="71"/>
      <c r="O226" s="72" t="s">
        <v>52</v>
      </c>
      <c r="P226" s="72"/>
      <c r="Q226" s="72"/>
      <c r="R226" s="72">
        <f t="shared" si="43"/>
        <v>2</v>
      </c>
      <c r="S226" s="63"/>
      <c r="T226" s="72" t="s">
        <v>52</v>
      </c>
      <c r="U226" s="105" t="str">
        <f t="shared" si="46"/>
        <v/>
      </c>
      <c r="V226" s="74"/>
      <c r="W226" s="105" t="str">
        <f t="shared" si="44"/>
        <v/>
      </c>
      <c r="X226" s="74"/>
      <c r="Y226" s="105" t="str">
        <f t="shared" si="45"/>
        <v/>
      </c>
      <c r="Z226" s="76"/>
    </row>
    <row r="227" spans="1:27" s="29" customFormat="1" ht="21" customHeight="1" x14ac:dyDescent="0.2">
      <c r="A227" s="30"/>
      <c r="B227" s="56" t="s">
        <v>69</v>
      </c>
      <c r="C227" s="39">
        <f>IF($J$1="January",R219,IF($J$1="February",R220,IF($J$1="March",R221,IF($J$1="April",R222,IF($J$1="May",R223,IF($J$1="June",R224,IF($J$1="July",R225,IF($J$1="August",R226,IF($J$1="August",R226,IF($J$1="September",R227,IF($J$1="October",R228,IF($J$1="November",R229,IF($J$1="December",R230)))))))))))))</f>
        <v>2</v>
      </c>
      <c r="F227" s="48" t="s">
        <v>68</v>
      </c>
      <c r="G227" s="43">
        <f>IF($J$1="January",Y219,IF($J$1="February",Y220,IF($J$1="March",Y221,IF($J$1="April",Y222,IF($J$1="May",Y223,IF($J$1="June",Y224,IF($J$1="July",Y225,IF($J$1="August",Y226,IF($J$1="August",Y226,IF($J$1="September",Y227,IF($J$1="October",Y228,IF($J$1="November",Y229,IF($J$1="December",Y230)))))))))))))</f>
        <v>13000</v>
      </c>
      <c r="I227" s="394" t="s">
        <v>64</v>
      </c>
      <c r="J227" s="396"/>
      <c r="K227" s="57">
        <f>K225-K226</f>
        <v>28541.666666666672</v>
      </c>
      <c r="L227" s="58"/>
      <c r="N227" s="71"/>
      <c r="O227" s="72" t="s">
        <v>57</v>
      </c>
      <c r="P227" s="72"/>
      <c r="Q227" s="72"/>
      <c r="R227" s="72">
        <f t="shared" si="43"/>
        <v>2</v>
      </c>
      <c r="S227" s="63"/>
      <c r="T227" s="72" t="s">
        <v>57</v>
      </c>
      <c r="U227" s="105" t="str">
        <f t="shared" si="46"/>
        <v/>
      </c>
      <c r="V227" s="74"/>
      <c r="W227" s="105" t="str">
        <f t="shared" si="44"/>
        <v/>
      </c>
      <c r="X227" s="74"/>
      <c r="Y227" s="105" t="str">
        <f t="shared" si="45"/>
        <v/>
      </c>
      <c r="Z227" s="76"/>
    </row>
    <row r="228" spans="1:27" s="29" customFormat="1" ht="21" customHeight="1" x14ac:dyDescent="0.2">
      <c r="A228" s="30"/>
      <c r="K228" s="107"/>
      <c r="L228" s="46"/>
      <c r="N228" s="71"/>
      <c r="O228" s="72" t="s">
        <v>53</v>
      </c>
      <c r="P228" s="72"/>
      <c r="Q228" s="72"/>
      <c r="R228" s="72">
        <f t="shared" si="43"/>
        <v>2</v>
      </c>
      <c r="S228" s="63"/>
      <c r="T228" s="72" t="s">
        <v>53</v>
      </c>
      <c r="U228" s="105" t="str">
        <f t="shared" si="46"/>
        <v/>
      </c>
      <c r="V228" s="74"/>
      <c r="W228" s="105" t="str">
        <f t="shared" si="44"/>
        <v/>
      </c>
      <c r="X228" s="74"/>
      <c r="Y228" s="105" t="str">
        <f t="shared" si="45"/>
        <v/>
      </c>
      <c r="Z228" s="76"/>
    </row>
    <row r="229" spans="1:27" s="29" customFormat="1" ht="21" customHeight="1" x14ac:dyDescent="0.2">
      <c r="A229" s="30"/>
      <c r="B229" s="407" t="s">
        <v>87</v>
      </c>
      <c r="C229" s="407"/>
      <c r="D229" s="407"/>
      <c r="E229" s="407"/>
      <c r="F229" s="407"/>
      <c r="G229" s="407"/>
      <c r="H229" s="407"/>
      <c r="I229" s="407"/>
      <c r="J229" s="407"/>
      <c r="K229" s="407"/>
      <c r="L229" s="46"/>
      <c r="N229" s="71"/>
      <c r="O229" s="72" t="s">
        <v>58</v>
      </c>
      <c r="P229" s="72"/>
      <c r="Q229" s="72"/>
      <c r="R229" s="72">
        <f t="shared" si="43"/>
        <v>2</v>
      </c>
      <c r="S229" s="63"/>
      <c r="T229" s="72" t="s">
        <v>58</v>
      </c>
      <c r="U229" s="105" t="str">
        <f t="shared" si="46"/>
        <v/>
      </c>
      <c r="V229" s="74"/>
      <c r="W229" s="105" t="str">
        <f t="shared" si="44"/>
        <v/>
      </c>
      <c r="X229" s="74"/>
      <c r="Y229" s="105" t="str">
        <f t="shared" si="45"/>
        <v/>
      </c>
      <c r="Z229" s="76"/>
    </row>
    <row r="230" spans="1:27" s="29" customFormat="1" ht="21" customHeight="1" x14ac:dyDescent="0.2">
      <c r="A230" s="30"/>
      <c r="B230" s="407"/>
      <c r="C230" s="407"/>
      <c r="D230" s="407"/>
      <c r="E230" s="407"/>
      <c r="F230" s="407"/>
      <c r="G230" s="407"/>
      <c r="H230" s="407"/>
      <c r="I230" s="407"/>
      <c r="J230" s="407"/>
      <c r="K230" s="407"/>
      <c r="L230" s="46"/>
      <c r="N230" s="71"/>
      <c r="O230" s="72" t="s">
        <v>59</v>
      </c>
      <c r="P230" s="72"/>
      <c r="Q230" s="72"/>
      <c r="R230" s="72">
        <f t="shared" si="43"/>
        <v>2</v>
      </c>
      <c r="S230" s="63"/>
      <c r="T230" s="72" t="s">
        <v>59</v>
      </c>
      <c r="U230" s="105" t="str">
        <f>Y229</f>
        <v/>
      </c>
      <c r="V230" s="74"/>
      <c r="W230" s="105" t="str">
        <f t="shared" si="44"/>
        <v/>
      </c>
      <c r="X230" s="74"/>
      <c r="Y230" s="105" t="str">
        <f t="shared" si="45"/>
        <v/>
      </c>
      <c r="Z230" s="76"/>
    </row>
    <row r="231" spans="1:27" s="29" customFormat="1" ht="21" customHeight="1" thickBot="1" x14ac:dyDescent="0.25">
      <c r="A231" s="59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1"/>
      <c r="N231" s="77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9"/>
    </row>
    <row r="232" spans="1:27" s="29" customFormat="1" ht="21" customHeight="1" thickBot="1" x14ac:dyDescent="0.25"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 spans="1:27" s="29" customFormat="1" ht="21" customHeight="1" x14ac:dyDescent="0.2">
      <c r="A233" s="415" t="s">
        <v>41</v>
      </c>
      <c r="B233" s="416"/>
      <c r="C233" s="416"/>
      <c r="D233" s="416"/>
      <c r="E233" s="416"/>
      <c r="F233" s="416"/>
      <c r="G233" s="416"/>
      <c r="H233" s="416"/>
      <c r="I233" s="416"/>
      <c r="J233" s="416"/>
      <c r="K233" s="416"/>
      <c r="L233" s="417"/>
      <c r="M233" s="28"/>
      <c r="N233" s="64"/>
      <c r="O233" s="408" t="s">
        <v>43</v>
      </c>
      <c r="P233" s="409"/>
      <c r="Q233" s="409"/>
      <c r="R233" s="410"/>
      <c r="S233" s="65"/>
      <c r="T233" s="408" t="s">
        <v>44</v>
      </c>
      <c r="U233" s="409"/>
      <c r="V233" s="409"/>
      <c r="W233" s="409"/>
      <c r="X233" s="409"/>
      <c r="Y233" s="410"/>
      <c r="Z233" s="66"/>
      <c r="AA233" s="28"/>
    </row>
    <row r="234" spans="1:27" s="29" customFormat="1" ht="21" customHeight="1" x14ac:dyDescent="0.2">
      <c r="A234" s="30"/>
      <c r="C234" s="398" t="s">
        <v>85</v>
      </c>
      <c r="D234" s="398"/>
      <c r="E234" s="398"/>
      <c r="F234" s="398"/>
      <c r="G234" s="31" t="str">
        <f>$J$1</f>
        <v>April</v>
      </c>
      <c r="H234" s="397">
        <f>$K$1</f>
        <v>2023</v>
      </c>
      <c r="I234" s="397"/>
      <c r="K234" s="32"/>
      <c r="L234" s="33"/>
      <c r="M234" s="32"/>
      <c r="N234" s="67"/>
      <c r="O234" s="68" t="s">
        <v>54</v>
      </c>
      <c r="P234" s="68" t="s">
        <v>7</v>
      </c>
      <c r="Q234" s="68" t="s">
        <v>6</v>
      </c>
      <c r="R234" s="68" t="s">
        <v>55</v>
      </c>
      <c r="S234" s="69"/>
      <c r="T234" s="68" t="s">
        <v>54</v>
      </c>
      <c r="U234" s="68" t="s">
        <v>56</v>
      </c>
      <c r="V234" s="68" t="s">
        <v>21</v>
      </c>
      <c r="W234" s="68" t="s">
        <v>20</v>
      </c>
      <c r="X234" s="68" t="s">
        <v>22</v>
      </c>
      <c r="Y234" s="68" t="s">
        <v>60</v>
      </c>
      <c r="Z234" s="70"/>
      <c r="AA234" s="32"/>
    </row>
    <row r="235" spans="1:27" s="29" customFormat="1" ht="21" customHeight="1" x14ac:dyDescent="0.2">
      <c r="A235" s="30"/>
      <c r="D235" s="35"/>
      <c r="E235" s="35"/>
      <c r="F235" s="35"/>
      <c r="G235" s="35"/>
      <c r="H235" s="35"/>
      <c r="J235" s="36" t="s">
        <v>1</v>
      </c>
      <c r="K235" s="37">
        <f>24000+3000+3000</f>
        <v>30000</v>
      </c>
      <c r="L235" s="38"/>
      <c r="N235" s="71"/>
      <c r="O235" s="72" t="s">
        <v>46</v>
      </c>
      <c r="P235" s="72">
        <v>31</v>
      </c>
      <c r="Q235" s="72">
        <v>0</v>
      </c>
      <c r="R235" s="72">
        <f>15-Q235</f>
        <v>15</v>
      </c>
      <c r="S235" s="73"/>
      <c r="T235" s="72" t="s">
        <v>46</v>
      </c>
      <c r="U235" s="74">
        <v>68500</v>
      </c>
      <c r="V235" s="74"/>
      <c r="W235" s="74">
        <f>V235+U235</f>
        <v>68500</v>
      </c>
      <c r="X235" s="74">
        <v>5000</v>
      </c>
      <c r="Y235" s="74">
        <f>W235-X235</f>
        <v>63500</v>
      </c>
      <c r="Z235" s="70"/>
    </row>
    <row r="236" spans="1:27" s="29" customFormat="1" ht="21" customHeight="1" x14ac:dyDescent="0.2">
      <c r="A236" s="30"/>
      <c r="B236" s="29" t="s">
        <v>0</v>
      </c>
      <c r="C236" s="40" t="s">
        <v>75</v>
      </c>
      <c r="H236" s="41"/>
      <c r="I236" s="35"/>
      <c r="L236" s="42"/>
      <c r="M236" s="28"/>
      <c r="N236" s="75"/>
      <c r="O236" s="72" t="s">
        <v>72</v>
      </c>
      <c r="P236" s="72">
        <v>27</v>
      </c>
      <c r="Q236" s="72">
        <v>1</v>
      </c>
      <c r="R236" s="72">
        <f t="shared" ref="R236:R245" si="47">IF(Q236="","",R235-Q236)</f>
        <v>14</v>
      </c>
      <c r="S236" s="63"/>
      <c r="T236" s="72" t="s">
        <v>72</v>
      </c>
      <c r="U236" s="105">
        <f>Y235</f>
        <v>63500</v>
      </c>
      <c r="V236" s="74">
        <v>2000</v>
      </c>
      <c r="W236" s="105">
        <f>IF(U236="","",U236+V236)</f>
        <v>65500</v>
      </c>
      <c r="X236" s="74">
        <v>5000</v>
      </c>
      <c r="Y236" s="105">
        <f>IF(W236="","",W236-X236)</f>
        <v>60500</v>
      </c>
      <c r="Z236" s="76"/>
      <c r="AA236" s="28"/>
    </row>
    <row r="237" spans="1:27" s="29" customFormat="1" ht="21" customHeight="1" x14ac:dyDescent="0.2">
      <c r="A237" s="30"/>
      <c r="B237" s="44" t="s">
        <v>42</v>
      </c>
      <c r="C237" s="45"/>
      <c r="F237" s="414" t="s">
        <v>44</v>
      </c>
      <c r="G237" s="414"/>
      <c r="I237" s="414" t="s">
        <v>45</v>
      </c>
      <c r="J237" s="414"/>
      <c r="K237" s="414"/>
      <c r="L237" s="46"/>
      <c r="N237" s="71"/>
      <c r="O237" s="72" t="s">
        <v>47</v>
      </c>
      <c r="P237" s="72">
        <v>29</v>
      </c>
      <c r="Q237" s="72">
        <v>2</v>
      </c>
      <c r="R237" s="72">
        <f t="shared" si="47"/>
        <v>12</v>
      </c>
      <c r="S237" s="63"/>
      <c r="T237" s="72" t="s">
        <v>47</v>
      </c>
      <c r="U237" s="105">
        <f>Y236</f>
        <v>60500</v>
      </c>
      <c r="V237" s="74">
        <v>9000</v>
      </c>
      <c r="W237" s="105">
        <f t="shared" ref="W237:W246" si="48">IF(U237="","",U237+V237)</f>
        <v>69500</v>
      </c>
      <c r="X237" s="74"/>
      <c r="Y237" s="105">
        <f t="shared" ref="Y237:Y246" si="49">IF(W237="","",W237-X237)</f>
        <v>69500</v>
      </c>
      <c r="Z237" s="76"/>
    </row>
    <row r="238" spans="1:27" s="29" customFormat="1" ht="21" customHeight="1" x14ac:dyDescent="0.2">
      <c r="A238" s="30"/>
      <c r="H238" s="47"/>
      <c r="L238" s="34"/>
      <c r="N238" s="71"/>
      <c r="O238" s="72" t="s">
        <v>48</v>
      </c>
      <c r="P238" s="72">
        <v>27</v>
      </c>
      <c r="Q238" s="72">
        <v>3</v>
      </c>
      <c r="R238" s="72">
        <f t="shared" si="47"/>
        <v>9</v>
      </c>
      <c r="S238" s="63"/>
      <c r="T238" s="72" t="s">
        <v>48</v>
      </c>
      <c r="U238" s="105">
        <f>Y237</f>
        <v>69500</v>
      </c>
      <c r="V238" s="74">
        <f>5000+5000</f>
        <v>10000</v>
      </c>
      <c r="W238" s="105">
        <f t="shared" si="48"/>
        <v>79500</v>
      </c>
      <c r="X238" s="74">
        <v>5000</v>
      </c>
      <c r="Y238" s="105">
        <f t="shared" si="49"/>
        <v>74500</v>
      </c>
      <c r="Z238" s="76"/>
    </row>
    <row r="239" spans="1:27" s="29" customFormat="1" ht="21" customHeight="1" x14ac:dyDescent="0.2">
      <c r="A239" s="30"/>
      <c r="B239" s="392" t="s">
        <v>43</v>
      </c>
      <c r="C239" s="393"/>
      <c r="F239" s="48" t="s">
        <v>65</v>
      </c>
      <c r="G239" s="43">
        <f>IF($J$1="January",U235,IF($J$1="February",U236,IF($J$1="March",U237,IF($J$1="April",U238,IF($J$1="May",U239,IF($J$1="June",U240,IF($J$1="July",U241,IF($J$1="August",U242,IF($J$1="August",U242,IF($J$1="September",U243,IF($J$1="October",U244,IF($J$1="November",U245,IF($J$1="December",U246)))))))))))))</f>
        <v>69500</v>
      </c>
      <c r="H239" s="47"/>
      <c r="I239" s="49">
        <f>IF(C243&gt;0,$K$2,C241)</f>
        <v>30</v>
      </c>
      <c r="J239" s="50" t="s">
        <v>62</v>
      </c>
      <c r="K239" s="51">
        <f>K235/$K$2*I239</f>
        <v>30000</v>
      </c>
      <c r="L239" s="52"/>
      <c r="N239" s="71"/>
      <c r="O239" s="72" t="s">
        <v>49</v>
      </c>
      <c r="P239" s="72"/>
      <c r="Q239" s="72"/>
      <c r="R239" s="72" t="str">
        <f t="shared" si="47"/>
        <v/>
      </c>
      <c r="S239" s="63"/>
      <c r="T239" s="72" t="s">
        <v>49</v>
      </c>
      <c r="U239" s="105">
        <v>0</v>
      </c>
      <c r="V239" s="74"/>
      <c r="W239" s="105">
        <f t="shared" si="48"/>
        <v>0</v>
      </c>
      <c r="X239" s="74"/>
      <c r="Y239" s="105">
        <f t="shared" si="49"/>
        <v>0</v>
      </c>
      <c r="Z239" s="76"/>
    </row>
    <row r="240" spans="1:27" s="29" customFormat="1" ht="21" customHeight="1" x14ac:dyDescent="0.2">
      <c r="A240" s="30"/>
      <c r="B240" s="39"/>
      <c r="C240" s="39"/>
      <c r="F240" s="48" t="s">
        <v>21</v>
      </c>
      <c r="G240" s="109">
        <f>IF($J$1="January",V235,IF($J$1="February",V236,IF($J$1="March",V237,IF($J$1="April",V238,IF($J$1="May",V239,IF($J$1="June",V240,IF($J$1="July",V241,IF($J$1="August",V242,IF($J$1="August",V242,IF($J$1="September",V243,IF($J$1="October",V244,IF($J$1="November",V245,IF($J$1="December",V246)))))))))))))</f>
        <v>10000</v>
      </c>
      <c r="H240" s="47"/>
      <c r="I240" s="84">
        <v>88</v>
      </c>
      <c r="J240" s="50" t="s">
        <v>63</v>
      </c>
      <c r="K240" s="53">
        <f>K235/$K$2/8*I240</f>
        <v>11000</v>
      </c>
      <c r="L240" s="54"/>
      <c r="N240" s="71"/>
      <c r="O240" s="72" t="s">
        <v>50</v>
      </c>
      <c r="P240" s="72"/>
      <c r="Q240" s="72"/>
      <c r="R240" s="72" t="str">
        <f t="shared" si="47"/>
        <v/>
      </c>
      <c r="S240" s="63"/>
      <c r="T240" s="72" t="s">
        <v>50</v>
      </c>
      <c r="U240" s="105"/>
      <c r="V240" s="74"/>
      <c r="W240" s="105" t="str">
        <f t="shared" si="48"/>
        <v/>
      </c>
      <c r="X240" s="74"/>
      <c r="Y240" s="105" t="str">
        <f t="shared" si="49"/>
        <v/>
      </c>
      <c r="Z240" s="76"/>
    </row>
    <row r="241" spans="1:26" s="29" customFormat="1" ht="21" customHeight="1" x14ac:dyDescent="0.2">
      <c r="A241" s="30"/>
      <c r="B241" s="48" t="s">
        <v>7</v>
      </c>
      <c r="C241" s="39">
        <f>IF($J$1="January",P235,IF($J$1="February",P236,IF($J$1="March",P237,IF($J$1="April",P238,IF($J$1="May",P239,IF($J$1="June",P240,IF($J$1="July",P241,IF($J$1="August",P242,IF($J$1="August",P242,IF($J$1="September",P243,IF($J$1="October",P244,IF($J$1="November",P245,IF($J$1="December",P246)))))))))))))</f>
        <v>27</v>
      </c>
      <c r="F241" s="48" t="s">
        <v>66</v>
      </c>
      <c r="G241" s="109">
        <f>IF($J$1="January",W235,IF($J$1="February",W236,IF($J$1="March",W237,IF($J$1="April",W238,IF($J$1="May",W239,IF($J$1="June",W240,IF($J$1="July",W241,IF($J$1="August",W242,IF($J$1="August",W242,IF($J$1="September",W243,IF($J$1="October",W244,IF($J$1="November",W245,IF($J$1="December",W246)))))))))))))</f>
        <v>79500</v>
      </c>
      <c r="H241" s="47"/>
      <c r="I241" s="405" t="s">
        <v>70</v>
      </c>
      <c r="J241" s="406"/>
      <c r="K241" s="53">
        <f>K239+K240</f>
        <v>41000</v>
      </c>
      <c r="L241" s="54"/>
      <c r="N241" s="71"/>
      <c r="O241" s="72" t="s">
        <v>51</v>
      </c>
      <c r="P241" s="72"/>
      <c r="Q241" s="72"/>
      <c r="R241" s="72">
        <v>0</v>
      </c>
      <c r="S241" s="63"/>
      <c r="T241" s="72" t="s">
        <v>51</v>
      </c>
      <c r="U241" s="105"/>
      <c r="V241" s="74"/>
      <c r="W241" s="105" t="str">
        <f t="shared" si="48"/>
        <v/>
      </c>
      <c r="X241" s="74"/>
      <c r="Y241" s="105" t="str">
        <f t="shared" si="49"/>
        <v/>
      </c>
      <c r="Z241" s="76"/>
    </row>
    <row r="242" spans="1:26" s="29" customFormat="1" ht="21" customHeight="1" x14ac:dyDescent="0.2">
      <c r="A242" s="30"/>
      <c r="B242" s="48" t="s">
        <v>6</v>
      </c>
      <c r="C242" s="39">
        <f>IF($J$1="January",Q235,IF($J$1="February",Q236,IF($J$1="March",Q237,IF($J$1="April",Q238,IF($J$1="May",Q239,IF($J$1="June",Q240,IF($J$1="July",Q241,IF($J$1="August",Q242,IF($J$1="August",Q242,IF($J$1="September",Q243,IF($J$1="October",Q244,IF($J$1="November",Q245,IF($J$1="December",Q246)))))))))))))</f>
        <v>3</v>
      </c>
      <c r="F242" s="48" t="s">
        <v>22</v>
      </c>
      <c r="G242" s="109">
        <f>IF($J$1="January",X235,IF($J$1="February",X236,IF($J$1="March",X237,IF($J$1="April",X238,IF($J$1="May",X239,IF($J$1="June",X240,IF($J$1="July",X241,IF($J$1="August",X242,IF($J$1="August",X242,IF($J$1="September",X243,IF($J$1="October",X244,IF($J$1="November",X245,IF($J$1="December",X246)))))))))))))</f>
        <v>5000</v>
      </c>
      <c r="H242" s="47"/>
      <c r="I242" s="405" t="s">
        <v>71</v>
      </c>
      <c r="J242" s="406"/>
      <c r="K242" s="43">
        <f>G242</f>
        <v>5000</v>
      </c>
      <c r="L242" s="55"/>
      <c r="N242" s="71"/>
      <c r="O242" s="72" t="s">
        <v>52</v>
      </c>
      <c r="P242" s="72"/>
      <c r="Q242" s="72"/>
      <c r="R242" s="72">
        <v>0</v>
      </c>
      <c r="S242" s="63"/>
      <c r="T242" s="72" t="s">
        <v>52</v>
      </c>
      <c r="U242" s="105"/>
      <c r="V242" s="74"/>
      <c r="W242" s="105" t="str">
        <f t="shared" si="48"/>
        <v/>
      </c>
      <c r="X242" s="74"/>
      <c r="Y242" s="105" t="str">
        <f t="shared" si="49"/>
        <v/>
      </c>
      <c r="Z242" s="76"/>
    </row>
    <row r="243" spans="1:26" s="29" customFormat="1" ht="21" customHeight="1" x14ac:dyDescent="0.2">
      <c r="A243" s="30"/>
      <c r="B243" s="56" t="s">
        <v>69</v>
      </c>
      <c r="C243" s="39">
        <f>IF($J$1="January",R235,IF($J$1="February",R236,IF($J$1="March",R237,IF($J$1="April",R238,IF($J$1="May",R239,IF($J$1="June",R240,IF($J$1="July",R241,IF($J$1="August",R242,IF($J$1="August",R242,IF($J$1="September",R243,IF($J$1="October",R244,IF($J$1="November",R245,IF($J$1="December",R246)))))))))))))</f>
        <v>9</v>
      </c>
      <c r="F243" s="48" t="s">
        <v>68</v>
      </c>
      <c r="G243" s="109">
        <f>IF($J$1="January",Y235,IF($J$1="February",Y236,IF($J$1="March",Y237,IF($J$1="April",Y238,IF($J$1="May",Y239,IF($J$1="June",Y240,IF($J$1="July",Y241,IF($J$1="August",Y242,IF($J$1="August",Y242,IF($J$1="September",Y243,IF($J$1="October",Y244,IF($J$1="November",Y245,IF($J$1="December",Y246)))))))))))))</f>
        <v>74500</v>
      </c>
      <c r="I243" s="394" t="s">
        <v>64</v>
      </c>
      <c r="J243" s="396"/>
      <c r="K243" s="57">
        <f>K241-K242</f>
        <v>36000</v>
      </c>
      <c r="L243" s="58"/>
      <c r="N243" s="71"/>
      <c r="O243" s="72" t="s">
        <v>57</v>
      </c>
      <c r="P243" s="72"/>
      <c r="Q243" s="72"/>
      <c r="R243" s="72">
        <v>0</v>
      </c>
      <c r="S243" s="63"/>
      <c r="T243" s="72" t="s">
        <v>57</v>
      </c>
      <c r="U243" s="105"/>
      <c r="V243" s="74"/>
      <c r="W243" s="105" t="str">
        <f t="shared" si="48"/>
        <v/>
      </c>
      <c r="X243" s="74"/>
      <c r="Y243" s="105" t="str">
        <f t="shared" si="49"/>
        <v/>
      </c>
      <c r="Z243" s="76"/>
    </row>
    <row r="244" spans="1:26" s="29" customFormat="1" ht="21" customHeight="1" x14ac:dyDescent="0.2">
      <c r="A244" s="30"/>
      <c r="J244" s="107"/>
      <c r="K244" s="107"/>
      <c r="L244" s="46"/>
      <c r="N244" s="71"/>
      <c r="O244" s="72" t="s">
        <v>53</v>
      </c>
      <c r="P244" s="72"/>
      <c r="Q244" s="72"/>
      <c r="R244" s="72">
        <v>0</v>
      </c>
      <c r="S244" s="63">
        <v>0</v>
      </c>
      <c r="T244" s="72" t="s">
        <v>53</v>
      </c>
      <c r="U244" s="105"/>
      <c r="V244" s="74"/>
      <c r="W244" s="105" t="str">
        <f t="shared" si="48"/>
        <v/>
      </c>
      <c r="X244" s="74"/>
      <c r="Y244" s="105" t="str">
        <f t="shared" si="49"/>
        <v/>
      </c>
      <c r="Z244" s="76"/>
    </row>
    <row r="245" spans="1:26" s="29" customFormat="1" ht="21" customHeight="1" x14ac:dyDescent="0.2">
      <c r="A245" s="30"/>
      <c r="B245" s="407" t="s">
        <v>87</v>
      </c>
      <c r="C245" s="407"/>
      <c r="D245" s="407"/>
      <c r="E245" s="407"/>
      <c r="F245" s="407"/>
      <c r="G245" s="407"/>
      <c r="H245" s="407"/>
      <c r="I245" s="407"/>
      <c r="J245" s="407"/>
      <c r="K245" s="407"/>
      <c r="L245" s="46"/>
      <c r="N245" s="71"/>
      <c r="O245" s="72" t="s">
        <v>58</v>
      </c>
      <c r="P245" s="72"/>
      <c r="Q245" s="72"/>
      <c r="R245" s="72" t="str">
        <f t="shared" si="47"/>
        <v/>
      </c>
      <c r="S245" s="63"/>
      <c r="T245" s="72" t="s">
        <v>58</v>
      </c>
      <c r="U245" s="105"/>
      <c r="V245" s="74"/>
      <c r="W245" s="105" t="str">
        <f t="shared" si="48"/>
        <v/>
      </c>
      <c r="X245" s="74"/>
      <c r="Y245" s="105" t="str">
        <f t="shared" si="49"/>
        <v/>
      </c>
      <c r="Z245" s="76"/>
    </row>
    <row r="246" spans="1:26" s="29" customFormat="1" ht="21" customHeight="1" x14ac:dyDescent="0.2">
      <c r="A246" s="30"/>
      <c r="B246" s="407"/>
      <c r="C246" s="407"/>
      <c r="D246" s="407"/>
      <c r="E246" s="407"/>
      <c r="F246" s="407"/>
      <c r="G246" s="407"/>
      <c r="H246" s="407"/>
      <c r="I246" s="407"/>
      <c r="J246" s="407"/>
      <c r="K246" s="407"/>
      <c r="L246" s="46"/>
      <c r="N246" s="71"/>
      <c r="O246" s="72" t="s">
        <v>59</v>
      </c>
      <c r="P246" s="72"/>
      <c r="Q246" s="72"/>
      <c r="R246" s="72">
        <v>0</v>
      </c>
      <c r="S246" s="63"/>
      <c r="T246" s="72" t="s">
        <v>59</v>
      </c>
      <c r="U246" s="105"/>
      <c r="V246" s="74"/>
      <c r="W246" s="105" t="str">
        <f t="shared" si="48"/>
        <v/>
      </c>
      <c r="X246" s="74"/>
      <c r="Y246" s="105" t="str">
        <f t="shared" si="49"/>
        <v/>
      </c>
      <c r="Z246" s="76"/>
    </row>
    <row r="247" spans="1:26" s="29" customFormat="1" ht="21" customHeight="1" thickBot="1" x14ac:dyDescent="0.25">
      <c r="A247" s="59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1"/>
      <c r="N247" s="77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9"/>
    </row>
    <row r="248" spans="1:26" s="29" customFormat="1" ht="21" customHeight="1" thickBot="1" x14ac:dyDescent="0.25"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 spans="1:26" s="29" customFormat="1" ht="21" customHeight="1" x14ac:dyDescent="0.2">
      <c r="A249" s="411" t="s">
        <v>41</v>
      </c>
      <c r="B249" s="412"/>
      <c r="C249" s="412"/>
      <c r="D249" s="412"/>
      <c r="E249" s="412"/>
      <c r="F249" s="412"/>
      <c r="G249" s="412"/>
      <c r="H249" s="412"/>
      <c r="I249" s="412"/>
      <c r="J249" s="412"/>
      <c r="K249" s="412"/>
      <c r="L249" s="413"/>
      <c r="M249" s="28"/>
      <c r="N249" s="64"/>
      <c r="O249" s="408" t="s">
        <v>43</v>
      </c>
      <c r="P249" s="409"/>
      <c r="Q249" s="409"/>
      <c r="R249" s="410"/>
      <c r="S249" s="65"/>
      <c r="T249" s="408" t="s">
        <v>44</v>
      </c>
      <c r="U249" s="409"/>
      <c r="V249" s="409"/>
      <c r="W249" s="409"/>
      <c r="X249" s="409"/>
      <c r="Y249" s="410"/>
      <c r="Z249" s="66"/>
    </row>
    <row r="250" spans="1:26" s="29" customFormat="1" ht="21" customHeight="1" x14ac:dyDescent="0.2">
      <c r="A250" s="30"/>
      <c r="C250" s="398" t="s">
        <v>85</v>
      </c>
      <c r="D250" s="398"/>
      <c r="E250" s="398"/>
      <c r="F250" s="398"/>
      <c r="G250" s="31" t="str">
        <f>$J$1</f>
        <v>April</v>
      </c>
      <c r="H250" s="397">
        <f>$K$1</f>
        <v>2023</v>
      </c>
      <c r="I250" s="397"/>
      <c r="K250" s="32"/>
      <c r="L250" s="33"/>
      <c r="M250" s="32"/>
      <c r="N250" s="67"/>
      <c r="O250" s="68" t="s">
        <v>54</v>
      </c>
      <c r="P250" s="68" t="s">
        <v>7</v>
      </c>
      <c r="Q250" s="68" t="s">
        <v>6</v>
      </c>
      <c r="R250" s="68" t="s">
        <v>55</v>
      </c>
      <c r="S250" s="69"/>
      <c r="T250" s="68" t="s">
        <v>54</v>
      </c>
      <c r="U250" s="68" t="s">
        <v>56</v>
      </c>
      <c r="V250" s="68" t="s">
        <v>21</v>
      </c>
      <c r="W250" s="68" t="s">
        <v>20</v>
      </c>
      <c r="X250" s="68" t="s">
        <v>22</v>
      </c>
      <c r="Y250" s="68" t="s">
        <v>60</v>
      </c>
      <c r="Z250" s="70"/>
    </row>
    <row r="251" spans="1:26" s="29" customFormat="1" ht="21" customHeight="1" x14ac:dyDescent="0.2">
      <c r="A251" s="30"/>
      <c r="D251" s="35"/>
      <c r="E251" s="35"/>
      <c r="F251" s="35"/>
      <c r="G251" s="35"/>
      <c r="H251" s="35"/>
      <c r="J251" s="36" t="s">
        <v>1</v>
      </c>
      <c r="K251" s="37">
        <f>22000+2000+2000</f>
        <v>26000</v>
      </c>
      <c r="L251" s="38"/>
      <c r="N251" s="71"/>
      <c r="O251" s="72" t="s">
        <v>46</v>
      </c>
      <c r="P251" s="72">
        <v>13</v>
      </c>
      <c r="Q251" s="72">
        <v>18</v>
      </c>
      <c r="R251" s="72">
        <v>0</v>
      </c>
      <c r="S251" s="73"/>
      <c r="T251" s="72" t="s">
        <v>46</v>
      </c>
      <c r="U251" s="74">
        <v>4000</v>
      </c>
      <c r="V251" s="74">
        <f>2000+7000</f>
        <v>9000</v>
      </c>
      <c r="W251" s="74">
        <f>V251+U251</f>
        <v>13000</v>
      </c>
      <c r="X251" s="74">
        <v>9000</v>
      </c>
      <c r="Y251" s="74">
        <f>W251-X251</f>
        <v>4000</v>
      </c>
      <c r="Z251" s="70"/>
    </row>
    <row r="252" spans="1:26" s="29" customFormat="1" ht="21" customHeight="1" x14ac:dyDescent="0.2">
      <c r="A252" s="30"/>
      <c r="B252" s="29" t="s">
        <v>0</v>
      </c>
      <c r="C252" s="40" t="s">
        <v>86</v>
      </c>
      <c r="H252" s="41"/>
      <c r="I252" s="35"/>
      <c r="L252" s="42"/>
      <c r="M252" s="28"/>
      <c r="N252" s="75"/>
      <c r="O252" s="72" t="s">
        <v>72</v>
      </c>
      <c r="P252" s="72">
        <v>28</v>
      </c>
      <c r="Q252" s="72">
        <v>0</v>
      </c>
      <c r="R252" s="72">
        <f t="shared" ref="R252:R261" si="50">IF(Q252="","",R251-Q252)</f>
        <v>0</v>
      </c>
      <c r="S252" s="63"/>
      <c r="T252" s="72" t="s">
        <v>72</v>
      </c>
      <c r="U252" s="105">
        <f>Y251</f>
        <v>4000</v>
      </c>
      <c r="V252" s="74">
        <f>5000+3000+2000</f>
        <v>10000</v>
      </c>
      <c r="W252" s="105">
        <f>IF(U252="","",U252+V252)</f>
        <v>14000</v>
      </c>
      <c r="X252" s="74">
        <v>10000</v>
      </c>
      <c r="Y252" s="105">
        <f>IF(W252="","",W252-X252)</f>
        <v>4000</v>
      </c>
      <c r="Z252" s="76"/>
    </row>
    <row r="253" spans="1:26" s="29" customFormat="1" ht="21" customHeight="1" x14ac:dyDescent="0.2">
      <c r="A253" s="30"/>
      <c r="B253" s="44" t="s">
        <v>42</v>
      </c>
      <c r="C253" s="40"/>
      <c r="F253" s="414" t="s">
        <v>44</v>
      </c>
      <c r="G253" s="414"/>
      <c r="I253" s="414" t="s">
        <v>45</v>
      </c>
      <c r="J253" s="414"/>
      <c r="K253" s="414"/>
      <c r="L253" s="46"/>
      <c r="N253" s="71"/>
      <c r="O253" s="72" t="s">
        <v>47</v>
      </c>
      <c r="P253" s="72">
        <v>24</v>
      </c>
      <c r="Q253" s="72">
        <v>7</v>
      </c>
      <c r="R253" s="72">
        <v>0</v>
      </c>
      <c r="S253" s="63"/>
      <c r="T253" s="72" t="s">
        <v>47</v>
      </c>
      <c r="U253" s="105">
        <f>Y252</f>
        <v>4000</v>
      </c>
      <c r="V253" s="74">
        <f>3000+3000</f>
        <v>6000</v>
      </c>
      <c r="W253" s="105">
        <f t="shared" ref="W253:W262" si="51">IF(U253="","",U253+V253)</f>
        <v>10000</v>
      </c>
      <c r="X253" s="74">
        <v>7000</v>
      </c>
      <c r="Y253" s="105">
        <f t="shared" ref="Y253:Y262" si="52">IF(W253="","",W253-X253)</f>
        <v>3000</v>
      </c>
      <c r="Z253" s="76"/>
    </row>
    <row r="254" spans="1:26" s="29" customFormat="1" ht="21" customHeight="1" x14ac:dyDescent="0.2">
      <c r="A254" s="30"/>
      <c r="H254" s="47"/>
      <c r="L254" s="34"/>
      <c r="N254" s="71"/>
      <c r="O254" s="72" t="s">
        <v>48</v>
      </c>
      <c r="P254" s="72">
        <v>28</v>
      </c>
      <c r="Q254" s="72">
        <v>2</v>
      </c>
      <c r="R254" s="72">
        <v>0</v>
      </c>
      <c r="S254" s="63"/>
      <c r="T254" s="72" t="s">
        <v>48</v>
      </c>
      <c r="U254" s="105">
        <f>Y253</f>
        <v>3000</v>
      </c>
      <c r="V254" s="74">
        <f>1000+10000+1000+500</f>
        <v>12500</v>
      </c>
      <c r="W254" s="105">
        <f t="shared" si="51"/>
        <v>15500</v>
      </c>
      <c r="X254" s="74">
        <v>7000</v>
      </c>
      <c r="Y254" s="105">
        <f t="shared" si="52"/>
        <v>8500</v>
      </c>
      <c r="Z254" s="76"/>
    </row>
    <row r="255" spans="1:26" s="29" customFormat="1" ht="21" customHeight="1" x14ac:dyDescent="0.2">
      <c r="A255" s="30"/>
      <c r="B255" s="392" t="s">
        <v>43</v>
      </c>
      <c r="C255" s="393"/>
      <c r="F255" s="48" t="s">
        <v>65</v>
      </c>
      <c r="G255" s="93">
        <f>IF($J$1="January",U251,IF($J$1="February",U252,IF($J$1="March",U253,IF($J$1="April",U254,IF($J$1="May",U255,IF($J$1="June",U256,IF($J$1="July",U257,IF($J$1="August",U258,IF($J$1="August",U258,IF($J$1="September",U259,IF($J$1="October",U260,IF($J$1="November",U261,IF($J$1="December",U262)))))))))))))</f>
        <v>3000</v>
      </c>
      <c r="H255" s="47"/>
      <c r="I255" s="49">
        <f>IF(C259&gt;0,$K$2,C257)</f>
        <v>28</v>
      </c>
      <c r="J255" s="50" t="s">
        <v>62</v>
      </c>
      <c r="K255" s="51">
        <f>K251/$K$2*I255</f>
        <v>24266.666666666664</v>
      </c>
      <c r="L255" s="52"/>
      <c r="N255" s="71"/>
      <c r="O255" s="72" t="s">
        <v>49</v>
      </c>
      <c r="P255" s="72"/>
      <c r="Q255" s="72"/>
      <c r="R255" s="72">
        <v>0</v>
      </c>
      <c r="S255" s="63"/>
      <c r="T255" s="72" t="s">
        <v>49</v>
      </c>
      <c r="U255" s="105">
        <v>0</v>
      </c>
      <c r="V255" s="74"/>
      <c r="W255" s="105">
        <f t="shared" si="51"/>
        <v>0</v>
      </c>
      <c r="X255" s="74"/>
      <c r="Y255" s="105">
        <f t="shared" si="52"/>
        <v>0</v>
      </c>
      <c r="Z255" s="76"/>
    </row>
    <row r="256" spans="1:26" s="29" customFormat="1" ht="21" customHeight="1" x14ac:dyDescent="0.2">
      <c r="A256" s="30"/>
      <c r="B256" s="39"/>
      <c r="C256" s="39"/>
      <c r="F256" s="48" t="s">
        <v>21</v>
      </c>
      <c r="G256" s="93">
        <f>IF($J$1="January",V251,IF($J$1="February",V252,IF($J$1="March",V253,IF($J$1="April",V254,IF($J$1="May",V255,IF($J$1="June",V256,IF($J$1="July",V257,IF($J$1="August",V258,IF($J$1="August",V258,IF($J$1="September",V259,IF($J$1="October",V260,IF($J$1="November",V261,IF($J$1="December",V262)))))))))))))</f>
        <v>12500</v>
      </c>
      <c r="H256" s="47"/>
      <c r="I256" s="84">
        <v>24</v>
      </c>
      <c r="J256" s="50" t="s">
        <v>63</v>
      </c>
      <c r="K256" s="53">
        <f>K251/$K$2/8*I256</f>
        <v>2600</v>
      </c>
      <c r="L256" s="54"/>
      <c r="N256" s="71"/>
      <c r="O256" s="72" t="s">
        <v>50</v>
      </c>
      <c r="P256" s="72"/>
      <c r="Q256" s="72"/>
      <c r="R256" s="72">
        <v>0</v>
      </c>
      <c r="S256" s="63"/>
      <c r="T256" s="72" t="s">
        <v>50</v>
      </c>
      <c r="U256" s="105"/>
      <c r="V256" s="74"/>
      <c r="W256" s="105" t="str">
        <f t="shared" si="51"/>
        <v/>
      </c>
      <c r="X256" s="74"/>
      <c r="Y256" s="105" t="str">
        <f t="shared" si="52"/>
        <v/>
      </c>
      <c r="Z256" s="76"/>
    </row>
    <row r="257" spans="1:26" s="29" customFormat="1" ht="21" customHeight="1" x14ac:dyDescent="0.2">
      <c r="A257" s="30"/>
      <c r="B257" s="48" t="s">
        <v>7</v>
      </c>
      <c r="C257" s="39">
        <f>IF($J$1="January",P251,IF($J$1="February",P252,IF($J$1="March",P253,IF($J$1="April",P254,IF($J$1="May",P255,IF($J$1="June",P256,IF($J$1="July",P257,IF($J$1="August",P258,IF($J$1="August",P258,IF($J$1="September",P259,IF($J$1="October",P260,IF($J$1="November",P261,IF($J$1="December",P262)))))))))))))</f>
        <v>28</v>
      </c>
      <c r="F257" s="48" t="s">
        <v>66</v>
      </c>
      <c r="G257" s="93">
        <f>IF($J$1="January",W251,IF($J$1="February",W252,IF($J$1="March",W253,IF($J$1="April",W254,IF($J$1="May",W255,IF($J$1="June",W256,IF($J$1="July",W257,IF($J$1="August",W258,IF($J$1="August",W258,IF($J$1="September",W259,IF($J$1="October",W260,IF($J$1="November",W261,IF($J$1="December",W262)))))))))))))</f>
        <v>15500</v>
      </c>
      <c r="H257" s="47"/>
      <c r="I257" s="405" t="s">
        <v>70</v>
      </c>
      <c r="J257" s="406"/>
      <c r="K257" s="53">
        <f>K255+K256</f>
        <v>26866.666666666664</v>
      </c>
      <c r="L257" s="54"/>
      <c r="N257" s="71"/>
      <c r="O257" s="72" t="s">
        <v>51</v>
      </c>
      <c r="P257" s="72"/>
      <c r="Q257" s="72"/>
      <c r="R257" s="72">
        <v>0</v>
      </c>
      <c r="S257" s="63"/>
      <c r="T257" s="72" t="s">
        <v>51</v>
      </c>
      <c r="U257" s="105"/>
      <c r="V257" s="74"/>
      <c r="W257" s="105" t="str">
        <f t="shared" si="51"/>
        <v/>
      </c>
      <c r="X257" s="74"/>
      <c r="Y257" s="105" t="str">
        <f t="shared" si="52"/>
        <v/>
      </c>
      <c r="Z257" s="76"/>
    </row>
    <row r="258" spans="1:26" s="29" customFormat="1" ht="21" customHeight="1" x14ac:dyDescent="0.2">
      <c r="A258" s="30"/>
      <c r="B258" s="48" t="s">
        <v>6</v>
      </c>
      <c r="C258" s="39">
        <f>IF($J$1="January",Q251,IF($J$1="February",Q252,IF($J$1="March",Q253,IF($J$1="April",Q254,IF($J$1="May",Q255,IF($J$1="June",Q256,IF($J$1="July",Q257,IF($J$1="August",Q258,IF($J$1="August",Q258,IF($J$1="September",Q259,IF($J$1="October",Q260,IF($J$1="November",Q261,IF($J$1="December",Q262)))))))))))))</f>
        <v>2</v>
      </c>
      <c r="F258" s="48" t="s">
        <v>22</v>
      </c>
      <c r="G258" s="93">
        <f>IF($J$1="January",X251,IF($J$1="February",X252,IF($J$1="March",X253,IF($J$1="April",X254,IF($J$1="May",X255,IF($J$1="June",X256,IF($J$1="July",X257,IF($J$1="August",X258,IF($J$1="August",X258,IF($J$1="September",X259,IF($J$1="October",X260,IF($J$1="November",X261,IF($J$1="December",X262)))))))))))))</f>
        <v>7000</v>
      </c>
      <c r="H258" s="47"/>
      <c r="I258" s="405" t="s">
        <v>71</v>
      </c>
      <c r="J258" s="406"/>
      <c r="K258" s="43">
        <f>G258</f>
        <v>7000</v>
      </c>
      <c r="L258" s="55"/>
      <c r="N258" s="71"/>
      <c r="O258" s="72" t="s">
        <v>52</v>
      </c>
      <c r="P258" s="72"/>
      <c r="Q258" s="72"/>
      <c r="R258" s="72">
        <v>0</v>
      </c>
      <c r="S258" s="63"/>
      <c r="T258" s="72" t="s">
        <v>52</v>
      </c>
      <c r="U258" s="105"/>
      <c r="V258" s="74"/>
      <c r="W258" s="105" t="str">
        <f t="shared" si="51"/>
        <v/>
      </c>
      <c r="X258" s="74"/>
      <c r="Y258" s="105" t="str">
        <f t="shared" si="52"/>
        <v/>
      </c>
      <c r="Z258" s="76"/>
    </row>
    <row r="259" spans="1:26" s="29" customFormat="1" ht="21" customHeight="1" x14ac:dyDescent="0.2">
      <c r="A259" s="30"/>
      <c r="B259" s="56" t="s">
        <v>69</v>
      </c>
      <c r="C259" s="39">
        <f>IF($J$1="January",R251,IF($J$1="February",R252,IF($J$1="March",R253,IF($J$1="April",R254,IF($J$1="May",R255,IF($J$1="June",R256,IF($J$1="July",R257,IF($J$1="August",R258,IF($J$1="August",R258,IF($J$1="September",R259,IF($J$1="October",R260,IF($J$1="November",R261,IF($J$1="December",R262)))))))))))))</f>
        <v>0</v>
      </c>
      <c r="F259" s="48" t="s">
        <v>68</v>
      </c>
      <c r="G259" s="93">
        <f>IF($J$1="January",Y251,IF($J$1="February",Y252,IF($J$1="March",Y253,IF($J$1="April",Y254,IF($J$1="May",Y255,IF($J$1="June",Y256,IF($J$1="July",Y257,IF($J$1="August",Y258,IF($J$1="August",Y258,IF($J$1="September",Y259,IF($J$1="October",Y260,IF($J$1="November",Y261,IF($J$1="December",Y262)))))))))))))</f>
        <v>8500</v>
      </c>
      <c r="I259" s="394" t="s">
        <v>64</v>
      </c>
      <c r="J259" s="396"/>
      <c r="K259" s="57">
        <f>K257-K258</f>
        <v>19866.666666666664</v>
      </c>
      <c r="L259" s="58"/>
      <c r="N259" s="71"/>
      <c r="O259" s="72" t="s">
        <v>57</v>
      </c>
      <c r="P259" s="72"/>
      <c r="Q259" s="72"/>
      <c r="R259" s="72">
        <v>0</v>
      </c>
      <c r="S259" s="63"/>
      <c r="T259" s="72" t="s">
        <v>57</v>
      </c>
      <c r="U259" s="105"/>
      <c r="V259" s="74"/>
      <c r="W259" s="105" t="str">
        <f t="shared" si="51"/>
        <v/>
      </c>
      <c r="X259" s="74"/>
      <c r="Y259" s="105" t="str">
        <f t="shared" si="52"/>
        <v/>
      </c>
      <c r="Z259" s="76"/>
    </row>
    <row r="260" spans="1:26" s="29" customFormat="1" ht="21" customHeight="1" x14ac:dyDescent="0.2">
      <c r="A260" s="30"/>
      <c r="K260" s="107"/>
      <c r="L260" s="46"/>
      <c r="N260" s="71"/>
      <c r="O260" s="72" t="s">
        <v>53</v>
      </c>
      <c r="P260" s="72"/>
      <c r="Q260" s="72"/>
      <c r="R260" s="72">
        <v>0</v>
      </c>
      <c r="S260" s="63"/>
      <c r="T260" s="72" t="s">
        <v>53</v>
      </c>
      <c r="U260" s="105"/>
      <c r="V260" s="74"/>
      <c r="W260" s="105" t="str">
        <f t="shared" si="51"/>
        <v/>
      </c>
      <c r="X260" s="74"/>
      <c r="Y260" s="105" t="str">
        <f t="shared" si="52"/>
        <v/>
      </c>
      <c r="Z260" s="76"/>
    </row>
    <row r="261" spans="1:26" s="29" customFormat="1" ht="21" customHeight="1" x14ac:dyDescent="0.2">
      <c r="A261" s="30"/>
      <c r="B261" s="407" t="s">
        <v>87</v>
      </c>
      <c r="C261" s="407"/>
      <c r="D261" s="407"/>
      <c r="E261" s="407"/>
      <c r="F261" s="407"/>
      <c r="G261" s="407"/>
      <c r="H261" s="407"/>
      <c r="I261" s="407"/>
      <c r="J261" s="407"/>
      <c r="K261" s="407"/>
      <c r="L261" s="46"/>
      <c r="N261" s="71"/>
      <c r="O261" s="72" t="s">
        <v>58</v>
      </c>
      <c r="P261" s="72"/>
      <c r="Q261" s="72"/>
      <c r="R261" s="72" t="str">
        <f t="shared" si="50"/>
        <v/>
      </c>
      <c r="S261" s="63"/>
      <c r="T261" s="72" t="s">
        <v>58</v>
      </c>
      <c r="U261" s="105"/>
      <c r="V261" s="74"/>
      <c r="W261" s="105" t="str">
        <f t="shared" si="51"/>
        <v/>
      </c>
      <c r="X261" s="74"/>
      <c r="Y261" s="105" t="str">
        <f t="shared" si="52"/>
        <v/>
      </c>
      <c r="Z261" s="76"/>
    </row>
    <row r="262" spans="1:26" s="29" customFormat="1" ht="21" customHeight="1" x14ac:dyDescent="0.2">
      <c r="A262" s="30"/>
      <c r="B262" s="407"/>
      <c r="C262" s="407"/>
      <c r="D262" s="407"/>
      <c r="E262" s="407"/>
      <c r="F262" s="407"/>
      <c r="G262" s="407"/>
      <c r="H262" s="407"/>
      <c r="I262" s="407"/>
      <c r="J262" s="407"/>
      <c r="K262" s="407"/>
      <c r="L262" s="46"/>
      <c r="N262" s="71"/>
      <c r="O262" s="72" t="s">
        <v>59</v>
      </c>
      <c r="P262" s="72"/>
      <c r="Q262" s="72"/>
      <c r="R262" s="72">
        <v>0</v>
      </c>
      <c r="S262" s="63"/>
      <c r="T262" s="72" t="s">
        <v>59</v>
      </c>
      <c r="U262" s="105"/>
      <c r="V262" s="74"/>
      <c r="W262" s="105" t="str">
        <f t="shared" si="51"/>
        <v/>
      </c>
      <c r="X262" s="74"/>
      <c r="Y262" s="105" t="str">
        <f t="shared" si="52"/>
        <v/>
      </c>
      <c r="Z262" s="76"/>
    </row>
    <row r="263" spans="1:26" s="29" customFormat="1" ht="21" customHeight="1" thickBot="1" x14ac:dyDescent="0.25">
      <c r="A263" s="59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1"/>
      <c r="N263" s="77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9"/>
    </row>
    <row r="264" spans="1:26" ht="15.75" thickBot="1" x14ac:dyDescent="0.3"/>
    <row r="265" spans="1:26" s="29" customFormat="1" ht="21" customHeight="1" x14ac:dyDescent="0.2">
      <c r="A265" s="420" t="s">
        <v>41</v>
      </c>
      <c r="B265" s="421"/>
      <c r="C265" s="421"/>
      <c r="D265" s="421"/>
      <c r="E265" s="421"/>
      <c r="F265" s="421"/>
      <c r="G265" s="421"/>
      <c r="H265" s="421"/>
      <c r="I265" s="421"/>
      <c r="J265" s="421"/>
      <c r="K265" s="421"/>
      <c r="L265" s="422"/>
      <c r="M265" s="28"/>
      <c r="N265" s="64"/>
      <c r="O265" s="408" t="s">
        <v>43</v>
      </c>
      <c r="P265" s="409"/>
      <c r="Q265" s="409"/>
      <c r="R265" s="410"/>
      <c r="S265" s="65"/>
      <c r="T265" s="408" t="s">
        <v>44</v>
      </c>
      <c r="U265" s="409"/>
      <c r="V265" s="409"/>
      <c r="W265" s="409"/>
      <c r="X265" s="409"/>
      <c r="Y265" s="410"/>
      <c r="Z265" s="66"/>
    </row>
    <row r="266" spans="1:26" s="29" customFormat="1" ht="21" customHeight="1" x14ac:dyDescent="0.2">
      <c r="A266" s="30"/>
      <c r="C266" s="398" t="s">
        <v>85</v>
      </c>
      <c r="D266" s="398"/>
      <c r="E266" s="398"/>
      <c r="F266" s="398"/>
      <c r="G266" s="31" t="str">
        <f>$J$1</f>
        <v>April</v>
      </c>
      <c r="H266" s="397">
        <f>$K$1</f>
        <v>2023</v>
      </c>
      <c r="I266" s="397"/>
      <c r="K266" s="32"/>
      <c r="L266" s="33"/>
      <c r="M266" s="32"/>
      <c r="N266" s="67"/>
      <c r="O266" s="68" t="s">
        <v>54</v>
      </c>
      <c r="P266" s="68" t="s">
        <v>7</v>
      </c>
      <c r="Q266" s="68" t="s">
        <v>6</v>
      </c>
      <c r="R266" s="68" t="s">
        <v>55</v>
      </c>
      <c r="S266" s="69"/>
      <c r="T266" s="68" t="s">
        <v>54</v>
      </c>
      <c r="U266" s="68" t="s">
        <v>56</v>
      </c>
      <c r="V266" s="68" t="s">
        <v>21</v>
      </c>
      <c r="W266" s="68" t="s">
        <v>20</v>
      </c>
      <c r="X266" s="68" t="s">
        <v>22</v>
      </c>
      <c r="Y266" s="68" t="s">
        <v>60</v>
      </c>
      <c r="Z266" s="70"/>
    </row>
    <row r="267" spans="1:26" s="29" customFormat="1" ht="21" customHeight="1" x14ac:dyDescent="0.2">
      <c r="A267" s="30"/>
      <c r="D267" s="35"/>
      <c r="E267" s="35"/>
      <c r="F267" s="35"/>
      <c r="G267" s="35"/>
      <c r="H267" s="35"/>
      <c r="J267" s="36" t="s">
        <v>1</v>
      </c>
      <c r="K267" s="37">
        <f>17000+2000+4000</f>
        <v>23000</v>
      </c>
      <c r="L267" s="38"/>
      <c r="N267" s="71"/>
      <c r="O267" s="72" t="s">
        <v>46</v>
      </c>
      <c r="P267" s="72">
        <v>31</v>
      </c>
      <c r="Q267" s="72">
        <v>0</v>
      </c>
      <c r="R267" s="72">
        <f>9-Q267</f>
        <v>9</v>
      </c>
      <c r="S267" s="73"/>
      <c r="T267" s="72" t="s">
        <v>46</v>
      </c>
      <c r="U267" s="74"/>
      <c r="V267" s="74"/>
      <c r="W267" s="74">
        <f>V267+U267</f>
        <v>0</v>
      </c>
      <c r="X267" s="74"/>
      <c r="Y267" s="74">
        <f>W267-X267</f>
        <v>0</v>
      </c>
      <c r="Z267" s="70"/>
    </row>
    <row r="268" spans="1:26" s="29" customFormat="1" ht="21" customHeight="1" x14ac:dyDescent="0.2">
      <c r="A268" s="30"/>
      <c r="B268" s="29" t="s">
        <v>0</v>
      </c>
      <c r="C268" s="40" t="s">
        <v>157</v>
      </c>
      <c r="H268" s="41"/>
      <c r="I268" s="35"/>
      <c r="L268" s="42"/>
      <c r="M268" s="28"/>
      <c r="N268" s="75"/>
      <c r="O268" s="72" t="s">
        <v>72</v>
      </c>
      <c r="P268" s="72">
        <v>25</v>
      </c>
      <c r="Q268" s="72">
        <v>3</v>
      </c>
      <c r="R268" s="72">
        <f t="shared" ref="R268:R278" si="53">IF(Q268="","",R267-Q268)</f>
        <v>6</v>
      </c>
      <c r="S268" s="63"/>
      <c r="T268" s="72" t="s">
        <v>72</v>
      </c>
      <c r="U268" s="105">
        <f>Y267</f>
        <v>0</v>
      </c>
      <c r="V268" s="74"/>
      <c r="W268" s="105">
        <f>IF(U268="","",U268+V268)</f>
        <v>0</v>
      </c>
      <c r="X268" s="74"/>
      <c r="Y268" s="105">
        <f>IF(W268="","",W268-X268)</f>
        <v>0</v>
      </c>
      <c r="Z268" s="76"/>
    </row>
    <row r="269" spans="1:26" s="29" customFormat="1" ht="21" customHeight="1" x14ac:dyDescent="0.2">
      <c r="A269" s="30"/>
      <c r="B269" s="44" t="s">
        <v>42</v>
      </c>
      <c r="C269" s="40"/>
      <c r="F269" s="414" t="s">
        <v>44</v>
      </c>
      <c r="G269" s="414"/>
      <c r="I269" s="414" t="s">
        <v>45</v>
      </c>
      <c r="J269" s="414"/>
      <c r="K269" s="414"/>
      <c r="L269" s="46"/>
      <c r="N269" s="71"/>
      <c r="O269" s="72" t="s">
        <v>47</v>
      </c>
      <c r="P269" s="72">
        <v>30</v>
      </c>
      <c r="Q269" s="72">
        <v>1</v>
      </c>
      <c r="R269" s="72">
        <f t="shared" si="53"/>
        <v>5</v>
      </c>
      <c r="S269" s="63"/>
      <c r="T269" s="72" t="s">
        <v>47</v>
      </c>
      <c r="U269" s="105">
        <f>IF($J$1="April",Y268,Y268)</f>
        <v>0</v>
      </c>
      <c r="V269" s="74"/>
      <c r="W269" s="105">
        <f t="shared" ref="W269:W278" si="54">IF(U269="","",U269+V269)</f>
        <v>0</v>
      </c>
      <c r="X269" s="74"/>
      <c r="Y269" s="105">
        <f t="shared" ref="Y269:Y278" si="55">IF(W269="","",W269-X269)</f>
        <v>0</v>
      </c>
      <c r="Z269" s="76"/>
    </row>
    <row r="270" spans="1:26" s="29" customFormat="1" ht="21" customHeight="1" x14ac:dyDescent="0.2">
      <c r="A270" s="30"/>
      <c r="H270" s="47"/>
      <c r="L270" s="34"/>
      <c r="N270" s="71"/>
      <c r="O270" s="72" t="s">
        <v>48</v>
      </c>
      <c r="P270" s="72">
        <v>28</v>
      </c>
      <c r="Q270" s="72">
        <v>2</v>
      </c>
      <c r="R270" s="72">
        <f t="shared" si="53"/>
        <v>3</v>
      </c>
      <c r="S270" s="63"/>
      <c r="T270" s="72" t="s">
        <v>48</v>
      </c>
      <c r="U270" s="105"/>
      <c r="V270" s="74"/>
      <c r="W270" s="105" t="str">
        <f t="shared" si="54"/>
        <v/>
      </c>
      <c r="X270" s="74"/>
      <c r="Y270" s="105" t="str">
        <f t="shared" si="55"/>
        <v/>
      </c>
      <c r="Z270" s="76"/>
    </row>
    <row r="271" spans="1:26" s="29" customFormat="1" ht="21" customHeight="1" x14ac:dyDescent="0.2">
      <c r="A271" s="30"/>
      <c r="B271" s="392" t="s">
        <v>43</v>
      </c>
      <c r="C271" s="393"/>
      <c r="F271" s="48" t="s">
        <v>65</v>
      </c>
      <c r="G271" s="43">
        <f>IF($J$1="January",U267,IF($J$1="February",U268,IF($J$1="March",U269,IF($J$1="April",U270,IF($J$1="May",U271,IF($J$1="June",U272,IF($J$1="July",U273,IF($J$1="August",U274,IF($J$1="August",U274,IF($J$1="September",U275,IF($J$1="October",U276,IF($J$1="November",U277,IF($J$1="December",U278)))))))))))))</f>
        <v>0</v>
      </c>
      <c r="H271" s="47"/>
      <c r="I271" s="49">
        <f>IF(C275&gt;0,$K$2,C273)</f>
        <v>30</v>
      </c>
      <c r="J271" s="50" t="s">
        <v>62</v>
      </c>
      <c r="K271" s="51">
        <f>K267/$K$2*I271</f>
        <v>23000</v>
      </c>
      <c r="L271" s="52"/>
      <c r="N271" s="71"/>
      <c r="O271" s="72" t="s">
        <v>49</v>
      </c>
      <c r="P271" s="72"/>
      <c r="Q271" s="72"/>
      <c r="R271" s="72" t="str">
        <f t="shared" si="53"/>
        <v/>
      </c>
      <c r="S271" s="63"/>
      <c r="T271" s="72" t="s">
        <v>49</v>
      </c>
      <c r="U271" s="105" t="str">
        <f>IF($J$1="May",Y270,Y270)</f>
        <v/>
      </c>
      <c r="V271" s="74"/>
      <c r="W271" s="105" t="str">
        <f t="shared" si="54"/>
        <v/>
      </c>
      <c r="X271" s="74"/>
      <c r="Y271" s="105" t="str">
        <f t="shared" si="55"/>
        <v/>
      </c>
      <c r="Z271" s="76"/>
    </row>
    <row r="272" spans="1:26" s="29" customFormat="1" ht="21" customHeight="1" x14ac:dyDescent="0.2">
      <c r="A272" s="30"/>
      <c r="B272" s="39"/>
      <c r="C272" s="39"/>
      <c r="F272" s="48" t="s">
        <v>21</v>
      </c>
      <c r="G272" s="43">
        <f>IF($J$1="January",V267,IF($J$1="February",V268,IF($J$1="March",V269,IF($J$1="April",V270,IF($J$1="May",V271,IF($J$1="June",V272,IF($J$1="July",V273,IF($J$1="August",V274,IF($J$1="August",V274,IF($J$1="September",V275,IF($J$1="October",V276,IF($J$1="November",V277,IF($J$1="December",V278)))))))))))))</f>
        <v>0</v>
      </c>
      <c r="H272" s="47"/>
      <c r="I272" s="84">
        <v>-11</v>
      </c>
      <c r="J272" s="50" t="s">
        <v>63</v>
      </c>
      <c r="K272" s="53">
        <f>K267/$K$2/8*I272</f>
        <v>-1054.1666666666665</v>
      </c>
      <c r="L272" s="54"/>
      <c r="N272" s="71"/>
      <c r="O272" s="72" t="s">
        <v>50</v>
      </c>
      <c r="P272" s="72"/>
      <c r="Q272" s="72"/>
      <c r="R272" s="72" t="str">
        <f t="shared" si="53"/>
        <v/>
      </c>
      <c r="S272" s="63"/>
      <c r="T272" s="72" t="s">
        <v>50</v>
      </c>
      <c r="U272" s="105" t="str">
        <f>IF($J$1="May",Y271,Y271)</f>
        <v/>
      </c>
      <c r="V272" s="74"/>
      <c r="W272" s="105" t="str">
        <f t="shared" si="54"/>
        <v/>
      </c>
      <c r="X272" s="74"/>
      <c r="Y272" s="105" t="str">
        <f t="shared" si="55"/>
        <v/>
      </c>
      <c r="Z272" s="76"/>
    </row>
    <row r="273" spans="1:27" s="29" customFormat="1" ht="21" customHeight="1" x14ac:dyDescent="0.2">
      <c r="A273" s="30"/>
      <c r="B273" s="48" t="s">
        <v>7</v>
      </c>
      <c r="C273" s="39">
        <f>IF($J$1="January",P267,IF($J$1="February",P268,IF($J$1="March",P269,IF($J$1="April",P270,IF($J$1="May",P271,IF($J$1="June",P272,IF($J$1="July",P273,IF($J$1="August",P274,IF($J$1="August",P274,IF($J$1="September",P275,IF($J$1="October",P276,IF($J$1="November",P277,IF($J$1="December",P278)))))))))))))</f>
        <v>28</v>
      </c>
      <c r="F273" s="48" t="s">
        <v>66</v>
      </c>
      <c r="G273" s="43" t="str">
        <f>IF($J$1="January",W267,IF($J$1="February",W268,IF($J$1="March",W269,IF($J$1="April",W270,IF($J$1="May",W271,IF($J$1="June",W272,IF($J$1="July",W273,IF($J$1="August",W274,IF($J$1="August",W274,IF($J$1="September",W275,IF($J$1="October",W276,IF($J$1="November",W277,IF($J$1="December",W278)))))))))))))</f>
        <v/>
      </c>
      <c r="H273" s="47"/>
      <c r="I273" s="405" t="s">
        <v>70</v>
      </c>
      <c r="J273" s="406"/>
      <c r="K273" s="53">
        <f>K271+K272</f>
        <v>21945.833333333332</v>
      </c>
      <c r="L273" s="54"/>
      <c r="N273" s="71"/>
      <c r="O273" s="72" t="s">
        <v>51</v>
      </c>
      <c r="P273" s="72"/>
      <c r="Q273" s="72"/>
      <c r="R273" s="72" t="str">
        <f t="shared" si="53"/>
        <v/>
      </c>
      <c r="S273" s="63"/>
      <c r="T273" s="72" t="s">
        <v>51</v>
      </c>
      <c r="U273" s="105" t="str">
        <f t="shared" ref="U273:U278" si="56">Y272</f>
        <v/>
      </c>
      <c r="V273" s="74"/>
      <c r="W273" s="105" t="str">
        <f t="shared" si="54"/>
        <v/>
      </c>
      <c r="X273" s="74"/>
      <c r="Y273" s="105" t="str">
        <f t="shared" si="55"/>
        <v/>
      </c>
      <c r="Z273" s="76"/>
    </row>
    <row r="274" spans="1:27" s="29" customFormat="1" ht="21" customHeight="1" x14ac:dyDescent="0.2">
      <c r="A274" s="30"/>
      <c r="B274" s="48" t="s">
        <v>6</v>
      </c>
      <c r="C274" s="39">
        <f>IF($J$1="January",Q267,IF($J$1="February",Q268,IF($J$1="March",Q269,IF($J$1="April",Q270,IF($J$1="May",Q271,IF($J$1="June",Q272,IF($J$1="July",Q273,IF($J$1="August",Q274,IF($J$1="August",Q274,IF($J$1="September",Q275,IF($J$1="October",Q276,IF($J$1="November",Q277,IF($J$1="December",Q278)))))))))))))</f>
        <v>2</v>
      </c>
      <c r="F274" s="48" t="s">
        <v>22</v>
      </c>
      <c r="G274" s="43">
        <f>IF($J$1="January",X267,IF($J$1="February",X268,IF($J$1="March",X269,IF($J$1="April",X270,IF($J$1="May",X271,IF($J$1="June",X272,IF($J$1="July",X273,IF($J$1="August",X274,IF($J$1="August",X274,IF($J$1="September",X275,IF($J$1="October",X276,IF($J$1="November",X277,IF($J$1="December",X278)))))))))))))</f>
        <v>0</v>
      </c>
      <c r="H274" s="47"/>
      <c r="I274" s="405" t="s">
        <v>71</v>
      </c>
      <c r="J274" s="406"/>
      <c r="K274" s="43">
        <f>G274</f>
        <v>0</v>
      </c>
      <c r="L274" s="55"/>
      <c r="N274" s="71"/>
      <c r="O274" s="72" t="s">
        <v>52</v>
      </c>
      <c r="P274" s="72"/>
      <c r="Q274" s="72"/>
      <c r="R274" s="72" t="str">
        <f t="shared" si="53"/>
        <v/>
      </c>
      <c r="S274" s="63"/>
      <c r="T274" s="72" t="s">
        <v>52</v>
      </c>
      <c r="U274" s="105" t="str">
        <f t="shared" si="56"/>
        <v/>
      </c>
      <c r="V274" s="74"/>
      <c r="W274" s="105" t="str">
        <f t="shared" si="54"/>
        <v/>
      </c>
      <c r="X274" s="74"/>
      <c r="Y274" s="105" t="str">
        <f t="shared" si="55"/>
        <v/>
      </c>
      <c r="Z274" s="76"/>
    </row>
    <row r="275" spans="1:27" s="29" customFormat="1" ht="21" customHeight="1" x14ac:dyDescent="0.2">
      <c r="A275" s="30"/>
      <c r="B275" s="56" t="s">
        <v>69</v>
      </c>
      <c r="C275" s="39">
        <f>IF($J$1="January",R267,IF($J$1="February",R268,IF($J$1="March",R269,IF($J$1="April",R270,IF($J$1="May",R271,IF($J$1="June",R272,IF($J$1="July",R273,IF($J$1="August",R274,IF($J$1="August",R274,IF($J$1="September",R275,IF($J$1="October",R276,IF($J$1="November",R277,IF($J$1="December",R278)))))))))))))</f>
        <v>3</v>
      </c>
      <c r="F275" s="48" t="s">
        <v>144</v>
      </c>
      <c r="G275" s="43" t="str">
        <f>IF($J$1="January",Y267,IF($J$1="February",Y268,IF($J$1="March",Y269,IF($J$1="April",Y270,IF($J$1="May",Y271,IF($J$1="June",Y272,IF($J$1="July",Y273,IF($J$1="August",Y274,IF($J$1="August",Y274,IF($J$1="September",Y275,IF($J$1="October",Y276,IF($J$1="November",Y277,IF($J$1="December",Y278)))))))))))))</f>
        <v/>
      </c>
      <c r="I275" s="394" t="s">
        <v>64</v>
      </c>
      <c r="J275" s="396"/>
      <c r="K275" s="57">
        <f>K273-K274</f>
        <v>21945.833333333332</v>
      </c>
      <c r="L275" s="58"/>
      <c r="N275" s="71"/>
      <c r="O275" s="72" t="s">
        <v>57</v>
      </c>
      <c r="P275" s="72"/>
      <c r="Q275" s="72"/>
      <c r="R275" s="72" t="str">
        <f t="shared" si="53"/>
        <v/>
      </c>
      <c r="S275" s="63"/>
      <c r="T275" s="72" t="s">
        <v>57</v>
      </c>
      <c r="U275" s="105" t="str">
        <f t="shared" si="56"/>
        <v/>
      </c>
      <c r="V275" s="74"/>
      <c r="W275" s="105" t="str">
        <f t="shared" si="54"/>
        <v/>
      </c>
      <c r="X275" s="74"/>
      <c r="Y275" s="105" t="str">
        <f t="shared" si="55"/>
        <v/>
      </c>
      <c r="Z275" s="76"/>
    </row>
    <row r="276" spans="1:27" s="29" customFormat="1" ht="21" customHeight="1" x14ac:dyDescent="0.2">
      <c r="A276" s="30"/>
      <c r="F276" s="29" t="s">
        <v>196</v>
      </c>
      <c r="K276" s="107"/>
      <c r="L276" s="46"/>
      <c r="N276" s="71"/>
      <c r="O276" s="72" t="s">
        <v>53</v>
      </c>
      <c r="P276" s="72"/>
      <c r="Q276" s="72"/>
      <c r="R276" s="72" t="str">
        <f t="shared" si="53"/>
        <v/>
      </c>
      <c r="S276" s="63"/>
      <c r="T276" s="72" t="s">
        <v>53</v>
      </c>
      <c r="U276" s="105" t="str">
        <f t="shared" si="56"/>
        <v/>
      </c>
      <c r="V276" s="74"/>
      <c r="W276" s="105" t="str">
        <f t="shared" si="54"/>
        <v/>
      </c>
      <c r="X276" s="74"/>
      <c r="Y276" s="105" t="str">
        <f t="shared" si="55"/>
        <v/>
      </c>
      <c r="Z276" s="76"/>
    </row>
    <row r="277" spans="1:27" s="29" customFormat="1" ht="21" customHeight="1" x14ac:dyDescent="0.2">
      <c r="A277" s="30"/>
      <c r="B277" s="407" t="s">
        <v>87</v>
      </c>
      <c r="C277" s="407"/>
      <c r="D277" s="407"/>
      <c r="E277" s="407"/>
      <c r="F277" s="407"/>
      <c r="G277" s="407"/>
      <c r="H277" s="407"/>
      <c r="I277" s="407"/>
      <c r="J277" s="407"/>
      <c r="K277" s="407"/>
      <c r="L277" s="46"/>
      <c r="N277" s="71"/>
      <c r="O277" s="72" t="s">
        <v>58</v>
      </c>
      <c r="P277" s="72"/>
      <c r="Q277" s="72"/>
      <c r="R277" s="72" t="str">
        <f t="shared" si="53"/>
        <v/>
      </c>
      <c r="S277" s="63"/>
      <c r="T277" s="72" t="s">
        <v>58</v>
      </c>
      <c r="U277" s="105" t="str">
        <f t="shared" si="56"/>
        <v/>
      </c>
      <c r="V277" s="74"/>
      <c r="W277" s="105" t="str">
        <f t="shared" si="54"/>
        <v/>
      </c>
      <c r="X277" s="74"/>
      <c r="Y277" s="105" t="str">
        <f t="shared" si="55"/>
        <v/>
      </c>
      <c r="Z277" s="76"/>
    </row>
    <row r="278" spans="1:27" s="29" customFormat="1" ht="21" customHeight="1" x14ac:dyDescent="0.2">
      <c r="A278" s="30"/>
      <c r="B278" s="407"/>
      <c r="C278" s="407"/>
      <c r="D278" s="407"/>
      <c r="E278" s="407"/>
      <c r="F278" s="407"/>
      <c r="G278" s="407"/>
      <c r="H278" s="407"/>
      <c r="I278" s="407"/>
      <c r="J278" s="407"/>
      <c r="K278" s="407"/>
      <c r="L278" s="46"/>
      <c r="N278" s="71"/>
      <c r="O278" s="72" t="s">
        <v>59</v>
      </c>
      <c r="P278" s="72"/>
      <c r="Q278" s="72"/>
      <c r="R278" s="72" t="str">
        <f t="shared" si="53"/>
        <v/>
      </c>
      <c r="S278" s="63"/>
      <c r="T278" s="72" t="s">
        <v>59</v>
      </c>
      <c r="U278" s="105" t="str">
        <f t="shared" si="56"/>
        <v/>
      </c>
      <c r="V278" s="74"/>
      <c r="W278" s="105" t="str">
        <f t="shared" si="54"/>
        <v/>
      </c>
      <c r="X278" s="74"/>
      <c r="Y278" s="105" t="str">
        <f t="shared" si="55"/>
        <v/>
      </c>
      <c r="Z278" s="76"/>
    </row>
    <row r="279" spans="1:27" s="29" customFormat="1" ht="21" customHeight="1" thickBot="1" x14ac:dyDescent="0.25">
      <c r="A279" s="59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1"/>
      <c r="N279" s="77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9"/>
    </row>
    <row r="280" spans="1:27" ht="15.75" thickBot="1" x14ac:dyDescent="0.3"/>
    <row r="281" spans="1:27" s="29" customFormat="1" ht="21" customHeight="1" x14ac:dyDescent="0.2">
      <c r="A281" s="437" t="s">
        <v>41</v>
      </c>
      <c r="B281" s="438"/>
      <c r="C281" s="438"/>
      <c r="D281" s="438"/>
      <c r="E281" s="438"/>
      <c r="F281" s="438"/>
      <c r="G281" s="438"/>
      <c r="H281" s="438"/>
      <c r="I281" s="438"/>
      <c r="J281" s="438"/>
      <c r="K281" s="438"/>
      <c r="L281" s="439"/>
      <c r="M281" s="28"/>
      <c r="N281" s="64"/>
      <c r="O281" s="408" t="s">
        <v>43</v>
      </c>
      <c r="P281" s="409"/>
      <c r="Q281" s="409"/>
      <c r="R281" s="410"/>
      <c r="S281" s="65"/>
      <c r="T281" s="408" t="s">
        <v>44</v>
      </c>
      <c r="U281" s="409"/>
      <c r="V281" s="409"/>
      <c r="W281" s="409"/>
      <c r="X281" s="409"/>
      <c r="Y281" s="410"/>
      <c r="Z281" s="66"/>
      <c r="AA281" s="28"/>
    </row>
    <row r="282" spans="1:27" s="29" customFormat="1" ht="21" customHeight="1" x14ac:dyDescent="0.2">
      <c r="A282" s="30"/>
      <c r="C282" s="398" t="s">
        <v>85</v>
      </c>
      <c r="D282" s="398"/>
      <c r="E282" s="398"/>
      <c r="F282" s="398"/>
      <c r="G282" s="31" t="str">
        <f>$J$1</f>
        <v>April</v>
      </c>
      <c r="H282" s="397">
        <f>$K$1</f>
        <v>2023</v>
      </c>
      <c r="I282" s="397"/>
      <c r="K282" s="32"/>
      <c r="L282" s="33"/>
      <c r="M282" s="32"/>
      <c r="N282" s="67"/>
      <c r="O282" s="68" t="s">
        <v>54</v>
      </c>
      <c r="P282" s="68" t="s">
        <v>7</v>
      </c>
      <c r="Q282" s="68" t="s">
        <v>6</v>
      </c>
      <c r="R282" s="68" t="s">
        <v>55</v>
      </c>
      <c r="S282" s="69"/>
      <c r="T282" s="68" t="s">
        <v>54</v>
      </c>
      <c r="U282" s="68" t="s">
        <v>56</v>
      </c>
      <c r="V282" s="68" t="s">
        <v>21</v>
      </c>
      <c r="W282" s="68" t="s">
        <v>20</v>
      </c>
      <c r="X282" s="68" t="s">
        <v>22</v>
      </c>
      <c r="Y282" s="68" t="s">
        <v>60</v>
      </c>
      <c r="Z282" s="70"/>
      <c r="AA282" s="32"/>
    </row>
    <row r="283" spans="1:27" s="29" customFormat="1" ht="21" customHeight="1" x14ac:dyDescent="0.2">
      <c r="A283" s="30"/>
      <c r="D283" s="35"/>
      <c r="E283" s="35"/>
      <c r="F283" s="35"/>
      <c r="G283" s="35"/>
      <c r="H283" s="35"/>
      <c r="J283" s="36" t="s">
        <v>1</v>
      </c>
      <c r="K283" s="37">
        <v>1200</v>
      </c>
      <c r="L283" s="38"/>
      <c r="N283" s="71"/>
      <c r="O283" s="72" t="s">
        <v>46</v>
      </c>
      <c r="P283" s="72"/>
      <c r="Q283" s="72"/>
      <c r="R283" s="72"/>
      <c r="S283" s="73"/>
      <c r="T283" s="72" t="s">
        <v>46</v>
      </c>
      <c r="U283" s="74">
        <v>25870</v>
      </c>
      <c r="V283" s="74"/>
      <c r="W283" s="74">
        <f>V283+U283</f>
        <v>25870</v>
      </c>
      <c r="X283" s="74">
        <v>5000</v>
      </c>
      <c r="Y283" s="74">
        <f>W283-X283</f>
        <v>20870</v>
      </c>
      <c r="Z283" s="70"/>
    </row>
    <row r="284" spans="1:27" s="29" customFormat="1" ht="21" customHeight="1" x14ac:dyDescent="0.2">
      <c r="A284" s="30"/>
      <c r="B284" s="29" t="s">
        <v>0</v>
      </c>
      <c r="C284" s="40" t="s">
        <v>171</v>
      </c>
      <c r="H284" s="41"/>
      <c r="I284" s="35"/>
      <c r="L284" s="42"/>
      <c r="M284" s="28"/>
      <c r="N284" s="75"/>
      <c r="O284" s="72" t="s">
        <v>72</v>
      </c>
      <c r="P284" s="72"/>
      <c r="Q284" s="72"/>
      <c r="R284" s="72">
        <v>0</v>
      </c>
      <c r="S284" s="63"/>
      <c r="T284" s="72" t="s">
        <v>72</v>
      </c>
      <c r="U284" s="105">
        <f>IF($J$1="January","",Y283)</f>
        <v>20870</v>
      </c>
      <c r="V284" s="74">
        <v>2000</v>
      </c>
      <c r="W284" s="105">
        <f>IF(U284="","",U284+V284)</f>
        <v>22870</v>
      </c>
      <c r="X284" s="74">
        <v>5000</v>
      </c>
      <c r="Y284" s="105">
        <f>IF(W284="","",W284-X284)</f>
        <v>17870</v>
      </c>
      <c r="Z284" s="76"/>
      <c r="AA284" s="28"/>
    </row>
    <row r="285" spans="1:27" s="29" customFormat="1" ht="21" customHeight="1" x14ac:dyDescent="0.2">
      <c r="A285" s="30"/>
      <c r="B285" s="44" t="s">
        <v>42</v>
      </c>
      <c r="C285" s="45"/>
      <c r="F285" s="414" t="s">
        <v>44</v>
      </c>
      <c r="G285" s="414"/>
      <c r="I285" s="414" t="s">
        <v>45</v>
      </c>
      <c r="J285" s="414"/>
      <c r="K285" s="414"/>
      <c r="L285" s="46"/>
      <c r="N285" s="71"/>
      <c r="O285" s="72" t="s">
        <v>47</v>
      </c>
      <c r="P285" s="72"/>
      <c r="Q285" s="72"/>
      <c r="R285" s="72">
        <v>0</v>
      </c>
      <c r="S285" s="63"/>
      <c r="T285" s="72" t="s">
        <v>47</v>
      </c>
      <c r="U285" s="105">
        <f>Y284</f>
        <v>17870</v>
      </c>
      <c r="V285" s="74">
        <f>2000+2000</f>
        <v>4000</v>
      </c>
      <c r="W285" s="105">
        <f t="shared" ref="W285:W290" si="57">IF(U285="","",U285+V285)</f>
        <v>21870</v>
      </c>
      <c r="X285" s="74">
        <v>5000</v>
      </c>
      <c r="Y285" s="105">
        <f t="shared" ref="Y285:Y290" si="58">IF(W285="","",W285-X285)</f>
        <v>16870</v>
      </c>
      <c r="Z285" s="76"/>
    </row>
    <row r="286" spans="1:27" s="29" customFormat="1" ht="21" customHeight="1" x14ac:dyDescent="0.2">
      <c r="A286" s="30"/>
      <c r="H286" s="47"/>
      <c r="L286" s="34"/>
      <c r="N286" s="71"/>
      <c r="O286" s="72" t="s">
        <v>48</v>
      </c>
      <c r="P286" s="72"/>
      <c r="Q286" s="72"/>
      <c r="R286" s="72">
        <v>0</v>
      </c>
      <c r="S286" s="63"/>
      <c r="T286" s="72" t="s">
        <v>48</v>
      </c>
      <c r="U286" s="105">
        <f>Y285</f>
        <v>16870</v>
      </c>
      <c r="V286" s="74">
        <v>5000</v>
      </c>
      <c r="W286" s="105">
        <f t="shared" si="57"/>
        <v>21870</v>
      </c>
      <c r="X286" s="74">
        <v>5000</v>
      </c>
      <c r="Y286" s="105">
        <f t="shared" si="58"/>
        <v>16870</v>
      </c>
      <c r="Z286" s="76"/>
    </row>
    <row r="287" spans="1:27" s="29" customFormat="1" ht="21" customHeight="1" x14ac:dyDescent="0.2">
      <c r="A287" s="30"/>
      <c r="B287" s="392" t="s">
        <v>43</v>
      </c>
      <c r="C287" s="393"/>
      <c r="F287" s="48" t="s">
        <v>65</v>
      </c>
      <c r="G287" s="43">
        <f>IF($J$1="January",U283,IF($J$1="February",U284,IF($J$1="March",U285,IF($J$1="April",U286,IF($J$1="May",U287,IF($J$1="June",U288,IF($J$1="July",U289,IF($J$1="August",U290,IF($J$1="August",U290,IF($J$1="September",U291,IF($J$1="October",U292,IF($J$1="November",U293,IF($J$1="December",U294)))))))))))))</f>
        <v>16870</v>
      </c>
      <c r="H287" s="47"/>
      <c r="I287" s="49">
        <v>21</v>
      </c>
      <c r="J287" s="50" t="s">
        <v>62</v>
      </c>
      <c r="K287" s="51">
        <f>K283*I287</f>
        <v>25200</v>
      </c>
      <c r="L287" s="52"/>
      <c r="N287" s="71"/>
      <c r="O287" s="72" t="s">
        <v>49</v>
      </c>
      <c r="P287" s="72"/>
      <c r="Q287" s="72"/>
      <c r="R287" s="72">
        <v>0</v>
      </c>
      <c r="S287" s="63"/>
      <c r="T287" s="72" t="s">
        <v>49</v>
      </c>
      <c r="U287" s="105">
        <v>0</v>
      </c>
      <c r="V287" s="74"/>
      <c r="W287" s="105">
        <f t="shared" si="57"/>
        <v>0</v>
      </c>
      <c r="X287" s="74"/>
      <c r="Y287" s="105">
        <f t="shared" si="58"/>
        <v>0</v>
      </c>
      <c r="Z287" s="76"/>
    </row>
    <row r="288" spans="1:27" s="29" customFormat="1" ht="21" customHeight="1" x14ac:dyDescent="0.2">
      <c r="A288" s="30"/>
      <c r="B288" s="39"/>
      <c r="C288" s="39"/>
      <c r="F288" s="48" t="s">
        <v>21</v>
      </c>
      <c r="G288" s="43">
        <f>IF($J$1="January",V283,IF($J$1="February",V284,IF($J$1="March",V285,IF($J$1="April",V286,IF($J$1="May",V287,IF($J$1="June",V288,IF($J$1="July",V289,IF($J$1="August",V290,IF($J$1="August",V290,IF($J$1="September",V291,IF($J$1="October",V292,IF($J$1="November",V293,IF($J$1="December",V294)))))))))))))</f>
        <v>5000</v>
      </c>
      <c r="H288" s="47"/>
      <c r="I288" s="84"/>
      <c r="J288" s="50" t="s">
        <v>63</v>
      </c>
      <c r="K288" s="53">
        <f>K283/8*I288</f>
        <v>0</v>
      </c>
      <c r="L288" s="54"/>
      <c r="N288" s="71"/>
      <c r="O288" s="72" t="s">
        <v>50</v>
      </c>
      <c r="P288" s="72"/>
      <c r="Q288" s="72"/>
      <c r="R288" s="72">
        <v>0</v>
      </c>
      <c r="S288" s="63"/>
      <c r="T288" s="72" t="s">
        <v>50</v>
      </c>
      <c r="U288" s="105"/>
      <c r="V288" s="74"/>
      <c r="W288" s="105" t="str">
        <f t="shared" si="57"/>
        <v/>
      </c>
      <c r="X288" s="74"/>
      <c r="Y288" s="105" t="str">
        <f t="shared" si="58"/>
        <v/>
      </c>
      <c r="Z288" s="76"/>
    </row>
    <row r="289" spans="1:27" s="29" customFormat="1" ht="21" customHeight="1" x14ac:dyDescent="0.2">
      <c r="A289" s="30"/>
      <c r="B289" s="48" t="s">
        <v>7</v>
      </c>
      <c r="C289" s="39">
        <f>IF($J$1="January",P283,IF($J$1="February",P284,IF($J$1="March",P285,IF($J$1="April",P286,IF($J$1="May",P287,IF($J$1="June",P288,IF($J$1="July",P289,IF($J$1="August",P290,IF($J$1="August",P290,IF($J$1="September",P291,IF($J$1="October",P292,IF($J$1="November",P293,IF($J$1="December",P294)))))))))))))</f>
        <v>0</v>
      </c>
      <c r="F289" s="48" t="s">
        <v>66</v>
      </c>
      <c r="G289" s="43">
        <f>IF($J$1="January",W283,IF($J$1="February",W284,IF($J$1="March",W285,IF($J$1="April",W286,IF($J$1="May",W287,IF($J$1="June",W288,IF($J$1="July",W289,IF($J$1="August",W290,IF($J$1="August",W290,IF($J$1="September",W291,IF($J$1="October",W292,IF($J$1="November",W293,IF($J$1="December",W294)))))))))))))</f>
        <v>21870</v>
      </c>
      <c r="H289" s="47"/>
      <c r="I289" s="405" t="s">
        <v>70</v>
      </c>
      <c r="J289" s="406"/>
      <c r="K289" s="53">
        <f>K287+K288</f>
        <v>25200</v>
      </c>
      <c r="L289" s="54"/>
      <c r="N289" s="71"/>
      <c r="O289" s="72" t="s">
        <v>51</v>
      </c>
      <c r="P289" s="72"/>
      <c r="Q289" s="72"/>
      <c r="R289" s="72"/>
      <c r="S289" s="63"/>
      <c r="T289" s="72" t="s">
        <v>51</v>
      </c>
      <c r="U289" s="105"/>
      <c r="V289" s="74"/>
      <c r="W289" s="105" t="str">
        <f t="shared" si="57"/>
        <v/>
      </c>
      <c r="X289" s="74"/>
      <c r="Y289" s="105" t="str">
        <f t="shared" si="58"/>
        <v/>
      </c>
      <c r="Z289" s="76"/>
    </row>
    <row r="290" spans="1:27" s="29" customFormat="1" ht="21" customHeight="1" x14ac:dyDescent="0.2">
      <c r="A290" s="30"/>
      <c r="B290" s="48" t="s">
        <v>6</v>
      </c>
      <c r="C290" s="39">
        <f>IF($J$1="January",Q283,IF($J$1="February",Q284,IF($J$1="March",Q285,IF($J$1="April",Q286,IF($J$1="May",Q287,IF($J$1="June",Q288,IF($J$1="July",Q289,IF($J$1="August",Q290,IF($J$1="August",Q290,IF($J$1="September",Q291,IF($J$1="October",Q292,IF($J$1="November",Q293,IF($J$1="December",Q294)))))))))))))</f>
        <v>0</v>
      </c>
      <c r="F290" s="48" t="s">
        <v>22</v>
      </c>
      <c r="G290" s="43">
        <f>IF($J$1="January",X283,IF($J$1="February",X284,IF($J$1="March",X285,IF($J$1="April",X286,IF($J$1="May",X287,IF($J$1="June",X288,IF($J$1="July",X289,IF($J$1="August",X290,IF($J$1="August",X290,IF($J$1="September",X291,IF($J$1="October",X292,IF($J$1="November",X293,IF($J$1="December",X294)))))))))))))</f>
        <v>5000</v>
      </c>
      <c r="H290" s="47"/>
      <c r="I290" s="405" t="s">
        <v>71</v>
      </c>
      <c r="J290" s="406"/>
      <c r="K290" s="43">
        <f>G290</f>
        <v>5000</v>
      </c>
      <c r="L290" s="55"/>
      <c r="N290" s="71"/>
      <c r="O290" s="72" t="s">
        <v>52</v>
      </c>
      <c r="P290" s="72"/>
      <c r="Q290" s="72"/>
      <c r="R290" s="72">
        <v>0</v>
      </c>
      <c r="S290" s="63"/>
      <c r="T290" s="72" t="s">
        <v>52</v>
      </c>
      <c r="U290" s="105"/>
      <c r="V290" s="74"/>
      <c r="W290" s="105" t="str">
        <f t="shared" si="57"/>
        <v/>
      </c>
      <c r="X290" s="74"/>
      <c r="Y290" s="105" t="str">
        <f t="shared" si="58"/>
        <v/>
      </c>
      <c r="Z290" s="76"/>
    </row>
    <row r="291" spans="1:27" s="29" customFormat="1" ht="21" customHeight="1" x14ac:dyDescent="0.2">
      <c r="A291" s="30"/>
      <c r="B291" s="56" t="s">
        <v>69</v>
      </c>
      <c r="C291" s="39">
        <f>IF($J$1="January",R283,IF($J$1="February",R284,IF($J$1="March",R285,IF($J$1="April",R286,IF($J$1="May",R287,IF($J$1="June",R288,IF($J$1="July",R289,IF($J$1="August",R290,IF($J$1="August",R290,IF($J$1="September",R291,IF($J$1="October",R292,IF($J$1="November",R293,IF($J$1="December",R294)))))))))))))</f>
        <v>0</v>
      </c>
      <c r="F291" s="48" t="s">
        <v>68</v>
      </c>
      <c r="G291" s="43">
        <f>IF($J$1="January",Y283,IF($J$1="February",Y284,IF($J$1="March",Y285,IF($J$1="April",Y286,IF($J$1="May",Y287,IF($J$1="June",Y288,IF($J$1="July",Y289,IF($J$1="August",Y290,IF($J$1="August",Y290,IF($J$1="September",Y291,IF($J$1="October",Y292,IF($J$1="November",Y293,IF($J$1="December",Y294)))))))))))))</f>
        <v>16870</v>
      </c>
      <c r="I291" s="394" t="s">
        <v>64</v>
      </c>
      <c r="J291" s="396"/>
      <c r="K291" s="57">
        <f>K289-K290</f>
        <v>20200</v>
      </c>
      <c r="L291" s="58"/>
      <c r="N291" s="71"/>
      <c r="O291" s="72" t="s">
        <v>57</v>
      </c>
      <c r="P291" s="72"/>
      <c r="Q291" s="72"/>
      <c r="R291" s="72">
        <v>0</v>
      </c>
      <c r="S291" s="63"/>
      <c r="T291" s="72" t="s">
        <v>57</v>
      </c>
      <c r="U291" s="105"/>
      <c r="V291" s="74"/>
      <c r="W291" s="105" t="str">
        <f t="shared" ref="W291:W294" si="59">IF(U291="","",U291+V291)</f>
        <v/>
      </c>
      <c r="X291" s="74"/>
      <c r="Y291" s="105" t="str">
        <f t="shared" ref="Y291:Y294" si="60">IF(W291="","",W291-X291)</f>
        <v/>
      </c>
      <c r="Z291" s="76"/>
    </row>
    <row r="292" spans="1:27" s="29" customFormat="1" ht="21" customHeight="1" x14ac:dyDescent="0.2">
      <c r="A292" s="30"/>
      <c r="K292" s="107"/>
      <c r="L292" s="46"/>
      <c r="N292" s="71"/>
      <c r="O292" s="72" t="s">
        <v>53</v>
      </c>
      <c r="P292" s="72"/>
      <c r="Q292" s="72"/>
      <c r="R292" s="72">
        <v>0</v>
      </c>
      <c r="S292" s="63"/>
      <c r="T292" s="72" t="s">
        <v>53</v>
      </c>
      <c r="U292" s="105"/>
      <c r="V292" s="74"/>
      <c r="W292" s="105" t="str">
        <f t="shared" si="59"/>
        <v/>
      </c>
      <c r="X292" s="74"/>
      <c r="Y292" s="105" t="str">
        <f t="shared" si="60"/>
        <v/>
      </c>
      <c r="Z292" s="76"/>
    </row>
    <row r="293" spans="1:27" s="29" customFormat="1" ht="21" customHeight="1" x14ac:dyDescent="0.2">
      <c r="A293" s="30"/>
      <c r="B293" s="407" t="s">
        <v>87</v>
      </c>
      <c r="C293" s="407"/>
      <c r="D293" s="407"/>
      <c r="E293" s="407"/>
      <c r="F293" s="407"/>
      <c r="G293" s="407"/>
      <c r="H293" s="407"/>
      <c r="I293" s="407"/>
      <c r="J293" s="407"/>
      <c r="K293" s="407"/>
      <c r="L293" s="46"/>
      <c r="N293" s="71"/>
      <c r="O293" s="72" t="s">
        <v>58</v>
      </c>
      <c r="P293" s="72"/>
      <c r="Q293" s="72"/>
      <c r="R293" s="72">
        <v>0</v>
      </c>
      <c r="S293" s="63"/>
      <c r="T293" s="72" t="s">
        <v>58</v>
      </c>
      <c r="U293" s="105"/>
      <c r="V293" s="74"/>
      <c r="W293" s="105" t="str">
        <f t="shared" si="59"/>
        <v/>
      </c>
      <c r="X293" s="74"/>
      <c r="Y293" s="105" t="str">
        <f t="shared" si="60"/>
        <v/>
      </c>
      <c r="Z293" s="76"/>
    </row>
    <row r="294" spans="1:27" s="29" customFormat="1" ht="21" customHeight="1" x14ac:dyDescent="0.2">
      <c r="A294" s="30"/>
      <c r="B294" s="407"/>
      <c r="C294" s="407"/>
      <c r="D294" s="407"/>
      <c r="E294" s="407"/>
      <c r="F294" s="407"/>
      <c r="G294" s="407"/>
      <c r="H294" s="407"/>
      <c r="I294" s="407"/>
      <c r="J294" s="407"/>
      <c r="K294" s="407"/>
      <c r="L294" s="46"/>
      <c r="N294" s="71"/>
      <c r="O294" s="72" t="s">
        <v>59</v>
      </c>
      <c r="P294" s="72"/>
      <c r="Q294" s="72"/>
      <c r="R294" s="72">
        <v>0</v>
      </c>
      <c r="S294" s="63"/>
      <c r="T294" s="72" t="s">
        <v>59</v>
      </c>
      <c r="U294" s="105"/>
      <c r="V294" s="74"/>
      <c r="W294" s="105" t="str">
        <f t="shared" si="59"/>
        <v/>
      </c>
      <c r="X294" s="74"/>
      <c r="Y294" s="105" t="str">
        <f t="shared" si="60"/>
        <v/>
      </c>
      <c r="Z294" s="76"/>
    </row>
    <row r="295" spans="1:27" s="29" customFormat="1" ht="21" customHeight="1" thickBot="1" x14ac:dyDescent="0.25">
      <c r="A295" s="59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1"/>
      <c r="N295" s="77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9"/>
    </row>
    <row r="296" spans="1:27" s="29" customFormat="1" ht="21" customHeight="1" thickBot="1" x14ac:dyDescent="0.25">
      <c r="A296" s="30"/>
      <c r="L296" s="46"/>
      <c r="N296" s="71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85"/>
    </row>
    <row r="297" spans="1:27" s="29" customFormat="1" ht="21.4" customHeight="1" x14ac:dyDescent="0.2">
      <c r="A297" s="420" t="s">
        <v>41</v>
      </c>
      <c r="B297" s="421"/>
      <c r="C297" s="421"/>
      <c r="D297" s="421"/>
      <c r="E297" s="421"/>
      <c r="F297" s="421"/>
      <c r="G297" s="421"/>
      <c r="H297" s="421"/>
      <c r="I297" s="421"/>
      <c r="J297" s="421"/>
      <c r="K297" s="421"/>
      <c r="L297" s="422"/>
      <c r="M297" s="28"/>
      <c r="N297" s="64"/>
      <c r="O297" s="408" t="s">
        <v>43</v>
      </c>
      <c r="P297" s="409"/>
      <c r="Q297" s="409"/>
      <c r="R297" s="410"/>
      <c r="S297" s="65"/>
      <c r="T297" s="408" t="s">
        <v>44</v>
      </c>
      <c r="U297" s="409"/>
      <c r="V297" s="409"/>
      <c r="W297" s="409"/>
      <c r="X297" s="409"/>
      <c r="Y297" s="410"/>
      <c r="Z297" s="66"/>
      <c r="AA297" s="28"/>
    </row>
    <row r="298" spans="1:27" s="29" customFormat="1" ht="21.4" customHeight="1" x14ac:dyDescent="0.2">
      <c r="A298" s="30"/>
      <c r="C298" s="398" t="s">
        <v>85</v>
      </c>
      <c r="D298" s="398"/>
      <c r="E298" s="398"/>
      <c r="F298" s="398"/>
      <c r="G298" s="31" t="str">
        <f>$J$1</f>
        <v>April</v>
      </c>
      <c r="H298" s="397">
        <f>$K$1</f>
        <v>2023</v>
      </c>
      <c r="I298" s="397"/>
      <c r="K298" s="32"/>
      <c r="L298" s="33"/>
      <c r="M298" s="32"/>
      <c r="N298" s="67"/>
      <c r="O298" s="68" t="s">
        <v>54</v>
      </c>
      <c r="P298" s="68" t="s">
        <v>7</v>
      </c>
      <c r="Q298" s="68" t="s">
        <v>6</v>
      </c>
      <c r="R298" s="68" t="s">
        <v>55</v>
      </c>
      <c r="S298" s="69"/>
      <c r="T298" s="68" t="s">
        <v>54</v>
      </c>
      <c r="U298" s="68" t="s">
        <v>56</v>
      </c>
      <c r="V298" s="68" t="s">
        <v>21</v>
      </c>
      <c r="W298" s="68" t="s">
        <v>20</v>
      </c>
      <c r="X298" s="68" t="s">
        <v>22</v>
      </c>
      <c r="Y298" s="68" t="s">
        <v>60</v>
      </c>
      <c r="Z298" s="70"/>
      <c r="AA298" s="32"/>
    </row>
    <row r="299" spans="1:27" s="29" customFormat="1" ht="21.4" customHeight="1" x14ac:dyDescent="0.2">
      <c r="A299" s="30"/>
      <c r="D299" s="35"/>
      <c r="E299" s="35"/>
      <c r="F299" s="35"/>
      <c r="G299" s="35"/>
      <c r="H299" s="35"/>
      <c r="J299" s="36" t="s">
        <v>1</v>
      </c>
      <c r="K299" s="37">
        <v>45000</v>
      </c>
      <c r="L299" s="38"/>
      <c r="N299" s="71"/>
      <c r="O299" s="72" t="s">
        <v>46</v>
      </c>
      <c r="P299" s="72">
        <v>31</v>
      </c>
      <c r="Q299" s="72">
        <v>0</v>
      </c>
      <c r="R299" s="72">
        <f>15-Q299</f>
        <v>15</v>
      </c>
      <c r="S299" s="73"/>
      <c r="T299" s="72" t="s">
        <v>46</v>
      </c>
      <c r="U299" s="74">
        <v>17000</v>
      </c>
      <c r="V299" s="74"/>
      <c r="W299" s="74">
        <f>V299+U299</f>
        <v>17000</v>
      </c>
      <c r="X299" s="74">
        <v>5000</v>
      </c>
      <c r="Y299" s="74">
        <f>W299-X299</f>
        <v>12000</v>
      </c>
      <c r="Z299" s="70"/>
    </row>
    <row r="300" spans="1:27" s="29" customFormat="1" ht="21.4" customHeight="1" x14ac:dyDescent="0.2">
      <c r="A300" s="30"/>
      <c r="B300" s="29" t="s">
        <v>0</v>
      </c>
      <c r="C300" s="40" t="s">
        <v>186</v>
      </c>
      <c r="H300" s="41"/>
      <c r="I300" s="35"/>
      <c r="L300" s="42"/>
      <c r="M300" s="28"/>
      <c r="N300" s="75"/>
      <c r="O300" s="72" t="s">
        <v>72</v>
      </c>
      <c r="P300" s="72">
        <v>28</v>
      </c>
      <c r="Q300" s="72">
        <v>0</v>
      </c>
      <c r="R300" s="72">
        <f>R299-Q300</f>
        <v>15</v>
      </c>
      <c r="S300" s="63"/>
      <c r="T300" s="72" t="s">
        <v>72</v>
      </c>
      <c r="U300" s="105">
        <f>IF($J$1="January","",Y299)</f>
        <v>12000</v>
      </c>
      <c r="V300" s="74">
        <v>2000</v>
      </c>
      <c r="W300" s="74">
        <f>V300+U300</f>
        <v>14000</v>
      </c>
      <c r="X300" s="74">
        <v>3000</v>
      </c>
      <c r="Y300" s="105">
        <f>IF(W300="","",W300-X300)</f>
        <v>11000</v>
      </c>
      <c r="Z300" s="76"/>
      <c r="AA300" s="28"/>
    </row>
    <row r="301" spans="1:27" s="29" customFormat="1" ht="21.4" customHeight="1" x14ac:dyDescent="0.2">
      <c r="A301" s="30"/>
      <c r="B301" s="44" t="s">
        <v>42</v>
      </c>
      <c r="C301" s="45"/>
      <c r="F301" s="414" t="s">
        <v>44</v>
      </c>
      <c r="G301" s="414"/>
      <c r="I301" s="414" t="s">
        <v>45</v>
      </c>
      <c r="J301" s="414"/>
      <c r="K301" s="414"/>
      <c r="L301" s="46"/>
      <c r="N301" s="71"/>
      <c r="O301" s="72" t="s">
        <v>47</v>
      </c>
      <c r="P301" s="72">
        <v>31</v>
      </c>
      <c r="Q301" s="72">
        <v>0</v>
      </c>
      <c r="R301" s="72">
        <f t="shared" ref="R301:R310" si="61">R300-Q301</f>
        <v>15</v>
      </c>
      <c r="S301" s="63"/>
      <c r="T301" s="72" t="s">
        <v>47</v>
      </c>
      <c r="U301" s="105">
        <f>Y300</f>
        <v>11000</v>
      </c>
      <c r="V301" s="74">
        <v>2000</v>
      </c>
      <c r="W301" s="74">
        <f>V301+U301</f>
        <v>13000</v>
      </c>
      <c r="X301" s="74"/>
      <c r="Y301" s="105">
        <f t="shared" ref="Y301:Y310" si="62">IF(W301="","",W301-X301)</f>
        <v>13000</v>
      </c>
      <c r="Z301" s="76"/>
    </row>
    <row r="302" spans="1:27" s="29" customFormat="1" ht="21.4" customHeight="1" x14ac:dyDescent="0.2">
      <c r="A302" s="30"/>
      <c r="H302" s="47"/>
      <c r="L302" s="34"/>
      <c r="N302" s="71"/>
      <c r="O302" s="72" t="s">
        <v>48</v>
      </c>
      <c r="P302" s="72">
        <v>30</v>
      </c>
      <c r="Q302" s="72">
        <v>0</v>
      </c>
      <c r="R302" s="72">
        <f t="shared" si="61"/>
        <v>15</v>
      </c>
      <c r="S302" s="63"/>
      <c r="T302" s="72" t="s">
        <v>48</v>
      </c>
      <c r="U302" s="105">
        <f>Y301</f>
        <v>13000</v>
      </c>
      <c r="V302" s="74"/>
      <c r="W302" s="105">
        <f t="shared" ref="W302:W310" si="63">IF(U302="","",U302+V302)</f>
        <v>13000</v>
      </c>
      <c r="X302" s="74">
        <v>3000</v>
      </c>
      <c r="Y302" s="105">
        <f t="shared" si="62"/>
        <v>10000</v>
      </c>
      <c r="Z302" s="76"/>
    </row>
    <row r="303" spans="1:27" s="29" customFormat="1" ht="21.4" customHeight="1" x14ac:dyDescent="0.2">
      <c r="A303" s="30"/>
      <c r="B303" s="392" t="s">
        <v>43</v>
      </c>
      <c r="C303" s="393"/>
      <c r="F303" s="48" t="s">
        <v>65</v>
      </c>
      <c r="G303" s="43">
        <f>IF($J$1="January",U299,IF($J$1="February",U300,IF($J$1="March",U301,IF($J$1="April",U302,IF($J$1="May",U303,IF($J$1="June",U304,IF($J$1="July",U305,IF($J$1="August",U306,IF($J$1="August",U306,IF($J$1="September",U307,IF($J$1="October",U308,IF($J$1="November",U309,IF($J$1="December",U310)))))))))))))</f>
        <v>13000</v>
      </c>
      <c r="H303" s="47"/>
      <c r="I303" s="156">
        <f>IF(C307&gt;0,$K$2,C305)</f>
        <v>30</v>
      </c>
      <c r="J303" s="50" t="s">
        <v>62</v>
      </c>
      <c r="K303" s="51">
        <f>K299/$K$2*I303</f>
        <v>45000</v>
      </c>
      <c r="L303" s="52"/>
      <c r="N303" s="71"/>
      <c r="O303" s="72" t="s">
        <v>49</v>
      </c>
      <c r="P303" s="72"/>
      <c r="Q303" s="72"/>
      <c r="R303" s="72">
        <f t="shared" si="61"/>
        <v>15</v>
      </c>
      <c r="S303" s="63"/>
      <c r="T303" s="72" t="s">
        <v>49</v>
      </c>
      <c r="U303" s="105">
        <v>0</v>
      </c>
      <c r="V303" s="74"/>
      <c r="W303" s="105">
        <f>IF(U303="","",U303+V303)</f>
        <v>0</v>
      </c>
      <c r="X303" s="74"/>
      <c r="Y303" s="105">
        <f t="shared" si="62"/>
        <v>0</v>
      </c>
      <c r="Z303" s="76"/>
    </row>
    <row r="304" spans="1:27" s="29" customFormat="1" ht="21.4" customHeight="1" x14ac:dyDescent="0.2">
      <c r="A304" s="30"/>
      <c r="B304" s="39"/>
      <c r="C304" s="39"/>
      <c r="F304" s="48" t="s">
        <v>21</v>
      </c>
      <c r="G304" s="43">
        <f>IF($J$1="January",V299,IF($J$1="February",V300,IF($J$1="March",V301,IF($J$1="April",V302,IF($J$1="May",V303,IF($J$1="June",V304,IF($J$1="July",V305,IF($J$1="August",V306,IF($J$1="August",V306,IF($J$1="September",V307,IF($J$1="October",V308,IF($J$1="November",V309,IF($J$1="December",V310)))))))))))))</f>
        <v>0</v>
      </c>
      <c r="H304" s="47"/>
      <c r="I304" s="84">
        <v>-8</v>
      </c>
      <c r="J304" s="50" t="s">
        <v>63</v>
      </c>
      <c r="K304" s="53">
        <f>K299/$K$2/8*I304</f>
        <v>-1500</v>
      </c>
      <c r="L304" s="54"/>
      <c r="N304" s="71"/>
      <c r="O304" s="72" t="s">
        <v>50</v>
      </c>
      <c r="P304" s="72"/>
      <c r="Q304" s="72"/>
      <c r="R304" s="72">
        <f t="shared" si="61"/>
        <v>15</v>
      </c>
      <c r="S304" s="63"/>
      <c r="T304" s="72" t="s">
        <v>50</v>
      </c>
      <c r="U304" s="105">
        <f>Y303</f>
        <v>0</v>
      </c>
      <c r="V304" s="74"/>
      <c r="W304" s="74">
        <f>V304</f>
        <v>0</v>
      </c>
      <c r="X304" s="74"/>
      <c r="Y304" s="105">
        <f t="shared" si="62"/>
        <v>0</v>
      </c>
      <c r="Z304" s="76"/>
    </row>
    <row r="305" spans="1:27" s="29" customFormat="1" ht="21.4" customHeight="1" x14ac:dyDescent="0.2">
      <c r="A305" s="30"/>
      <c r="B305" s="48" t="s">
        <v>7</v>
      </c>
      <c r="C305" s="39">
        <f>IF($J$1="January",P299,IF($J$1="February",P300,IF($J$1="March",P301,IF($J$1="April",P302,IF($J$1="May",P303,IF($J$1="June",P304,IF($J$1="July",P305,IF($J$1="August",P306,IF($J$1="August",P306,IF($J$1="September",P307,IF($J$1="October",P308,IF($J$1="November",P309,IF($J$1="December",P310)))))))))))))</f>
        <v>30</v>
      </c>
      <c r="F305" s="48" t="s">
        <v>66</v>
      </c>
      <c r="G305" s="109">
        <f>IF($J$1="January",W299,IF($J$1="February",W300,IF($J$1="March",W301,IF($J$1="April",W302,IF($J$1="May",W303,IF($J$1="June",W304,IF($J$1="July",W305,IF($J$1="August",W306,IF($J$1="August",W306,IF($J$1="September",W307,IF($J$1="October",W308,IF($J$1="November",W309,IF($J$1="December",W310)))))))))))))</f>
        <v>13000</v>
      </c>
      <c r="H305" s="47"/>
      <c r="I305" s="405" t="s">
        <v>70</v>
      </c>
      <c r="J305" s="406"/>
      <c r="K305" s="53">
        <f>K303+K304</f>
        <v>43500</v>
      </c>
      <c r="L305" s="54"/>
      <c r="N305" s="71"/>
      <c r="O305" s="72" t="s">
        <v>51</v>
      </c>
      <c r="P305" s="72"/>
      <c r="Q305" s="72"/>
      <c r="R305" s="72">
        <f t="shared" si="61"/>
        <v>15</v>
      </c>
      <c r="S305" s="63"/>
      <c r="T305" s="72" t="s">
        <v>51</v>
      </c>
      <c r="U305" s="105"/>
      <c r="V305" s="74"/>
      <c r="W305" s="105" t="str">
        <f t="shared" si="63"/>
        <v/>
      </c>
      <c r="X305" s="74"/>
      <c r="Y305" s="105" t="str">
        <f t="shared" si="62"/>
        <v/>
      </c>
      <c r="Z305" s="76"/>
    </row>
    <row r="306" spans="1:27" s="29" customFormat="1" ht="21.4" customHeight="1" x14ac:dyDescent="0.2">
      <c r="A306" s="30"/>
      <c r="B306" s="48" t="s">
        <v>6</v>
      </c>
      <c r="C306" s="39">
        <f>IF($J$1="January",Q299,IF($J$1="February",Q300,IF($J$1="March",Q301,IF($J$1="April",Q302,IF($J$1="May",Q303,IF($J$1="June",Q304,IF($J$1="July",Q305,IF($J$1="August",Q306,IF($J$1="August",Q306,IF($J$1="September",Q307,IF($J$1="October",Q308,IF($J$1="November",Q309,IF($J$1="December",Q310)))))))))))))</f>
        <v>0</v>
      </c>
      <c r="F306" s="48" t="s">
        <v>22</v>
      </c>
      <c r="G306" s="43">
        <f>IF($J$1="January",X299,IF($J$1="February",X300,IF($J$1="March",X301,IF($J$1="April",X302,IF($J$1="May",X303,IF($J$1="June",X304,IF($J$1="July",X305,IF($J$1="August",X306,IF($J$1="August",X306,IF($J$1="September",X307,IF($J$1="October",X308,IF($J$1="November",X309,IF($J$1="December",X310)))))))))))))</f>
        <v>3000</v>
      </c>
      <c r="H306" s="47"/>
      <c r="I306" s="405" t="s">
        <v>71</v>
      </c>
      <c r="J306" s="406"/>
      <c r="K306" s="43">
        <f>G306</f>
        <v>3000</v>
      </c>
      <c r="L306" s="55"/>
      <c r="N306" s="71"/>
      <c r="O306" s="72" t="s">
        <v>52</v>
      </c>
      <c r="P306" s="72"/>
      <c r="Q306" s="72"/>
      <c r="R306" s="72">
        <f t="shared" si="61"/>
        <v>15</v>
      </c>
      <c r="S306" s="63"/>
      <c r="T306" s="72" t="s">
        <v>52</v>
      </c>
      <c r="U306" s="105">
        <v>0</v>
      </c>
      <c r="V306" s="74"/>
      <c r="W306" s="105"/>
      <c r="X306" s="74"/>
      <c r="Y306" s="105" t="str">
        <f t="shared" si="62"/>
        <v/>
      </c>
      <c r="Z306" s="76"/>
    </row>
    <row r="307" spans="1:27" s="29" customFormat="1" ht="21.4" customHeight="1" x14ac:dyDescent="0.2">
      <c r="A307" s="30"/>
      <c r="B307" s="56" t="s">
        <v>69</v>
      </c>
      <c r="C307" s="39">
        <f>IF($J$1="January",R299,IF($J$1="February",R300,IF($J$1="March",R301,IF($J$1="April",R302,IF($J$1="May",R303,IF($J$1="June",R304,IF($J$1="July",R305,IF($J$1="August",R306,IF($J$1="August",R306,IF($J$1="September",R307,IF($J$1="October",R308,IF($J$1="November",R309,IF($J$1="December",R310)))))))))))))</f>
        <v>15</v>
      </c>
      <c r="F307" s="48" t="s">
        <v>68</v>
      </c>
      <c r="G307" s="43">
        <f>IF($J$1="January",Y299,IF($J$1="February",Y300,IF($J$1="March",Y301,IF($J$1="April",Y302,IF($J$1="May",Y303,IF($J$1="June",Y304,IF($J$1="July",Y305,IF($J$1="August",Y306,IF($J$1="August",Y306,IF($J$1="September",Y307,IF($J$1="October",Y308,IF($J$1="November",Y309,IF($J$1="December",Y310)))))))))))))</f>
        <v>10000</v>
      </c>
      <c r="I307" s="394" t="s">
        <v>64</v>
      </c>
      <c r="J307" s="396"/>
      <c r="K307" s="57">
        <f>K305-K306</f>
        <v>40500</v>
      </c>
      <c r="L307" s="58"/>
      <c r="N307" s="71"/>
      <c r="O307" s="72" t="s">
        <v>57</v>
      </c>
      <c r="P307" s="72"/>
      <c r="Q307" s="72"/>
      <c r="R307" s="72">
        <f t="shared" si="61"/>
        <v>15</v>
      </c>
      <c r="S307" s="63"/>
      <c r="T307" s="72" t="s">
        <v>57</v>
      </c>
      <c r="U307" s="105"/>
      <c r="V307" s="74"/>
      <c r="W307" s="105"/>
      <c r="X307" s="74"/>
      <c r="Y307" s="105" t="str">
        <f t="shared" si="62"/>
        <v/>
      </c>
      <c r="Z307" s="76"/>
    </row>
    <row r="308" spans="1:27" s="29" customFormat="1" ht="21.4" customHeight="1" x14ac:dyDescent="0.2">
      <c r="A308" s="30"/>
      <c r="L308" s="46"/>
      <c r="N308" s="71"/>
      <c r="O308" s="72" t="s">
        <v>53</v>
      </c>
      <c r="P308" s="72"/>
      <c r="Q308" s="72"/>
      <c r="R308" s="72">
        <f t="shared" si="61"/>
        <v>15</v>
      </c>
      <c r="S308" s="63"/>
      <c r="T308" s="72" t="s">
        <v>53</v>
      </c>
      <c r="U308" s="105"/>
      <c r="V308" s="74"/>
      <c r="W308" s="105" t="str">
        <f t="shared" si="63"/>
        <v/>
      </c>
      <c r="X308" s="74"/>
      <c r="Y308" s="105" t="str">
        <f t="shared" si="62"/>
        <v/>
      </c>
      <c r="Z308" s="76"/>
    </row>
    <row r="309" spans="1:27" s="29" customFormat="1" ht="21.4" customHeight="1" x14ac:dyDescent="0.2">
      <c r="A309" s="30"/>
      <c r="B309" s="407" t="s">
        <v>87</v>
      </c>
      <c r="C309" s="407"/>
      <c r="D309" s="407"/>
      <c r="E309" s="407"/>
      <c r="F309" s="407"/>
      <c r="G309" s="407"/>
      <c r="H309" s="407"/>
      <c r="I309" s="407"/>
      <c r="J309" s="407"/>
      <c r="K309" s="407"/>
      <c r="L309" s="46"/>
      <c r="N309" s="71"/>
      <c r="O309" s="72" t="s">
        <v>58</v>
      </c>
      <c r="P309" s="72"/>
      <c r="Q309" s="72"/>
      <c r="R309" s="72">
        <f t="shared" si="61"/>
        <v>15</v>
      </c>
      <c r="S309" s="63"/>
      <c r="T309" s="72" t="s">
        <v>58</v>
      </c>
      <c r="U309" s="105"/>
      <c r="V309" s="74"/>
      <c r="W309" s="105" t="str">
        <f t="shared" si="63"/>
        <v/>
      </c>
      <c r="X309" s="74"/>
      <c r="Y309" s="105" t="str">
        <f t="shared" si="62"/>
        <v/>
      </c>
      <c r="Z309" s="76"/>
    </row>
    <row r="310" spans="1:27" s="29" customFormat="1" ht="21.4" customHeight="1" x14ac:dyDescent="0.2">
      <c r="A310" s="30"/>
      <c r="B310" s="407"/>
      <c r="C310" s="407"/>
      <c r="D310" s="407"/>
      <c r="E310" s="407"/>
      <c r="F310" s="407"/>
      <c r="G310" s="407"/>
      <c r="H310" s="407"/>
      <c r="I310" s="407"/>
      <c r="J310" s="407"/>
      <c r="K310" s="407"/>
      <c r="L310" s="46"/>
      <c r="N310" s="71"/>
      <c r="O310" s="72" t="s">
        <v>59</v>
      </c>
      <c r="P310" s="72"/>
      <c r="Q310" s="72"/>
      <c r="R310" s="72">
        <f t="shared" si="61"/>
        <v>15</v>
      </c>
      <c r="S310" s="63"/>
      <c r="T310" s="72" t="s">
        <v>59</v>
      </c>
      <c r="U310" s="105"/>
      <c r="V310" s="74"/>
      <c r="W310" s="105" t="str">
        <f t="shared" si="63"/>
        <v/>
      </c>
      <c r="X310" s="74"/>
      <c r="Y310" s="105" t="str">
        <f t="shared" si="62"/>
        <v/>
      </c>
      <c r="Z310" s="76"/>
    </row>
    <row r="311" spans="1:27" s="29" customFormat="1" ht="21.4" customHeight="1" thickBot="1" x14ac:dyDescent="0.25">
      <c r="A311" s="59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1"/>
      <c r="N311" s="77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9"/>
    </row>
    <row r="312" spans="1:27" s="29" customFormat="1" ht="21" customHeight="1" thickBot="1" x14ac:dyDescent="0.25"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 spans="1:27" s="29" customFormat="1" ht="21.4" customHeight="1" x14ac:dyDescent="0.2">
      <c r="A313" s="411" t="s">
        <v>41</v>
      </c>
      <c r="B313" s="412"/>
      <c r="C313" s="412"/>
      <c r="D313" s="412"/>
      <c r="E313" s="412"/>
      <c r="F313" s="412"/>
      <c r="G313" s="412"/>
      <c r="H313" s="412"/>
      <c r="I313" s="412"/>
      <c r="J313" s="412"/>
      <c r="K313" s="412"/>
      <c r="L313" s="413"/>
      <c r="M313" s="28"/>
      <c r="N313" s="64"/>
      <c r="O313" s="408" t="s">
        <v>43</v>
      </c>
      <c r="P313" s="409"/>
      <c r="Q313" s="409"/>
      <c r="R313" s="410"/>
      <c r="S313" s="65"/>
      <c r="T313" s="408" t="s">
        <v>44</v>
      </c>
      <c r="U313" s="409"/>
      <c r="V313" s="409"/>
      <c r="W313" s="409"/>
      <c r="X313" s="409"/>
      <c r="Y313" s="410"/>
      <c r="Z313" s="66"/>
      <c r="AA313" s="28"/>
    </row>
    <row r="314" spans="1:27" s="29" customFormat="1" ht="21.4" customHeight="1" x14ac:dyDescent="0.2">
      <c r="A314" s="30"/>
      <c r="C314" s="398" t="s">
        <v>85</v>
      </c>
      <c r="D314" s="398"/>
      <c r="E314" s="398"/>
      <c r="F314" s="398"/>
      <c r="G314" s="31" t="str">
        <f>$J$1</f>
        <v>April</v>
      </c>
      <c r="H314" s="397">
        <f>$K$1</f>
        <v>2023</v>
      </c>
      <c r="I314" s="397"/>
      <c r="K314" s="32"/>
      <c r="L314" s="33"/>
      <c r="M314" s="32"/>
      <c r="N314" s="67"/>
      <c r="O314" s="68" t="s">
        <v>54</v>
      </c>
      <c r="P314" s="68" t="s">
        <v>7</v>
      </c>
      <c r="Q314" s="68" t="s">
        <v>6</v>
      </c>
      <c r="R314" s="68" t="s">
        <v>55</v>
      </c>
      <c r="S314" s="69"/>
      <c r="T314" s="68" t="s">
        <v>54</v>
      </c>
      <c r="U314" s="68" t="s">
        <v>56</v>
      </c>
      <c r="V314" s="68" t="s">
        <v>21</v>
      </c>
      <c r="W314" s="68" t="s">
        <v>20</v>
      </c>
      <c r="X314" s="68" t="s">
        <v>22</v>
      </c>
      <c r="Y314" s="68" t="s">
        <v>60</v>
      </c>
      <c r="Z314" s="70"/>
      <c r="AA314" s="32"/>
    </row>
    <row r="315" spans="1:27" s="29" customFormat="1" ht="21.4" customHeight="1" x14ac:dyDescent="0.2">
      <c r="A315" s="30"/>
      <c r="D315" s="35"/>
      <c r="E315" s="35"/>
      <c r="F315" s="35"/>
      <c r="G315" s="35"/>
      <c r="H315" s="35"/>
      <c r="J315" s="36" t="s">
        <v>1</v>
      </c>
      <c r="K315" s="37">
        <v>22000</v>
      </c>
      <c r="L315" s="38"/>
      <c r="N315" s="71"/>
      <c r="O315" s="72" t="s">
        <v>46</v>
      </c>
      <c r="P315" s="72">
        <v>30</v>
      </c>
      <c r="Q315" s="72">
        <v>1</v>
      </c>
      <c r="R315" s="72">
        <f>15-Q315</f>
        <v>14</v>
      </c>
      <c r="S315" s="73"/>
      <c r="T315" s="72" t="s">
        <v>46</v>
      </c>
      <c r="U315" s="74">
        <v>5760</v>
      </c>
      <c r="V315" s="74"/>
      <c r="W315" s="74">
        <f>V315+U315</f>
        <v>5760</v>
      </c>
      <c r="X315" s="74"/>
      <c r="Y315" s="74">
        <f>W315-X315</f>
        <v>5760</v>
      </c>
      <c r="Z315" s="70"/>
    </row>
    <row r="316" spans="1:27" s="29" customFormat="1" ht="21.4" customHeight="1" x14ac:dyDescent="0.2">
      <c r="A316" s="30"/>
      <c r="B316" s="29" t="s">
        <v>0</v>
      </c>
      <c r="C316" s="40" t="s">
        <v>185</v>
      </c>
      <c r="H316" s="41"/>
      <c r="I316" s="35"/>
      <c r="L316" s="42"/>
      <c r="M316" s="28"/>
      <c r="N316" s="75"/>
      <c r="O316" s="72" t="s">
        <v>72</v>
      </c>
      <c r="P316" s="72">
        <v>26</v>
      </c>
      <c r="Q316" s="72">
        <v>2</v>
      </c>
      <c r="R316" s="72">
        <f>R315-Q316</f>
        <v>12</v>
      </c>
      <c r="S316" s="63"/>
      <c r="T316" s="72" t="s">
        <v>72</v>
      </c>
      <c r="U316" s="105">
        <f>IF($J$1="January","",Y315)</f>
        <v>5760</v>
      </c>
      <c r="V316" s="74">
        <v>3000</v>
      </c>
      <c r="W316" s="105">
        <f>IF(U316="","",U316+V316)</f>
        <v>8760</v>
      </c>
      <c r="X316" s="74">
        <v>4000</v>
      </c>
      <c r="Y316" s="105">
        <f>IF(W316="","",W316-X316)</f>
        <v>4760</v>
      </c>
      <c r="Z316" s="76"/>
      <c r="AA316" s="28"/>
    </row>
    <row r="317" spans="1:27" s="29" customFormat="1" ht="21.4" customHeight="1" x14ac:dyDescent="0.2">
      <c r="A317" s="30"/>
      <c r="B317" s="44" t="s">
        <v>42</v>
      </c>
      <c r="C317" s="45"/>
      <c r="F317" s="414" t="s">
        <v>44</v>
      </c>
      <c r="G317" s="414"/>
      <c r="I317" s="414" t="s">
        <v>45</v>
      </c>
      <c r="J317" s="414"/>
      <c r="K317" s="414"/>
      <c r="L317" s="46"/>
      <c r="N317" s="71"/>
      <c r="O317" s="72" t="s">
        <v>47</v>
      </c>
      <c r="P317" s="72">
        <v>30</v>
      </c>
      <c r="Q317" s="72">
        <v>1</v>
      </c>
      <c r="R317" s="72">
        <f t="shared" ref="R317:R326" si="64">R316-Q317</f>
        <v>11</v>
      </c>
      <c r="S317" s="63"/>
      <c r="T317" s="72" t="s">
        <v>47</v>
      </c>
      <c r="U317" s="105">
        <f>Y316</f>
        <v>4760</v>
      </c>
      <c r="V317" s="74">
        <v>2000</v>
      </c>
      <c r="W317" s="105">
        <f t="shared" ref="W317:W326" si="65">IF(U317="","",U317+V317)</f>
        <v>6760</v>
      </c>
      <c r="X317" s="74">
        <v>4000</v>
      </c>
      <c r="Y317" s="105">
        <f t="shared" ref="Y317:Y326" si="66">IF(W317="","",W317-X317)</f>
        <v>2760</v>
      </c>
      <c r="Z317" s="76"/>
    </row>
    <row r="318" spans="1:27" s="29" customFormat="1" ht="21.4" customHeight="1" x14ac:dyDescent="0.2">
      <c r="A318" s="30"/>
      <c r="H318" s="47"/>
      <c r="L318" s="34"/>
      <c r="N318" s="71"/>
      <c r="O318" s="72" t="s">
        <v>48</v>
      </c>
      <c r="P318" s="72">
        <v>30</v>
      </c>
      <c r="Q318" s="72">
        <v>0</v>
      </c>
      <c r="R318" s="72">
        <f t="shared" si="64"/>
        <v>11</v>
      </c>
      <c r="S318" s="63"/>
      <c r="T318" s="72" t="s">
        <v>48</v>
      </c>
      <c r="U318" s="105">
        <f>IF($J$1="March","",Y317)</f>
        <v>2760</v>
      </c>
      <c r="V318" s="74">
        <v>4000</v>
      </c>
      <c r="W318" s="105">
        <f t="shared" si="65"/>
        <v>6760</v>
      </c>
      <c r="X318" s="74">
        <v>4000</v>
      </c>
      <c r="Y318" s="105">
        <f t="shared" si="66"/>
        <v>2760</v>
      </c>
      <c r="Z318" s="76"/>
    </row>
    <row r="319" spans="1:27" s="29" customFormat="1" ht="21.4" customHeight="1" x14ac:dyDescent="0.2">
      <c r="A319" s="30"/>
      <c r="B319" s="392" t="s">
        <v>43</v>
      </c>
      <c r="C319" s="393"/>
      <c r="F319" s="48" t="s">
        <v>65</v>
      </c>
      <c r="G319" s="110">
        <f>IF($J$1="January",U315,IF($J$1="February",U316,IF($J$1="March",U317,IF($J$1="April",U318,IF($J$1="May",U319,IF($J$1="June",U320,IF($J$1="July",U321,IF($J$1="August",U322,IF($J$1="August",U322,IF($J$1="September",U323,IF($J$1="October",U324,IF($J$1="November",U325,IF($J$1="December",U326)))))))))))))</f>
        <v>2760</v>
      </c>
      <c r="H319" s="47"/>
      <c r="I319" s="49">
        <f>IF(C323&gt;0,$K$2,C321)</f>
        <v>30</v>
      </c>
      <c r="J319" s="50" t="s">
        <v>62</v>
      </c>
      <c r="K319" s="51">
        <f>K315/$K$2*I319</f>
        <v>22000</v>
      </c>
      <c r="L319" s="52"/>
      <c r="N319" s="71"/>
      <c r="O319" s="72" t="s">
        <v>49</v>
      </c>
      <c r="P319" s="72"/>
      <c r="Q319" s="72"/>
      <c r="R319" s="72">
        <f t="shared" si="64"/>
        <v>11</v>
      </c>
      <c r="S319" s="63"/>
      <c r="T319" s="72" t="s">
        <v>49</v>
      </c>
      <c r="U319" s="105" t="str">
        <f>IF($J$1="April","",Y318)</f>
        <v/>
      </c>
      <c r="V319" s="74"/>
      <c r="W319" s="105" t="str">
        <f t="shared" si="65"/>
        <v/>
      </c>
      <c r="X319" s="74"/>
      <c r="Y319" s="105" t="str">
        <f t="shared" si="66"/>
        <v/>
      </c>
      <c r="Z319" s="76"/>
    </row>
    <row r="320" spans="1:27" s="29" customFormat="1" ht="21.4" customHeight="1" x14ac:dyDescent="0.2">
      <c r="A320" s="30"/>
      <c r="B320" s="39"/>
      <c r="C320" s="39"/>
      <c r="F320" s="48" t="s">
        <v>21</v>
      </c>
      <c r="G320" s="110">
        <f>IF($J$1="January",V315,IF($J$1="February",V316,IF($J$1="March",V317,IF($J$1="April",V318,IF($J$1="May",V319,IF($J$1="June",V320,IF($J$1="July",V321,IF($J$1="August",V322,IF($J$1="August",V322,IF($J$1="September",V323,IF($J$1="October",V324,IF($J$1="November",V325,IF($J$1="December",V326)))))))))))))</f>
        <v>4000</v>
      </c>
      <c r="H320" s="47"/>
      <c r="I320" s="84">
        <v>-7</v>
      </c>
      <c r="J320" s="50" t="s">
        <v>63</v>
      </c>
      <c r="K320" s="53">
        <f>K315/$K$2/8*I320</f>
        <v>-641.66666666666674</v>
      </c>
      <c r="L320" s="54"/>
      <c r="N320" s="71"/>
      <c r="O320" s="72" t="s">
        <v>50</v>
      </c>
      <c r="P320" s="72"/>
      <c r="Q320" s="72"/>
      <c r="R320" s="72">
        <f t="shared" si="64"/>
        <v>11</v>
      </c>
      <c r="S320" s="63"/>
      <c r="T320" s="72" t="s">
        <v>50</v>
      </c>
      <c r="U320" s="105" t="str">
        <f>Y319</f>
        <v/>
      </c>
      <c r="V320" s="74"/>
      <c r="W320" s="105" t="str">
        <f t="shared" si="65"/>
        <v/>
      </c>
      <c r="X320" s="74"/>
      <c r="Y320" s="105" t="str">
        <f t="shared" si="66"/>
        <v/>
      </c>
      <c r="Z320" s="76"/>
    </row>
    <row r="321" spans="1:27" s="29" customFormat="1" ht="21.4" customHeight="1" x14ac:dyDescent="0.2">
      <c r="A321" s="30"/>
      <c r="B321" s="48" t="s">
        <v>7</v>
      </c>
      <c r="C321" s="39">
        <f>IF($J$1="January",P315,IF($J$1="February",P316,IF($J$1="March",P317,IF($J$1="April",P318,IF($J$1="May",P319,IF($J$1="June",P320,IF($J$1="July",P321,IF($J$1="August",P322,IF($J$1="August",P322,IF($J$1="September",P323,IF($J$1="October",P324,IF($J$1="November",P325,IF($J$1="December",P326)))))))))))))</f>
        <v>30</v>
      </c>
      <c r="F321" s="48" t="s">
        <v>66</v>
      </c>
      <c r="G321" s="110">
        <f>IF($J$1="January",W315,IF($J$1="February",W316,IF($J$1="March",W317,IF($J$1="April",W318,IF($J$1="May",W319,IF($J$1="June",W320,IF($J$1="July",W321,IF($J$1="August",W322,IF($J$1="August",W322,IF($J$1="September",W323,IF($J$1="October",W324,IF($J$1="November",W325,IF($J$1="December",W326)))))))))))))</f>
        <v>6760</v>
      </c>
      <c r="H321" s="47"/>
      <c r="I321" s="405" t="s">
        <v>70</v>
      </c>
      <c r="J321" s="406"/>
      <c r="K321" s="53">
        <f>K319+K320</f>
        <v>21358.333333333332</v>
      </c>
      <c r="L321" s="54"/>
      <c r="N321" s="71"/>
      <c r="O321" s="72" t="s">
        <v>51</v>
      </c>
      <c r="P321" s="72"/>
      <c r="Q321" s="72"/>
      <c r="R321" s="72">
        <f t="shared" si="64"/>
        <v>11</v>
      </c>
      <c r="S321" s="63"/>
      <c r="T321" s="72" t="s">
        <v>51</v>
      </c>
      <c r="U321" s="105" t="str">
        <f>Y320</f>
        <v/>
      </c>
      <c r="V321" s="74"/>
      <c r="W321" s="105" t="str">
        <f t="shared" si="65"/>
        <v/>
      </c>
      <c r="X321" s="74"/>
      <c r="Y321" s="105" t="str">
        <f t="shared" si="66"/>
        <v/>
      </c>
      <c r="Z321" s="76"/>
    </row>
    <row r="322" spans="1:27" s="29" customFormat="1" ht="21.4" customHeight="1" x14ac:dyDescent="0.2">
      <c r="A322" s="30"/>
      <c r="B322" s="48" t="s">
        <v>6</v>
      </c>
      <c r="C322" s="39">
        <f>IF($J$1="January",Q315,IF($J$1="February",Q316,IF($J$1="March",Q317,IF($J$1="April",Q318,IF($J$1="May",Q319,IF($J$1="June",Q320,IF($J$1="July",Q321,IF($J$1="August",Q322,IF($J$1="August",Q322,IF($J$1="September",Q323,IF($J$1="October",Q324,IF($J$1="November",Q325,IF($J$1="December",Q326)))))))))))))</f>
        <v>0</v>
      </c>
      <c r="F322" s="48" t="s">
        <v>22</v>
      </c>
      <c r="G322" s="110">
        <f>IF($J$1="January",X315,IF($J$1="February",X316,IF($J$1="March",X317,IF($J$1="April",X318,IF($J$1="May",X319,IF($J$1="June",X320,IF($J$1="July",X321,IF($J$1="August",X322,IF($J$1="August",X322,IF($J$1="September",X323,IF($J$1="October",X324,IF($J$1="November",X325,IF($J$1="December",X326)))))))))))))</f>
        <v>4000</v>
      </c>
      <c r="H322" s="47"/>
      <c r="I322" s="405" t="s">
        <v>71</v>
      </c>
      <c r="J322" s="406"/>
      <c r="K322" s="43">
        <f>G322</f>
        <v>4000</v>
      </c>
      <c r="L322" s="55"/>
      <c r="N322" s="71"/>
      <c r="O322" s="72" t="s">
        <v>52</v>
      </c>
      <c r="P322" s="72"/>
      <c r="Q322" s="72"/>
      <c r="R322" s="72">
        <f t="shared" si="64"/>
        <v>11</v>
      </c>
      <c r="S322" s="63"/>
      <c r="T322" s="72" t="s">
        <v>52</v>
      </c>
      <c r="U322" s="105" t="str">
        <f>Y321</f>
        <v/>
      </c>
      <c r="V322" s="74"/>
      <c r="W322" s="105" t="str">
        <f t="shared" si="65"/>
        <v/>
      </c>
      <c r="X322" s="74"/>
      <c r="Y322" s="105" t="str">
        <f t="shared" si="66"/>
        <v/>
      </c>
      <c r="Z322" s="76"/>
    </row>
    <row r="323" spans="1:27" s="29" customFormat="1" ht="21.4" customHeight="1" x14ac:dyDescent="0.2">
      <c r="A323" s="30"/>
      <c r="B323" s="56" t="s">
        <v>69</v>
      </c>
      <c r="C323" s="39">
        <f>IF($J$1="January",R315,IF($J$1="February",R316,IF($J$1="March",R317,IF($J$1="April",R318,IF($J$1="May",R319,IF($J$1="June",R320,IF($J$1="July",R321,IF($J$1="August",R322,IF($J$1="August",R322,IF($J$1="September",R323,IF($J$1="October",R324,IF($J$1="November",R325,IF($J$1="December",R326)))))))))))))</f>
        <v>11</v>
      </c>
      <c r="F323" s="48" t="s">
        <v>68</v>
      </c>
      <c r="G323" s="110">
        <f>IF($J$1="January",Y315,IF($J$1="February",Y316,IF($J$1="March",Y317,IF($J$1="April",Y318,IF($J$1="May",Y319,IF($J$1="June",Y320,IF($J$1="July",Y321,IF($J$1="August",Y322,IF($J$1="August",Y322,IF($J$1="September",Y323,IF($J$1="October",Y324,IF($J$1="November",Y325,IF($J$1="December",Y326)))))))))))))</f>
        <v>2760</v>
      </c>
      <c r="I323" s="394" t="s">
        <v>64</v>
      </c>
      <c r="J323" s="396"/>
      <c r="K323" s="57">
        <f>K321-K322</f>
        <v>17358.333333333332</v>
      </c>
      <c r="L323" s="58"/>
      <c r="N323" s="71"/>
      <c r="O323" s="72" t="s">
        <v>57</v>
      </c>
      <c r="P323" s="72"/>
      <c r="Q323" s="72"/>
      <c r="R323" s="72">
        <f t="shared" si="64"/>
        <v>11</v>
      </c>
      <c r="S323" s="63"/>
      <c r="T323" s="72" t="s">
        <v>57</v>
      </c>
      <c r="U323" s="105" t="str">
        <f>Y322</f>
        <v/>
      </c>
      <c r="V323" s="74"/>
      <c r="W323" s="105" t="str">
        <f t="shared" si="65"/>
        <v/>
      </c>
      <c r="X323" s="74"/>
      <c r="Y323" s="105" t="str">
        <f t="shared" si="66"/>
        <v/>
      </c>
      <c r="Z323" s="76"/>
    </row>
    <row r="324" spans="1:27" s="29" customFormat="1" ht="21.4" customHeight="1" x14ac:dyDescent="0.2">
      <c r="A324" s="30"/>
      <c r="L324" s="46"/>
      <c r="N324" s="71"/>
      <c r="O324" s="72" t="s">
        <v>53</v>
      </c>
      <c r="P324" s="72"/>
      <c r="Q324" s="72"/>
      <c r="R324" s="72">
        <f t="shared" si="64"/>
        <v>11</v>
      </c>
      <c r="S324" s="63"/>
      <c r="T324" s="72" t="s">
        <v>53</v>
      </c>
      <c r="U324" s="105" t="str">
        <f>IF($J$1="September","",Y323)</f>
        <v/>
      </c>
      <c r="V324" s="74"/>
      <c r="W324" s="105" t="str">
        <f t="shared" si="65"/>
        <v/>
      </c>
      <c r="X324" s="74"/>
      <c r="Y324" s="105" t="str">
        <f t="shared" si="66"/>
        <v/>
      </c>
      <c r="Z324" s="76"/>
    </row>
    <row r="325" spans="1:27" s="29" customFormat="1" ht="21.4" customHeight="1" x14ac:dyDescent="0.2">
      <c r="A325" s="30"/>
      <c r="B325" s="407" t="s">
        <v>87</v>
      </c>
      <c r="C325" s="407"/>
      <c r="D325" s="407"/>
      <c r="E325" s="407"/>
      <c r="F325" s="407"/>
      <c r="G325" s="407"/>
      <c r="H325" s="407"/>
      <c r="I325" s="407"/>
      <c r="J325" s="407"/>
      <c r="K325" s="407"/>
      <c r="L325" s="46"/>
      <c r="N325" s="71"/>
      <c r="O325" s="72" t="s">
        <v>58</v>
      </c>
      <c r="P325" s="72"/>
      <c r="Q325" s="72"/>
      <c r="R325" s="72">
        <f t="shared" si="64"/>
        <v>11</v>
      </c>
      <c r="S325" s="63"/>
      <c r="T325" s="72" t="s">
        <v>58</v>
      </c>
      <c r="U325" s="105" t="str">
        <f>IF($J$1="October","",Y324)</f>
        <v/>
      </c>
      <c r="V325" s="74"/>
      <c r="W325" s="105" t="str">
        <f t="shared" si="65"/>
        <v/>
      </c>
      <c r="X325" s="74"/>
      <c r="Y325" s="105" t="str">
        <f t="shared" si="66"/>
        <v/>
      </c>
      <c r="Z325" s="76"/>
    </row>
    <row r="326" spans="1:27" s="29" customFormat="1" ht="21.4" customHeight="1" x14ac:dyDescent="0.2">
      <c r="A326" s="30"/>
      <c r="B326" s="407"/>
      <c r="C326" s="407"/>
      <c r="D326" s="407"/>
      <c r="E326" s="407"/>
      <c r="F326" s="407"/>
      <c r="G326" s="407"/>
      <c r="H326" s="407"/>
      <c r="I326" s="407"/>
      <c r="J326" s="407"/>
      <c r="K326" s="407"/>
      <c r="L326" s="46"/>
      <c r="N326" s="71"/>
      <c r="O326" s="72" t="s">
        <v>59</v>
      </c>
      <c r="P326" s="72"/>
      <c r="Q326" s="72"/>
      <c r="R326" s="72">
        <f t="shared" si="64"/>
        <v>11</v>
      </c>
      <c r="S326" s="63"/>
      <c r="T326" s="72" t="s">
        <v>59</v>
      </c>
      <c r="U326" s="105" t="str">
        <f>IF($J$1="November","",Y325)</f>
        <v/>
      </c>
      <c r="V326" s="74"/>
      <c r="W326" s="105" t="str">
        <f t="shared" si="65"/>
        <v/>
      </c>
      <c r="X326" s="74"/>
      <c r="Y326" s="105" t="str">
        <f t="shared" si="66"/>
        <v/>
      </c>
      <c r="Z326" s="76"/>
    </row>
    <row r="327" spans="1:27" s="29" customFormat="1" ht="21.4" customHeight="1" thickBot="1" x14ac:dyDescent="0.25">
      <c r="A327" s="59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1"/>
      <c r="N327" s="77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9"/>
    </row>
    <row r="328" spans="1:27" s="29" customFormat="1" ht="21.4" customHeight="1" thickBot="1" x14ac:dyDescent="0.25"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 spans="1:27" s="29" customFormat="1" ht="21" customHeight="1" x14ac:dyDescent="0.2">
      <c r="A329" s="411" t="s">
        <v>41</v>
      </c>
      <c r="B329" s="412"/>
      <c r="C329" s="412"/>
      <c r="D329" s="412"/>
      <c r="E329" s="412"/>
      <c r="F329" s="412"/>
      <c r="G329" s="412"/>
      <c r="H329" s="412"/>
      <c r="I329" s="412"/>
      <c r="J329" s="412"/>
      <c r="K329" s="412"/>
      <c r="L329" s="413"/>
      <c r="M329" s="28"/>
      <c r="N329" s="64"/>
      <c r="O329" s="408" t="s">
        <v>43</v>
      </c>
      <c r="P329" s="409"/>
      <c r="Q329" s="409"/>
      <c r="R329" s="410"/>
      <c r="S329" s="65"/>
      <c r="T329" s="408" t="s">
        <v>44</v>
      </c>
      <c r="U329" s="409"/>
      <c r="V329" s="409"/>
      <c r="W329" s="409"/>
      <c r="X329" s="409"/>
      <c r="Y329" s="410"/>
      <c r="Z329" s="66"/>
      <c r="AA329" s="28"/>
    </row>
    <row r="330" spans="1:27" s="29" customFormat="1" ht="21" customHeight="1" x14ac:dyDescent="0.2">
      <c r="A330" s="30"/>
      <c r="C330" s="398" t="s">
        <v>85</v>
      </c>
      <c r="D330" s="398"/>
      <c r="E330" s="398"/>
      <c r="F330" s="398"/>
      <c r="G330" s="31" t="str">
        <f>$J$1</f>
        <v>April</v>
      </c>
      <c r="H330" s="397">
        <f>$K$1</f>
        <v>2023</v>
      </c>
      <c r="I330" s="397"/>
      <c r="K330" s="32"/>
      <c r="L330" s="33"/>
      <c r="M330" s="32"/>
      <c r="N330" s="67"/>
      <c r="O330" s="68" t="s">
        <v>54</v>
      </c>
      <c r="P330" s="68" t="s">
        <v>7</v>
      </c>
      <c r="Q330" s="68" t="s">
        <v>6</v>
      </c>
      <c r="R330" s="68" t="s">
        <v>55</v>
      </c>
      <c r="S330" s="69"/>
      <c r="T330" s="68" t="s">
        <v>54</v>
      </c>
      <c r="U330" s="68" t="s">
        <v>56</v>
      </c>
      <c r="V330" s="68" t="s">
        <v>21</v>
      </c>
      <c r="W330" s="68" t="s">
        <v>20</v>
      </c>
      <c r="X330" s="68" t="s">
        <v>22</v>
      </c>
      <c r="Y330" s="68" t="s">
        <v>60</v>
      </c>
      <c r="Z330" s="70"/>
      <c r="AA330" s="32"/>
    </row>
    <row r="331" spans="1:27" s="29" customFormat="1" ht="21" customHeight="1" x14ac:dyDescent="0.2">
      <c r="A331" s="30"/>
      <c r="D331" s="35"/>
      <c r="E331" s="35"/>
      <c r="F331" s="35"/>
      <c r="G331" s="35"/>
      <c r="H331" s="35"/>
      <c r="J331" s="36" t="s">
        <v>1</v>
      </c>
      <c r="K331" s="37">
        <f>19000+3000</f>
        <v>22000</v>
      </c>
      <c r="L331" s="38"/>
      <c r="N331" s="71"/>
      <c r="O331" s="72" t="s">
        <v>46</v>
      </c>
      <c r="P331" s="72">
        <v>31</v>
      </c>
      <c r="Q331" s="72">
        <v>0</v>
      </c>
      <c r="R331" s="72">
        <f>15-Q331</f>
        <v>15</v>
      </c>
      <c r="S331" s="73"/>
      <c r="T331" s="72" t="s">
        <v>46</v>
      </c>
      <c r="U331" s="74"/>
      <c r="V331" s="74"/>
      <c r="W331" s="74">
        <f>V331+U331</f>
        <v>0</v>
      </c>
      <c r="X331" s="74"/>
      <c r="Y331" s="74">
        <f>W331-X331</f>
        <v>0</v>
      </c>
      <c r="Z331" s="70"/>
    </row>
    <row r="332" spans="1:27" s="29" customFormat="1" ht="21" customHeight="1" x14ac:dyDescent="0.2">
      <c r="A332" s="30"/>
      <c r="B332" s="29" t="s">
        <v>0</v>
      </c>
      <c r="C332" s="40" t="s">
        <v>148</v>
      </c>
      <c r="H332" s="41"/>
      <c r="I332" s="35"/>
      <c r="L332" s="42"/>
      <c r="M332" s="28"/>
      <c r="N332" s="75"/>
      <c r="O332" s="72" t="s">
        <v>72</v>
      </c>
      <c r="P332" s="72">
        <v>27</v>
      </c>
      <c r="Q332" s="72">
        <v>1</v>
      </c>
      <c r="R332" s="72">
        <f t="shared" ref="R332:R342" si="67">IF(Q332="","",R331-Q332)</f>
        <v>14</v>
      </c>
      <c r="S332" s="63"/>
      <c r="T332" s="72" t="s">
        <v>72</v>
      </c>
      <c r="U332" s="105">
        <f>IF($J$1="January","",Y331)</f>
        <v>0</v>
      </c>
      <c r="V332" s="74"/>
      <c r="W332" s="105">
        <f>IF(U332="","",U332+V332)</f>
        <v>0</v>
      </c>
      <c r="X332" s="74"/>
      <c r="Y332" s="105">
        <f>IF(W332="","",W332-X332)</f>
        <v>0</v>
      </c>
      <c r="Z332" s="76"/>
      <c r="AA332" s="28"/>
    </row>
    <row r="333" spans="1:27" s="29" customFormat="1" ht="21" customHeight="1" x14ac:dyDescent="0.2">
      <c r="A333" s="30"/>
      <c r="B333" s="44" t="s">
        <v>42</v>
      </c>
      <c r="C333" s="45"/>
      <c r="F333" s="414" t="s">
        <v>44</v>
      </c>
      <c r="G333" s="414"/>
      <c r="I333" s="414" t="s">
        <v>45</v>
      </c>
      <c r="J333" s="414"/>
      <c r="K333" s="414"/>
      <c r="L333" s="46"/>
      <c r="N333" s="71"/>
      <c r="O333" s="72" t="s">
        <v>47</v>
      </c>
      <c r="P333" s="72">
        <v>30</v>
      </c>
      <c r="Q333" s="72">
        <v>1</v>
      </c>
      <c r="R333" s="72">
        <f t="shared" si="67"/>
        <v>13</v>
      </c>
      <c r="S333" s="63"/>
      <c r="T333" s="72" t="s">
        <v>47</v>
      </c>
      <c r="U333" s="105">
        <f>IF($J$1="February","",Y332)</f>
        <v>0</v>
      </c>
      <c r="V333" s="74"/>
      <c r="W333" s="105">
        <f t="shared" ref="W333:W342" si="68">IF(U333="","",U333+V333)</f>
        <v>0</v>
      </c>
      <c r="X333" s="74"/>
      <c r="Y333" s="105">
        <f t="shared" ref="Y333:Y342" si="69">IF(W333="","",W333-X333)</f>
        <v>0</v>
      </c>
      <c r="Z333" s="76"/>
    </row>
    <row r="334" spans="1:27" s="29" customFormat="1" ht="21" customHeight="1" x14ac:dyDescent="0.2">
      <c r="A334" s="30"/>
      <c r="H334" s="47"/>
      <c r="L334" s="34"/>
      <c r="N334" s="71"/>
      <c r="O334" s="72" t="s">
        <v>48</v>
      </c>
      <c r="P334" s="72">
        <v>30</v>
      </c>
      <c r="Q334" s="72">
        <v>0</v>
      </c>
      <c r="R334" s="72">
        <f t="shared" si="67"/>
        <v>13</v>
      </c>
      <c r="S334" s="63"/>
      <c r="T334" s="72" t="s">
        <v>48</v>
      </c>
      <c r="U334" s="105">
        <f>IF($J$1="March","",Y333)</f>
        <v>0</v>
      </c>
      <c r="V334" s="74"/>
      <c r="W334" s="105">
        <f t="shared" si="68"/>
        <v>0</v>
      </c>
      <c r="X334" s="74"/>
      <c r="Y334" s="105">
        <f t="shared" si="69"/>
        <v>0</v>
      </c>
      <c r="Z334" s="76"/>
    </row>
    <row r="335" spans="1:27" s="29" customFormat="1" ht="21" customHeight="1" x14ac:dyDescent="0.2">
      <c r="A335" s="30"/>
      <c r="B335" s="392" t="s">
        <v>43</v>
      </c>
      <c r="C335" s="393"/>
      <c r="F335" s="48" t="s">
        <v>65</v>
      </c>
      <c r="G335" s="43">
        <f>IF($J$1="January",U331,IF($J$1="February",U332,IF($J$1="March",U333,IF($J$1="April",U334,IF($J$1="May",U335,IF($J$1="June",U336,IF($J$1="July",U337,IF($J$1="August",U338,IF($J$1="August",U338,IF($J$1="September",U339,IF($J$1="October",U340,IF($J$1="November",U341,IF($J$1="December",U342)))))))))))))</f>
        <v>0</v>
      </c>
      <c r="H335" s="47"/>
      <c r="I335" s="49">
        <f>IF(C339&gt;0,$K$2,C337)</f>
        <v>30</v>
      </c>
      <c r="J335" s="50" t="s">
        <v>62</v>
      </c>
      <c r="K335" s="51">
        <f>K331/$K$2*I335</f>
        <v>22000</v>
      </c>
      <c r="L335" s="52"/>
      <c r="N335" s="71"/>
      <c r="O335" s="72" t="s">
        <v>49</v>
      </c>
      <c r="P335" s="72"/>
      <c r="Q335" s="72"/>
      <c r="R335" s="72" t="str">
        <f t="shared" si="67"/>
        <v/>
      </c>
      <c r="S335" s="63"/>
      <c r="T335" s="72" t="s">
        <v>49</v>
      </c>
      <c r="U335" s="105" t="str">
        <f>IF($J$1="April","",Y334)</f>
        <v/>
      </c>
      <c r="V335" s="74"/>
      <c r="W335" s="105" t="str">
        <f t="shared" si="68"/>
        <v/>
      </c>
      <c r="X335" s="74"/>
      <c r="Y335" s="105" t="str">
        <f t="shared" si="69"/>
        <v/>
      </c>
      <c r="Z335" s="76"/>
    </row>
    <row r="336" spans="1:27" s="29" customFormat="1" ht="21" customHeight="1" x14ac:dyDescent="0.2">
      <c r="A336" s="30"/>
      <c r="B336" s="39"/>
      <c r="C336" s="39"/>
      <c r="F336" s="48" t="s">
        <v>21</v>
      </c>
      <c r="G336" s="43">
        <f>IF($J$1="January",V331,IF($J$1="February",V332,IF($J$1="March",V333,IF($J$1="April",V334,IF($J$1="May",V335,IF($J$1="June",V336,IF($J$1="July",V337,IF($J$1="August",V338,IF($J$1="August",V338,IF($J$1="September",V339,IF($J$1="October",V340,IF($J$1="November",V341,IF($J$1="December",V342)))))))))))))</f>
        <v>0</v>
      </c>
      <c r="H336" s="47"/>
      <c r="I336" s="84">
        <v>130</v>
      </c>
      <c r="J336" s="50" t="s">
        <v>63</v>
      </c>
      <c r="K336" s="53">
        <f>K331/$K$2/8*I336</f>
        <v>11916.666666666668</v>
      </c>
      <c r="L336" s="54"/>
      <c r="N336" s="71"/>
      <c r="O336" s="72" t="s">
        <v>50</v>
      </c>
      <c r="P336" s="72"/>
      <c r="Q336" s="72"/>
      <c r="R336" s="72" t="str">
        <f t="shared" si="67"/>
        <v/>
      </c>
      <c r="S336" s="63"/>
      <c r="T336" s="72" t="s">
        <v>50</v>
      </c>
      <c r="U336" s="105" t="str">
        <f>Y335</f>
        <v/>
      </c>
      <c r="V336" s="74"/>
      <c r="W336" s="105" t="str">
        <f t="shared" si="68"/>
        <v/>
      </c>
      <c r="X336" s="74"/>
      <c r="Y336" s="105" t="str">
        <f t="shared" si="69"/>
        <v/>
      </c>
      <c r="Z336" s="76"/>
    </row>
    <row r="337" spans="1:26" s="29" customFormat="1" ht="21" customHeight="1" x14ac:dyDescent="0.2">
      <c r="A337" s="30"/>
      <c r="B337" s="48" t="s">
        <v>7</v>
      </c>
      <c r="C337" s="39">
        <f>IF($J$1="January",P331,IF($J$1="February",P332,IF($J$1="March",P333,IF($J$1="April",P334,IF($J$1="May",P335,IF($J$1="June",P336,IF($J$1="July",P337,IF($J$1="August",P338,IF($J$1="August",P338,IF($J$1="September",P339,IF($J$1="October",P340,IF($J$1="November",P341,IF($J$1="December",P342)))))))))))))</f>
        <v>30</v>
      </c>
      <c r="F337" s="48" t="s">
        <v>66</v>
      </c>
      <c r="G337" s="43">
        <f>IF($J$1="January",W331,IF($J$1="February",W332,IF($J$1="March",W333,IF($J$1="April",W334,IF($J$1="May",W335,IF($J$1="June",W336,IF($J$1="July",W337,IF($J$1="August",W338,IF($J$1="August",W338,IF($J$1="September",W339,IF($J$1="October",W340,IF($J$1="November",W341,IF($J$1="December",W342)))))))))))))</f>
        <v>0</v>
      </c>
      <c r="H337" s="47"/>
      <c r="I337" s="405" t="s">
        <v>70</v>
      </c>
      <c r="J337" s="406"/>
      <c r="K337" s="53">
        <f>K335+K336</f>
        <v>33916.666666666672</v>
      </c>
      <c r="L337" s="54"/>
      <c r="N337" s="71"/>
      <c r="O337" s="72" t="s">
        <v>51</v>
      </c>
      <c r="P337" s="72"/>
      <c r="Q337" s="72"/>
      <c r="R337" s="72" t="str">
        <f t="shared" si="67"/>
        <v/>
      </c>
      <c r="S337" s="63"/>
      <c r="T337" s="72" t="s">
        <v>51</v>
      </c>
      <c r="U337" s="105" t="str">
        <f t="shared" ref="U337:U339" si="70">Y336</f>
        <v/>
      </c>
      <c r="V337" s="74"/>
      <c r="W337" s="105" t="str">
        <f t="shared" ref="W337:W339" si="71">IF(U337="","",U337+V337)</f>
        <v/>
      </c>
      <c r="X337" s="74"/>
      <c r="Y337" s="105" t="str">
        <f t="shared" ref="Y337:Y339" si="72">IF(W337="","",W337-X337)</f>
        <v/>
      </c>
      <c r="Z337" s="76"/>
    </row>
    <row r="338" spans="1:26" s="29" customFormat="1" ht="21" customHeight="1" x14ac:dyDescent="0.2">
      <c r="A338" s="30"/>
      <c r="B338" s="48" t="s">
        <v>6</v>
      </c>
      <c r="C338" s="39">
        <f>IF($J$1="January",Q331,IF($J$1="February",Q332,IF($J$1="March",Q333,IF($J$1="April",Q334,IF($J$1="May",Q335,IF($J$1="June",Q336,IF($J$1="July",Q337,IF($J$1="August",Q338,IF($J$1="August",Q338,IF($J$1="September",Q339,IF($J$1="October",Q340,IF($J$1="November",Q341,IF($J$1="December",Q342)))))))))))))</f>
        <v>0</v>
      </c>
      <c r="F338" s="48" t="s">
        <v>22</v>
      </c>
      <c r="G338" s="43">
        <f>IF($J$1="January",X331,IF($J$1="February",X332,IF($J$1="March",X333,IF($J$1="April",X334,IF($J$1="May",X335,IF($J$1="June",X336,IF($J$1="July",X337,IF($J$1="August",X338,IF($J$1="August",X338,IF($J$1="September",X339,IF($J$1="October",X340,IF($J$1="November",X341,IF($J$1="December",X342)))))))))))))</f>
        <v>0</v>
      </c>
      <c r="H338" s="47"/>
      <c r="I338" s="405" t="s">
        <v>71</v>
      </c>
      <c r="J338" s="406"/>
      <c r="K338" s="43">
        <f>G338</f>
        <v>0</v>
      </c>
      <c r="L338" s="55"/>
      <c r="N338" s="71"/>
      <c r="O338" s="72" t="s">
        <v>52</v>
      </c>
      <c r="P338" s="72"/>
      <c r="Q338" s="72"/>
      <c r="R338" s="72" t="str">
        <f t="shared" si="67"/>
        <v/>
      </c>
      <c r="S338" s="63"/>
      <c r="T338" s="72" t="s">
        <v>52</v>
      </c>
      <c r="U338" s="105" t="str">
        <f t="shared" si="70"/>
        <v/>
      </c>
      <c r="V338" s="74"/>
      <c r="W338" s="105" t="str">
        <f t="shared" si="71"/>
        <v/>
      </c>
      <c r="X338" s="74"/>
      <c r="Y338" s="105" t="str">
        <f t="shared" si="72"/>
        <v/>
      </c>
      <c r="Z338" s="76"/>
    </row>
    <row r="339" spans="1:26" s="29" customFormat="1" ht="21" customHeight="1" x14ac:dyDescent="0.2">
      <c r="A339" s="30"/>
      <c r="B339" s="56" t="s">
        <v>69</v>
      </c>
      <c r="C339" s="39">
        <f>IF($J$1="January",R331,IF($J$1="February",R332,IF($J$1="March",R333,IF($J$1="April",R334,IF($J$1="May",R335,IF($J$1="June",R336,IF($J$1="July",R337,IF($J$1="August",R338,IF($J$1="August",R338,IF($J$1="September",R339,IF($J$1="October",R340,IF($J$1="November",R341,IF($J$1="December",R342)))))))))))))</f>
        <v>13</v>
      </c>
      <c r="F339" s="48" t="s">
        <v>68</v>
      </c>
      <c r="G339" s="43">
        <f>IF($J$1="January",Y331,IF($J$1="February",Y332,IF($J$1="March",Y333,IF($J$1="April",Y334,IF($J$1="May",Y335,IF($J$1="June",Y336,IF($J$1="July",Y337,IF($J$1="August",Y338,IF($J$1="August",Y338,IF($J$1="September",Y339,IF($J$1="October",Y340,IF($J$1="November",Y341,IF($J$1="December",Y342)))))))))))))</f>
        <v>0</v>
      </c>
      <c r="I339" s="394" t="s">
        <v>64</v>
      </c>
      <c r="J339" s="396"/>
      <c r="K339" s="57">
        <f>K337-K338</f>
        <v>33916.666666666672</v>
      </c>
      <c r="L339" s="58"/>
      <c r="N339" s="71"/>
      <c r="O339" s="72" t="s">
        <v>57</v>
      </c>
      <c r="P339" s="72"/>
      <c r="Q339" s="72"/>
      <c r="R339" s="72" t="str">
        <f t="shared" si="67"/>
        <v/>
      </c>
      <c r="S339" s="63"/>
      <c r="T339" s="72" t="s">
        <v>57</v>
      </c>
      <c r="U339" s="105" t="str">
        <f t="shared" si="70"/>
        <v/>
      </c>
      <c r="V339" s="74"/>
      <c r="W339" s="105" t="str">
        <f t="shared" si="71"/>
        <v/>
      </c>
      <c r="X339" s="74"/>
      <c r="Y339" s="105" t="str">
        <f t="shared" si="72"/>
        <v/>
      </c>
      <c r="Z339" s="76"/>
    </row>
    <row r="340" spans="1:26" s="29" customFormat="1" ht="21" customHeight="1" x14ac:dyDescent="0.2">
      <c r="A340" s="30"/>
      <c r="K340" s="107"/>
      <c r="L340" s="46"/>
      <c r="N340" s="71"/>
      <c r="O340" s="72" t="s">
        <v>53</v>
      </c>
      <c r="P340" s="72"/>
      <c r="Q340" s="72"/>
      <c r="R340" s="72" t="str">
        <f t="shared" si="67"/>
        <v/>
      </c>
      <c r="S340" s="63"/>
      <c r="T340" s="72" t="s">
        <v>53</v>
      </c>
      <c r="U340" s="105"/>
      <c r="V340" s="74"/>
      <c r="W340" s="105" t="str">
        <f t="shared" si="68"/>
        <v/>
      </c>
      <c r="X340" s="74"/>
      <c r="Y340" s="105" t="str">
        <f t="shared" si="69"/>
        <v/>
      </c>
      <c r="Z340" s="76"/>
    </row>
    <row r="341" spans="1:26" s="29" customFormat="1" ht="21" customHeight="1" x14ac:dyDescent="0.2">
      <c r="A341" s="30"/>
      <c r="B341" s="407" t="s">
        <v>87</v>
      </c>
      <c r="C341" s="407"/>
      <c r="D341" s="407"/>
      <c r="E341" s="407"/>
      <c r="F341" s="407"/>
      <c r="G341" s="407"/>
      <c r="H341" s="407"/>
      <c r="I341" s="407"/>
      <c r="J341" s="407"/>
      <c r="K341" s="407"/>
      <c r="L341" s="46"/>
      <c r="N341" s="71"/>
      <c r="O341" s="72" t="s">
        <v>58</v>
      </c>
      <c r="P341" s="72"/>
      <c r="Q341" s="72"/>
      <c r="R341" s="72" t="str">
        <f t="shared" si="67"/>
        <v/>
      </c>
      <c r="S341" s="63"/>
      <c r="T341" s="72" t="s">
        <v>58</v>
      </c>
      <c r="U341" s="105" t="str">
        <f>IF($J$1="October","",Y340)</f>
        <v/>
      </c>
      <c r="V341" s="74"/>
      <c r="W341" s="105" t="str">
        <f t="shared" si="68"/>
        <v/>
      </c>
      <c r="X341" s="74"/>
      <c r="Y341" s="105" t="str">
        <f t="shared" si="69"/>
        <v/>
      </c>
      <c r="Z341" s="76"/>
    </row>
    <row r="342" spans="1:26" s="29" customFormat="1" ht="21" customHeight="1" x14ac:dyDescent="0.2">
      <c r="A342" s="30"/>
      <c r="B342" s="407"/>
      <c r="C342" s="407"/>
      <c r="D342" s="407"/>
      <c r="E342" s="407"/>
      <c r="F342" s="407"/>
      <c r="G342" s="407"/>
      <c r="H342" s="407"/>
      <c r="I342" s="407"/>
      <c r="J342" s="407"/>
      <c r="K342" s="407"/>
      <c r="L342" s="46"/>
      <c r="N342" s="71"/>
      <c r="O342" s="72" t="s">
        <v>59</v>
      </c>
      <c r="P342" s="72"/>
      <c r="Q342" s="72"/>
      <c r="R342" s="72" t="str">
        <f t="shared" si="67"/>
        <v/>
      </c>
      <c r="S342" s="63"/>
      <c r="T342" s="72" t="s">
        <v>59</v>
      </c>
      <c r="U342" s="105" t="str">
        <f>IF($J$1="November","",Y341)</f>
        <v/>
      </c>
      <c r="V342" s="74"/>
      <c r="W342" s="105" t="str">
        <f t="shared" si="68"/>
        <v/>
      </c>
      <c r="X342" s="74"/>
      <c r="Y342" s="105" t="str">
        <f t="shared" si="69"/>
        <v/>
      </c>
      <c r="Z342" s="76"/>
    </row>
    <row r="343" spans="1:26" s="29" customFormat="1" ht="21" customHeight="1" thickBot="1" x14ac:dyDescent="0.25">
      <c r="A343" s="59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1"/>
      <c r="N343" s="77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9"/>
    </row>
    <row r="344" spans="1:26" s="29" customFormat="1" ht="21" customHeight="1" thickBot="1" x14ac:dyDescent="0.25"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 spans="1:26" s="29" customFormat="1" ht="21" customHeight="1" x14ac:dyDescent="0.2">
      <c r="A345" s="424" t="s">
        <v>41</v>
      </c>
      <c r="B345" s="425"/>
      <c r="C345" s="425"/>
      <c r="D345" s="425"/>
      <c r="E345" s="425"/>
      <c r="F345" s="425"/>
      <c r="G345" s="425"/>
      <c r="H345" s="425"/>
      <c r="I345" s="425"/>
      <c r="J345" s="425"/>
      <c r="K345" s="425"/>
      <c r="L345" s="426"/>
      <c r="M345" s="28"/>
      <c r="N345" s="64"/>
      <c r="O345" s="408" t="s">
        <v>43</v>
      </c>
      <c r="P345" s="409"/>
      <c r="Q345" s="409"/>
      <c r="R345" s="410"/>
      <c r="S345" s="65"/>
      <c r="T345" s="408" t="s">
        <v>44</v>
      </c>
      <c r="U345" s="409"/>
      <c r="V345" s="409"/>
      <c r="W345" s="409"/>
      <c r="X345" s="409"/>
      <c r="Y345" s="410"/>
      <c r="Z345" s="66"/>
    </row>
    <row r="346" spans="1:26" s="29" customFormat="1" ht="21" customHeight="1" x14ac:dyDescent="0.2">
      <c r="A346" s="30"/>
      <c r="C346" s="398" t="s">
        <v>85</v>
      </c>
      <c r="D346" s="398"/>
      <c r="E346" s="398"/>
      <c r="F346" s="398"/>
      <c r="G346" s="31" t="str">
        <f>$J$1</f>
        <v>April</v>
      </c>
      <c r="H346" s="397">
        <f>$K$1</f>
        <v>2023</v>
      </c>
      <c r="I346" s="397"/>
      <c r="K346" s="32"/>
      <c r="L346" s="33"/>
      <c r="M346" s="32"/>
      <c r="N346" s="67"/>
      <c r="O346" s="68" t="s">
        <v>54</v>
      </c>
      <c r="P346" s="68" t="s">
        <v>7</v>
      </c>
      <c r="Q346" s="68" t="s">
        <v>6</v>
      </c>
      <c r="R346" s="68" t="s">
        <v>55</v>
      </c>
      <c r="S346" s="69"/>
      <c r="T346" s="68" t="s">
        <v>54</v>
      </c>
      <c r="U346" s="68" t="s">
        <v>56</v>
      </c>
      <c r="V346" s="68" t="s">
        <v>21</v>
      </c>
      <c r="W346" s="68" t="s">
        <v>20</v>
      </c>
      <c r="X346" s="68" t="s">
        <v>22</v>
      </c>
      <c r="Y346" s="68" t="s">
        <v>60</v>
      </c>
      <c r="Z346" s="70"/>
    </row>
    <row r="347" spans="1:26" s="29" customFormat="1" ht="21" customHeight="1" x14ac:dyDescent="0.2">
      <c r="A347" s="30"/>
      <c r="D347" s="35"/>
      <c r="E347" s="35"/>
      <c r="F347" s="35"/>
      <c r="G347" s="35"/>
      <c r="H347" s="35"/>
      <c r="J347" s="36" t="s">
        <v>1</v>
      </c>
      <c r="K347" s="37">
        <v>27000</v>
      </c>
      <c r="L347" s="38"/>
      <c r="N347" s="71"/>
      <c r="O347" s="72" t="s">
        <v>46</v>
      </c>
      <c r="P347" s="72">
        <v>31</v>
      </c>
      <c r="Q347" s="72">
        <v>0</v>
      </c>
      <c r="R347" s="72">
        <f>9-Q347</f>
        <v>9</v>
      </c>
      <c r="S347" s="73"/>
      <c r="T347" s="72" t="s">
        <v>46</v>
      </c>
      <c r="U347" s="74"/>
      <c r="V347" s="74"/>
      <c r="W347" s="74">
        <f>V347+U347</f>
        <v>0</v>
      </c>
      <c r="X347" s="74"/>
      <c r="Y347" s="74">
        <f>W347-X347</f>
        <v>0</v>
      </c>
      <c r="Z347" s="70"/>
    </row>
    <row r="348" spans="1:26" s="29" customFormat="1" ht="21" customHeight="1" x14ac:dyDescent="0.2">
      <c r="A348" s="30"/>
      <c r="B348" s="29" t="s">
        <v>0</v>
      </c>
      <c r="C348" s="40" t="s">
        <v>175</v>
      </c>
      <c r="H348" s="41"/>
      <c r="I348" s="35"/>
      <c r="L348" s="42"/>
      <c r="M348" s="28"/>
      <c r="N348" s="75"/>
      <c r="O348" s="72" t="s">
        <v>72</v>
      </c>
      <c r="P348" s="72">
        <v>28</v>
      </c>
      <c r="Q348" s="72">
        <v>0</v>
      </c>
      <c r="R348" s="72">
        <f t="shared" ref="R348:R358" si="73">IF(Q348="","",R347-Q348)</f>
        <v>9</v>
      </c>
      <c r="S348" s="63"/>
      <c r="T348" s="72" t="s">
        <v>72</v>
      </c>
      <c r="U348" s="105">
        <f>Y347</f>
        <v>0</v>
      </c>
      <c r="V348" s="74"/>
      <c r="W348" s="105">
        <f>IF(U348="","",U348+V348)</f>
        <v>0</v>
      </c>
      <c r="X348" s="74"/>
      <c r="Y348" s="105">
        <f>IF(W348="","",W348-X348)</f>
        <v>0</v>
      </c>
      <c r="Z348" s="76"/>
    </row>
    <row r="349" spans="1:26" s="29" customFormat="1" ht="21" customHeight="1" x14ac:dyDescent="0.2">
      <c r="A349" s="30"/>
      <c r="B349" s="44" t="s">
        <v>42</v>
      </c>
      <c r="C349" s="40"/>
      <c r="F349" s="414" t="s">
        <v>44</v>
      </c>
      <c r="G349" s="414"/>
      <c r="I349" s="414" t="s">
        <v>45</v>
      </c>
      <c r="J349" s="414"/>
      <c r="K349" s="414"/>
      <c r="L349" s="46"/>
      <c r="N349" s="71"/>
      <c r="O349" s="72" t="s">
        <v>47</v>
      </c>
      <c r="P349" s="72">
        <v>31</v>
      </c>
      <c r="Q349" s="72">
        <v>0</v>
      </c>
      <c r="R349" s="72">
        <f t="shared" si="73"/>
        <v>9</v>
      </c>
      <c r="S349" s="63"/>
      <c r="T349" s="72" t="s">
        <v>47</v>
      </c>
      <c r="U349" s="105"/>
      <c r="V349" s="74"/>
      <c r="W349" s="105" t="str">
        <f t="shared" ref="W349:W358" si="74">IF(U349="","",U349+V349)</f>
        <v/>
      </c>
      <c r="X349" s="74"/>
      <c r="Y349" s="105" t="str">
        <f t="shared" ref="Y349:Y358" si="75">IF(W349="","",W349-X349)</f>
        <v/>
      </c>
      <c r="Z349" s="76"/>
    </row>
    <row r="350" spans="1:26" s="29" customFormat="1" ht="21" customHeight="1" x14ac:dyDescent="0.2">
      <c r="A350" s="30"/>
      <c r="H350" s="47"/>
      <c r="L350" s="34"/>
      <c r="N350" s="71"/>
      <c r="O350" s="72" t="s">
        <v>48</v>
      </c>
      <c r="P350" s="72">
        <v>30</v>
      </c>
      <c r="Q350" s="72">
        <v>0</v>
      </c>
      <c r="R350" s="72">
        <f t="shared" si="73"/>
        <v>9</v>
      </c>
      <c r="S350" s="63"/>
      <c r="T350" s="72" t="s">
        <v>48</v>
      </c>
      <c r="U350" s="105" t="str">
        <f>IF($J$1="March","",Y349)</f>
        <v/>
      </c>
      <c r="V350" s="74"/>
      <c r="W350" s="105" t="str">
        <f t="shared" si="74"/>
        <v/>
      </c>
      <c r="X350" s="74"/>
      <c r="Y350" s="105" t="str">
        <f t="shared" si="75"/>
        <v/>
      </c>
      <c r="Z350" s="76"/>
    </row>
    <row r="351" spans="1:26" s="29" customFormat="1" ht="21" customHeight="1" x14ac:dyDescent="0.2">
      <c r="A351" s="30"/>
      <c r="B351" s="392" t="s">
        <v>43</v>
      </c>
      <c r="C351" s="393"/>
      <c r="F351" s="48" t="s">
        <v>65</v>
      </c>
      <c r="G351" s="43" t="str">
        <f>IF($J$1="January",U347,IF($J$1="February",U348,IF($J$1="March",U349,IF($J$1="April",U350,IF($J$1="May",U351,IF($J$1="June",U352,IF($J$1="July",U353,IF($J$1="August",U354,IF($J$1="August",U354,IF($J$1="September",U355,IF($J$1="October",U356,IF($J$1="November",U357,IF($J$1="December",U358)))))))))))))</f>
        <v/>
      </c>
      <c r="H351" s="47"/>
      <c r="I351" s="49">
        <f>IF(C355&gt;0,$K$2,C353)</f>
        <v>30</v>
      </c>
      <c r="J351" s="50" t="s">
        <v>62</v>
      </c>
      <c r="K351" s="51">
        <f>K347/$K$2*I351</f>
        <v>27000</v>
      </c>
      <c r="L351" s="52"/>
      <c r="N351" s="71"/>
      <c r="O351" s="72" t="s">
        <v>49</v>
      </c>
      <c r="P351" s="72"/>
      <c r="Q351" s="72"/>
      <c r="R351" s="72" t="str">
        <f t="shared" si="73"/>
        <v/>
      </c>
      <c r="S351" s="63"/>
      <c r="T351" s="72" t="s">
        <v>49</v>
      </c>
      <c r="U351" s="105" t="str">
        <f>IF($J$1="April","",Y350)</f>
        <v/>
      </c>
      <c r="V351" s="74"/>
      <c r="W351" s="105" t="str">
        <f t="shared" si="74"/>
        <v/>
      </c>
      <c r="X351" s="74"/>
      <c r="Y351" s="105" t="str">
        <f t="shared" si="75"/>
        <v/>
      </c>
      <c r="Z351" s="76"/>
    </row>
    <row r="352" spans="1:26" s="29" customFormat="1" ht="21" customHeight="1" x14ac:dyDescent="0.2">
      <c r="A352" s="30"/>
      <c r="B352" s="39"/>
      <c r="C352" s="39"/>
      <c r="F352" s="48" t="s">
        <v>21</v>
      </c>
      <c r="G352" s="43">
        <f>IF($J$1="January",V347,IF($J$1="February",V348,IF($J$1="March",V349,IF($J$1="April",V350,IF($J$1="May",V351,IF($J$1="June",V352,IF($J$1="July",V353,IF($J$1="August",V354,IF($J$1="August",V354,IF($J$1="September",V355,IF($J$1="October",V356,IF($J$1="November",V357,IF($J$1="December",V358)))))))))))))</f>
        <v>0</v>
      </c>
      <c r="H352" s="47"/>
      <c r="I352" s="49">
        <v>21</v>
      </c>
      <c r="J352" s="50" t="s">
        <v>63</v>
      </c>
      <c r="K352" s="53">
        <f>K347/$K$2/8*I352</f>
        <v>2362.5</v>
      </c>
      <c r="L352" s="54"/>
      <c r="N352" s="71"/>
      <c r="O352" s="72" t="s">
        <v>50</v>
      </c>
      <c r="P352" s="72"/>
      <c r="Q352" s="72"/>
      <c r="R352" s="72" t="str">
        <f t="shared" si="73"/>
        <v/>
      </c>
      <c r="S352" s="63"/>
      <c r="T352" s="72" t="s">
        <v>50</v>
      </c>
      <c r="U352" s="105" t="str">
        <f>IF($J$1="May","",Y351)</f>
        <v/>
      </c>
      <c r="V352" s="74"/>
      <c r="W352" s="105" t="str">
        <f t="shared" si="74"/>
        <v/>
      </c>
      <c r="X352" s="74"/>
      <c r="Y352" s="105" t="str">
        <f t="shared" si="75"/>
        <v/>
      </c>
      <c r="Z352" s="76"/>
    </row>
    <row r="353" spans="1:26" s="29" customFormat="1" ht="21" customHeight="1" x14ac:dyDescent="0.2">
      <c r="A353" s="30"/>
      <c r="B353" s="48" t="s">
        <v>7</v>
      </c>
      <c r="C353" s="39">
        <f>IF($J$1="January",P347,IF($J$1="February",P348,IF($J$1="March",P349,IF($J$1="April",P350,IF($J$1="May",P351,IF($J$1="June",P352,IF($J$1="July",P353,IF($J$1="August",P354,IF($J$1="August",P354,IF($J$1="September",P355,IF($J$1="October",P356,IF($J$1="November",P357,IF($J$1="December",P358)))))))))))))</f>
        <v>30</v>
      </c>
      <c r="F353" s="48" t="s">
        <v>66</v>
      </c>
      <c r="G353" s="43" t="str">
        <f>IF($J$1="January",W347,IF($J$1="February",W348,IF($J$1="March",W349,IF($J$1="April",W350,IF($J$1="May",W351,IF($J$1="June",W352,IF($J$1="July",W353,IF($J$1="August",W354,IF($J$1="August",W354,IF($J$1="September",W355,IF($J$1="October",W356,IF($J$1="November",W357,IF($J$1="December",W358)))))))))))))</f>
        <v/>
      </c>
      <c r="H353" s="47"/>
      <c r="I353" s="405" t="s">
        <v>70</v>
      </c>
      <c r="J353" s="406"/>
      <c r="K353" s="53">
        <f>K351+K352</f>
        <v>29362.5</v>
      </c>
      <c r="L353" s="54"/>
      <c r="N353" s="71"/>
      <c r="O353" s="72" t="s">
        <v>51</v>
      </c>
      <c r="P353" s="72"/>
      <c r="Q353" s="72"/>
      <c r="R353" s="72" t="str">
        <f t="shared" si="73"/>
        <v/>
      </c>
      <c r="S353" s="63"/>
      <c r="T353" s="72" t="s">
        <v>51</v>
      </c>
      <c r="U353" s="105" t="str">
        <f>IF($J$1="June","",Y352)</f>
        <v/>
      </c>
      <c r="V353" s="74"/>
      <c r="W353" s="105" t="str">
        <f t="shared" si="74"/>
        <v/>
      </c>
      <c r="X353" s="74"/>
      <c r="Y353" s="105" t="str">
        <f t="shared" si="75"/>
        <v/>
      </c>
      <c r="Z353" s="76"/>
    </row>
    <row r="354" spans="1:26" s="29" customFormat="1" ht="21" customHeight="1" x14ac:dyDescent="0.2">
      <c r="A354" s="30"/>
      <c r="B354" s="48" t="s">
        <v>6</v>
      </c>
      <c r="C354" s="39">
        <f>IF($J$1="January",Q347,IF($J$1="February",Q348,IF($J$1="March",Q349,IF($J$1="April",Q350,IF($J$1="May",Q351,IF($J$1="June",Q352,IF($J$1="July",Q353,IF($J$1="August",Q354,IF($J$1="August",Q354,IF($J$1="September",Q355,IF($J$1="October",Q356,IF($J$1="November",Q357,IF($J$1="December",Q358)))))))))))))</f>
        <v>0</v>
      </c>
      <c r="F354" s="48" t="s">
        <v>22</v>
      </c>
      <c r="G354" s="43">
        <f>IF($J$1="January",X347,IF($J$1="February",X348,IF($J$1="March",X349,IF($J$1="April",X350,IF($J$1="May",X351,IF($J$1="June",X352,IF($J$1="July",X353,IF($J$1="August",X354,IF($J$1="August",X354,IF($J$1="September",X355,IF($J$1="October",X356,IF($J$1="November",X357,IF($J$1="December",X358)))))))))))))</f>
        <v>0</v>
      </c>
      <c r="H354" s="47"/>
      <c r="I354" s="405" t="s">
        <v>71</v>
      </c>
      <c r="J354" s="406"/>
      <c r="K354" s="43">
        <f>G354</f>
        <v>0</v>
      </c>
      <c r="L354" s="55"/>
      <c r="N354" s="71"/>
      <c r="O354" s="72" t="s">
        <v>52</v>
      </c>
      <c r="P354" s="72"/>
      <c r="Q354" s="72"/>
      <c r="R354" s="72" t="str">
        <f t="shared" si="73"/>
        <v/>
      </c>
      <c r="S354" s="63"/>
      <c r="T354" s="72" t="s">
        <v>52</v>
      </c>
      <c r="U354" s="105" t="str">
        <f>IF($J$1="July","",Y353)</f>
        <v/>
      </c>
      <c r="V354" s="74"/>
      <c r="W354" s="105" t="str">
        <f t="shared" si="74"/>
        <v/>
      </c>
      <c r="X354" s="74"/>
      <c r="Y354" s="105" t="str">
        <f t="shared" si="75"/>
        <v/>
      </c>
      <c r="Z354" s="76"/>
    </row>
    <row r="355" spans="1:26" s="29" customFormat="1" ht="21" customHeight="1" x14ac:dyDescent="0.2">
      <c r="A355" s="30"/>
      <c r="B355" s="56" t="s">
        <v>69</v>
      </c>
      <c r="C355" s="39">
        <f>IF($J$1="January",R347,IF($J$1="February",R348,IF($J$1="March",R349,IF($J$1="April",R350,IF($J$1="May",R351,IF($J$1="June",R352,IF($J$1="July",R353,IF($J$1="August",R354,IF($J$1="August",R354,IF($J$1="September",R355,IF($J$1="October",R356,IF($J$1="November",R357,IF($J$1="December",R358)))))))))))))</f>
        <v>9</v>
      </c>
      <c r="F355" s="48" t="s">
        <v>68</v>
      </c>
      <c r="G355" s="43" t="str">
        <f>IF($J$1="January",Y347,IF($J$1="February",Y348,IF($J$1="March",Y349,IF($J$1="April",Y350,IF($J$1="May",Y351,IF($J$1="June",Y352,IF($J$1="July",Y353,IF($J$1="August",Y354,IF($J$1="August",Y354,IF($J$1="September",Y355,IF($J$1="October",Y356,IF($J$1="November",Y357,IF($J$1="December",Y358)))))))))))))</f>
        <v/>
      </c>
      <c r="I355" s="394" t="s">
        <v>64</v>
      </c>
      <c r="J355" s="396"/>
      <c r="K355" s="57">
        <f>K353-K354</f>
        <v>29362.5</v>
      </c>
      <c r="L355" s="58"/>
      <c r="N355" s="71"/>
      <c r="O355" s="72" t="s">
        <v>57</v>
      </c>
      <c r="P355" s="72"/>
      <c r="Q355" s="72"/>
      <c r="R355" s="72" t="str">
        <f t="shared" si="73"/>
        <v/>
      </c>
      <c r="S355" s="63"/>
      <c r="T355" s="72" t="s">
        <v>57</v>
      </c>
      <c r="U355" s="105" t="str">
        <f>IF($J$1="August","",Y354)</f>
        <v/>
      </c>
      <c r="V355" s="74"/>
      <c r="W355" s="105" t="str">
        <f t="shared" si="74"/>
        <v/>
      </c>
      <c r="X355" s="74"/>
      <c r="Y355" s="105" t="str">
        <f t="shared" si="75"/>
        <v/>
      </c>
      <c r="Z355" s="76"/>
    </row>
    <row r="356" spans="1:26" s="29" customFormat="1" ht="21" customHeight="1" x14ac:dyDescent="0.2">
      <c r="A356" s="30"/>
      <c r="L356" s="46"/>
      <c r="N356" s="71"/>
      <c r="O356" s="72" t="s">
        <v>53</v>
      </c>
      <c r="P356" s="72"/>
      <c r="Q356" s="72"/>
      <c r="R356" s="72" t="str">
        <f t="shared" si="73"/>
        <v/>
      </c>
      <c r="S356" s="63"/>
      <c r="T356" s="72" t="s">
        <v>53</v>
      </c>
      <c r="U356" s="105" t="str">
        <f>IF($J$1="September","",Y355)</f>
        <v/>
      </c>
      <c r="V356" s="74"/>
      <c r="W356" s="105" t="str">
        <f t="shared" si="74"/>
        <v/>
      </c>
      <c r="X356" s="74"/>
      <c r="Y356" s="105" t="str">
        <f t="shared" si="75"/>
        <v/>
      </c>
      <c r="Z356" s="76"/>
    </row>
    <row r="357" spans="1:26" s="29" customFormat="1" ht="21" customHeight="1" x14ac:dyDescent="0.2">
      <c r="A357" s="30"/>
      <c r="B357" s="407" t="s">
        <v>87</v>
      </c>
      <c r="C357" s="407"/>
      <c r="D357" s="407"/>
      <c r="E357" s="407"/>
      <c r="F357" s="407"/>
      <c r="G357" s="407"/>
      <c r="H357" s="407"/>
      <c r="I357" s="407"/>
      <c r="J357" s="407"/>
      <c r="K357" s="407"/>
      <c r="L357" s="46"/>
      <c r="N357" s="71"/>
      <c r="O357" s="72" t="s">
        <v>58</v>
      </c>
      <c r="P357" s="72"/>
      <c r="Q357" s="72"/>
      <c r="R357" s="72" t="str">
        <f t="shared" si="73"/>
        <v/>
      </c>
      <c r="S357" s="63"/>
      <c r="T357" s="72" t="s">
        <v>58</v>
      </c>
      <c r="U357" s="105" t="str">
        <f>IF($J$1="October","",Y356)</f>
        <v/>
      </c>
      <c r="V357" s="74"/>
      <c r="W357" s="105" t="str">
        <f t="shared" si="74"/>
        <v/>
      </c>
      <c r="X357" s="74"/>
      <c r="Y357" s="105" t="str">
        <f t="shared" si="75"/>
        <v/>
      </c>
      <c r="Z357" s="76"/>
    </row>
    <row r="358" spans="1:26" s="29" customFormat="1" ht="21" customHeight="1" x14ac:dyDescent="0.2">
      <c r="A358" s="30"/>
      <c r="B358" s="407"/>
      <c r="C358" s="407"/>
      <c r="D358" s="407"/>
      <c r="E358" s="407"/>
      <c r="F358" s="407"/>
      <c r="G358" s="407"/>
      <c r="H358" s="407"/>
      <c r="I358" s="407"/>
      <c r="J358" s="407"/>
      <c r="K358" s="407"/>
      <c r="L358" s="46"/>
      <c r="N358" s="71"/>
      <c r="O358" s="72" t="s">
        <v>59</v>
      </c>
      <c r="P358" s="72"/>
      <c r="Q358" s="72"/>
      <c r="R358" s="72" t="str">
        <f t="shared" si="73"/>
        <v/>
      </c>
      <c r="S358" s="63"/>
      <c r="T358" s="72" t="s">
        <v>59</v>
      </c>
      <c r="U358" s="105" t="str">
        <f>IF($J$1="November","",Y357)</f>
        <v/>
      </c>
      <c r="V358" s="74"/>
      <c r="W358" s="105" t="str">
        <f t="shared" si="74"/>
        <v/>
      </c>
      <c r="X358" s="74"/>
      <c r="Y358" s="105" t="str">
        <f t="shared" si="75"/>
        <v/>
      </c>
      <c r="Z358" s="76"/>
    </row>
    <row r="359" spans="1:26" s="29" customFormat="1" ht="21" customHeight="1" thickBot="1" x14ac:dyDescent="0.25">
      <c r="A359" s="59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1"/>
      <c r="N359" s="77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9"/>
    </row>
    <row r="360" spans="1:26" s="29" customFormat="1" ht="21" customHeight="1" thickBot="1" x14ac:dyDescent="0.25"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 spans="1:26" s="29" customFormat="1" ht="21" customHeight="1" x14ac:dyDescent="0.2">
      <c r="A361" s="411" t="s">
        <v>41</v>
      </c>
      <c r="B361" s="412"/>
      <c r="C361" s="412"/>
      <c r="D361" s="412"/>
      <c r="E361" s="412"/>
      <c r="F361" s="412"/>
      <c r="G361" s="412"/>
      <c r="H361" s="412"/>
      <c r="I361" s="412"/>
      <c r="J361" s="412"/>
      <c r="K361" s="412"/>
      <c r="L361" s="413"/>
      <c r="M361" s="28"/>
      <c r="N361" s="64"/>
      <c r="O361" s="408" t="s">
        <v>43</v>
      </c>
      <c r="P361" s="409"/>
      <c r="Q361" s="409"/>
      <c r="R361" s="410"/>
      <c r="S361" s="65"/>
      <c r="T361" s="408" t="s">
        <v>44</v>
      </c>
      <c r="U361" s="409"/>
      <c r="V361" s="409"/>
      <c r="W361" s="409"/>
      <c r="X361" s="409"/>
      <c r="Y361" s="410"/>
      <c r="Z361" s="66"/>
    </row>
    <row r="362" spans="1:26" s="29" customFormat="1" ht="21" customHeight="1" x14ac:dyDescent="0.2">
      <c r="A362" s="30"/>
      <c r="C362" s="398" t="s">
        <v>85</v>
      </c>
      <c r="D362" s="398"/>
      <c r="E362" s="398"/>
      <c r="F362" s="398"/>
      <c r="G362" s="31" t="str">
        <f>$J$1</f>
        <v>April</v>
      </c>
      <c r="H362" s="397">
        <f>$K$1</f>
        <v>2023</v>
      </c>
      <c r="I362" s="397"/>
      <c r="K362" s="32"/>
      <c r="L362" s="33"/>
      <c r="M362" s="32"/>
      <c r="N362" s="67"/>
      <c r="O362" s="68" t="s">
        <v>54</v>
      </c>
      <c r="P362" s="68" t="s">
        <v>7</v>
      </c>
      <c r="Q362" s="68" t="s">
        <v>6</v>
      </c>
      <c r="R362" s="68" t="s">
        <v>55</v>
      </c>
      <c r="S362" s="69"/>
      <c r="T362" s="68" t="s">
        <v>54</v>
      </c>
      <c r="U362" s="68" t="s">
        <v>56</v>
      </c>
      <c r="V362" s="68" t="s">
        <v>21</v>
      </c>
      <c r="W362" s="68" t="s">
        <v>20</v>
      </c>
      <c r="X362" s="68" t="s">
        <v>22</v>
      </c>
      <c r="Y362" s="68" t="s">
        <v>60</v>
      </c>
      <c r="Z362" s="70"/>
    </row>
    <row r="363" spans="1:26" s="29" customFormat="1" ht="21" customHeight="1" x14ac:dyDescent="0.2">
      <c r="A363" s="30"/>
      <c r="D363" s="35"/>
      <c r="E363" s="35"/>
      <c r="F363" s="35"/>
      <c r="G363" s="35"/>
      <c r="H363" s="35"/>
      <c r="J363" s="36" t="s">
        <v>1</v>
      </c>
      <c r="K363" s="37">
        <v>21000</v>
      </c>
      <c r="L363" s="38"/>
      <c r="N363" s="71"/>
      <c r="O363" s="72" t="s">
        <v>46</v>
      </c>
      <c r="P363" s="72">
        <v>31</v>
      </c>
      <c r="Q363" s="72">
        <v>0</v>
      </c>
      <c r="R363" s="72">
        <f>15-Q363</f>
        <v>15</v>
      </c>
      <c r="S363" s="73"/>
      <c r="T363" s="72" t="s">
        <v>46</v>
      </c>
      <c r="U363" s="74"/>
      <c r="V363" s="74"/>
      <c r="W363" s="74">
        <f>V363+U363</f>
        <v>0</v>
      </c>
      <c r="X363" s="74"/>
      <c r="Y363" s="74">
        <f>W363-X363</f>
        <v>0</v>
      </c>
      <c r="Z363" s="70"/>
    </row>
    <row r="364" spans="1:26" s="29" customFormat="1" ht="21" customHeight="1" x14ac:dyDescent="0.2">
      <c r="A364" s="30"/>
      <c r="B364" s="29" t="s">
        <v>0</v>
      </c>
      <c r="C364" s="40" t="s">
        <v>107</v>
      </c>
      <c r="H364" s="41"/>
      <c r="I364" s="35"/>
      <c r="L364" s="42"/>
      <c r="M364" s="28"/>
      <c r="N364" s="75"/>
      <c r="O364" s="72" t="s">
        <v>72</v>
      </c>
      <c r="P364" s="72">
        <v>26</v>
      </c>
      <c r="Q364" s="72">
        <v>2</v>
      </c>
      <c r="R364" s="72">
        <f t="shared" ref="R364:R374" si="76">IF(Q364="","",R363-Q364)</f>
        <v>13</v>
      </c>
      <c r="S364" s="63"/>
      <c r="T364" s="72" t="s">
        <v>72</v>
      </c>
      <c r="U364" s="105"/>
      <c r="V364" s="74"/>
      <c r="W364" s="105" t="str">
        <f>IF(U364="","",U364+V364)</f>
        <v/>
      </c>
      <c r="X364" s="74"/>
      <c r="Y364" s="105" t="str">
        <f>IF(W364="","",W364-X364)</f>
        <v/>
      </c>
      <c r="Z364" s="76"/>
    </row>
    <row r="365" spans="1:26" s="29" customFormat="1" ht="21" customHeight="1" x14ac:dyDescent="0.2">
      <c r="A365" s="30"/>
      <c r="B365" s="44" t="s">
        <v>42</v>
      </c>
      <c r="C365" s="40"/>
      <c r="F365" s="414" t="s">
        <v>44</v>
      </c>
      <c r="G365" s="414"/>
      <c r="I365" s="414" t="s">
        <v>45</v>
      </c>
      <c r="J365" s="414"/>
      <c r="K365" s="414"/>
      <c r="L365" s="46"/>
      <c r="N365" s="71"/>
      <c r="O365" s="72" t="s">
        <v>47</v>
      </c>
      <c r="P365" s="72">
        <v>29</v>
      </c>
      <c r="Q365" s="72">
        <v>2</v>
      </c>
      <c r="R365" s="72">
        <f t="shared" si="76"/>
        <v>11</v>
      </c>
      <c r="S365" s="63"/>
      <c r="T365" s="72" t="s">
        <v>47</v>
      </c>
      <c r="U365" s="105"/>
      <c r="V365" s="74"/>
      <c r="W365" s="105" t="str">
        <f t="shared" ref="W365:W374" si="77">IF(U365="","",U365+V365)</f>
        <v/>
      </c>
      <c r="X365" s="74"/>
      <c r="Y365" s="105" t="str">
        <f t="shared" ref="Y365:Y374" si="78">IF(W365="","",W365-X365)</f>
        <v/>
      </c>
      <c r="Z365" s="76"/>
    </row>
    <row r="366" spans="1:26" s="29" customFormat="1" ht="21" customHeight="1" x14ac:dyDescent="0.2">
      <c r="A366" s="30"/>
      <c r="H366" s="47"/>
      <c r="L366" s="34"/>
      <c r="N366" s="71"/>
      <c r="O366" s="72" t="s">
        <v>48</v>
      </c>
      <c r="P366" s="72">
        <v>30</v>
      </c>
      <c r="Q366" s="72">
        <v>0</v>
      </c>
      <c r="R366" s="72">
        <f t="shared" si="76"/>
        <v>11</v>
      </c>
      <c r="S366" s="63"/>
      <c r="T366" s="72" t="s">
        <v>48</v>
      </c>
      <c r="U366" s="105" t="str">
        <f>Y365</f>
        <v/>
      </c>
      <c r="V366" s="74"/>
      <c r="W366" s="105" t="str">
        <f t="shared" si="77"/>
        <v/>
      </c>
      <c r="X366" s="74"/>
      <c r="Y366" s="105" t="str">
        <f t="shared" si="78"/>
        <v/>
      </c>
      <c r="Z366" s="76"/>
    </row>
    <row r="367" spans="1:26" s="29" customFormat="1" ht="21" customHeight="1" x14ac:dyDescent="0.2">
      <c r="A367" s="30"/>
      <c r="B367" s="392" t="s">
        <v>43</v>
      </c>
      <c r="C367" s="393"/>
      <c r="F367" s="48" t="s">
        <v>65</v>
      </c>
      <c r="G367" s="43" t="str">
        <f>IF($J$1="January",U363,IF($J$1="February",U364,IF($J$1="March",U365,IF($J$1="April",U366,IF($J$1="May",U367,IF($J$1="June",U368,IF($J$1="July",U369,IF($J$1="August",U370,IF($J$1="August",U370,IF($J$1="September",U371,IF($J$1="October",U372,IF($J$1="November",U373,IF($J$1="December",U374)))))))))))))</f>
        <v/>
      </c>
      <c r="H367" s="47"/>
      <c r="I367" s="49">
        <f>IF(C371&gt;0,$K$2,C369)</f>
        <v>30</v>
      </c>
      <c r="J367" s="50" t="s">
        <v>62</v>
      </c>
      <c r="K367" s="51">
        <f>K363/$K$2*I367</f>
        <v>21000</v>
      </c>
      <c r="L367" s="52"/>
      <c r="N367" s="71"/>
      <c r="O367" s="72" t="s">
        <v>49</v>
      </c>
      <c r="P367" s="72"/>
      <c r="Q367" s="72"/>
      <c r="R367" s="72" t="str">
        <f t="shared" si="76"/>
        <v/>
      </c>
      <c r="S367" s="63"/>
      <c r="T367" s="72" t="s">
        <v>49</v>
      </c>
      <c r="U367" s="105" t="str">
        <f t="shared" ref="U367:U371" si="79">Y366</f>
        <v/>
      </c>
      <c r="V367" s="74"/>
      <c r="W367" s="105" t="str">
        <f t="shared" ref="W367:W371" si="80">IF(U367="","",U367+V367)</f>
        <v/>
      </c>
      <c r="X367" s="74"/>
      <c r="Y367" s="105" t="str">
        <f t="shared" ref="Y367:Y371" si="81">IF(W367="","",W367-X367)</f>
        <v/>
      </c>
      <c r="Z367" s="76"/>
    </row>
    <row r="368" spans="1:26" s="29" customFormat="1" ht="21" customHeight="1" x14ac:dyDescent="0.2">
      <c r="A368" s="30"/>
      <c r="B368" s="39"/>
      <c r="C368" s="39"/>
      <c r="F368" s="48" t="s">
        <v>21</v>
      </c>
      <c r="G368" s="43">
        <f>IF($J$1="January",V363,IF($J$1="February",V364,IF($J$1="March",V365,IF($J$1="April",V366,IF($J$1="May",V367,IF($J$1="June",V368,IF($J$1="July",V369,IF($J$1="August",V370,IF($J$1="August",V370,IF($J$1="September",V371,IF($J$1="October",V372,IF($J$1="November",V373,IF($J$1="December",V374)))))))))))))</f>
        <v>0</v>
      </c>
      <c r="H368" s="47"/>
      <c r="I368" s="84">
        <v>8</v>
      </c>
      <c r="J368" s="50" t="s">
        <v>63</v>
      </c>
      <c r="K368" s="53">
        <f>K363/$K$2/8*I368</f>
        <v>700</v>
      </c>
      <c r="L368" s="54"/>
      <c r="N368" s="71"/>
      <c r="O368" s="72" t="s">
        <v>50</v>
      </c>
      <c r="P368" s="72"/>
      <c r="Q368" s="72"/>
      <c r="R368" s="72" t="str">
        <f t="shared" si="76"/>
        <v/>
      </c>
      <c r="S368" s="63"/>
      <c r="T368" s="72" t="s">
        <v>50</v>
      </c>
      <c r="U368" s="105" t="str">
        <f t="shared" si="79"/>
        <v/>
      </c>
      <c r="V368" s="74"/>
      <c r="W368" s="105" t="str">
        <f t="shared" si="80"/>
        <v/>
      </c>
      <c r="X368" s="74"/>
      <c r="Y368" s="105" t="str">
        <f t="shared" si="81"/>
        <v/>
      </c>
      <c r="Z368" s="76"/>
    </row>
    <row r="369" spans="1:26" s="29" customFormat="1" ht="21" customHeight="1" x14ac:dyDescent="0.2">
      <c r="A369" s="30"/>
      <c r="B369" s="48" t="s">
        <v>7</v>
      </c>
      <c r="C369" s="39">
        <f>IF($J$1="January",P363,IF($J$1="February",P364,IF($J$1="March",P365,IF($J$1="April",P366,IF($J$1="May",P367,IF($J$1="June",P368,IF($J$1="July",P369,IF($J$1="August",P370,IF($J$1="August",P370,IF($J$1="September",P371,IF($J$1="October",P372,IF($J$1="November",P373,IF($J$1="December",P374)))))))))))))</f>
        <v>30</v>
      </c>
      <c r="F369" s="48" t="s">
        <v>66</v>
      </c>
      <c r="G369" s="43" t="str">
        <f>IF($J$1="January",W363,IF($J$1="February",W364,IF($J$1="March",W365,IF($J$1="April",W366,IF($J$1="May",W367,IF($J$1="June",W368,IF($J$1="July",W369,IF($J$1="August",W370,IF($J$1="August",W370,IF($J$1="September",W371,IF($J$1="October",W372,IF($J$1="November",W373,IF($J$1="December",W374)))))))))))))</f>
        <v/>
      </c>
      <c r="H369" s="47"/>
      <c r="I369" s="405" t="s">
        <v>70</v>
      </c>
      <c r="J369" s="406"/>
      <c r="K369" s="53">
        <f>K367+K368</f>
        <v>21700</v>
      </c>
      <c r="L369" s="54"/>
      <c r="N369" s="71"/>
      <c r="O369" s="72" t="s">
        <v>51</v>
      </c>
      <c r="P369" s="72"/>
      <c r="Q369" s="72"/>
      <c r="R369" s="72" t="str">
        <f t="shared" si="76"/>
        <v/>
      </c>
      <c r="S369" s="63"/>
      <c r="T369" s="72" t="s">
        <v>51</v>
      </c>
      <c r="U369" s="105" t="str">
        <f t="shared" si="79"/>
        <v/>
      </c>
      <c r="V369" s="74"/>
      <c r="W369" s="105" t="str">
        <f t="shared" si="80"/>
        <v/>
      </c>
      <c r="X369" s="74"/>
      <c r="Y369" s="105" t="str">
        <f t="shared" si="81"/>
        <v/>
      </c>
      <c r="Z369" s="76"/>
    </row>
    <row r="370" spans="1:26" s="29" customFormat="1" ht="21" customHeight="1" x14ac:dyDescent="0.2">
      <c r="A370" s="30"/>
      <c r="B370" s="48" t="s">
        <v>6</v>
      </c>
      <c r="C370" s="39">
        <f>IF($J$1="January",Q363,IF($J$1="February",Q364,IF($J$1="March",Q365,IF($J$1="April",Q366,IF($J$1="May",Q367,IF($J$1="June",Q368,IF($J$1="July",Q369,IF($J$1="August",Q370,IF($J$1="August",Q370,IF($J$1="September",Q371,IF($J$1="October",Q372,IF($J$1="November",Q373,IF($J$1="December",Q374)))))))))))))</f>
        <v>0</v>
      </c>
      <c r="F370" s="48" t="s">
        <v>22</v>
      </c>
      <c r="G370" s="43">
        <f>IF($J$1="January",X363,IF($J$1="February",X364,IF($J$1="March",X365,IF($J$1="April",X366,IF($J$1="May",X367,IF($J$1="June",X368,IF($J$1="July",X369,IF($J$1="August",X370,IF($J$1="August",X370,IF($J$1="September",X371,IF($J$1="October",X372,IF($J$1="November",X373,IF($J$1="December",X374)))))))))))))</f>
        <v>0</v>
      </c>
      <c r="H370" s="47"/>
      <c r="I370" s="405" t="s">
        <v>71</v>
      </c>
      <c r="J370" s="406"/>
      <c r="K370" s="43">
        <f>G370</f>
        <v>0</v>
      </c>
      <c r="L370" s="55"/>
      <c r="N370" s="71"/>
      <c r="O370" s="72" t="s">
        <v>52</v>
      </c>
      <c r="P370" s="72"/>
      <c r="Q370" s="72"/>
      <c r="R370" s="72" t="str">
        <f t="shared" si="76"/>
        <v/>
      </c>
      <c r="S370" s="63"/>
      <c r="T370" s="72" t="s">
        <v>52</v>
      </c>
      <c r="U370" s="105" t="str">
        <f t="shared" si="79"/>
        <v/>
      </c>
      <c r="V370" s="74"/>
      <c r="W370" s="105" t="str">
        <f t="shared" si="80"/>
        <v/>
      </c>
      <c r="X370" s="74"/>
      <c r="Y370" s="105" t="str">
        <f t="shared" si="81"/>
        <v/>
      </c>
      <c r="Z370" s="76"/>
    </row>
    <row r="371" spans="1:26" s="29" customFormat="1" ht="21" customHeight="1" x14ac:dyDescent="0.2">
      <c r="A371" s="30"/>
      <c r="B371" s="56" t="s">
        <v>69</v>
      </c>
      <c r="C371" s="39">
        <f>IF($J$1="January",R363,IF($J$1="February",R364,IF($J$1="March",R365,IF($J$1="April",R366,IF($J$1="May",R367,IF($J$1="June",R368,IF($J$1="July",R369,IF($J$1="August",R370,IF($J$1="August",R370,IF($J$1="September",R371,IF($J$1="October",R372,IF($J$1="November",R373,IF($J$1="December",R374)))))))))))))</f>
        <v>11</v>
      </c>
      <c r="F371" s="48" t="s">
        <v>68</v>
      </c>
      <c r="G371" s="43" t="str">
        <f>IF($J$1="January",Y363,IF($J$1="February",Y364,IF($J$1="March",Y365,IF($J$1="April",Y366,IF($J$1="May",Y367,IF($J$1="June",Y368,IF($J$1="July",Y369,IF($J$1="August",Y370,IF($J$1="August",Y370,IF($J$1="September",Y371,IF($J$1="October",Y372,IF($J$1="November",Y373,IF($J$1="December",Y374)))))))))))))</f>
        <v/>
      </c>
      <c r="I371" s="394" t="s">
        <v>64</v>
      </c>
      <c r="J371" s="396"/>
      <c r="K371" s="57">
        <f>K369-K370</f>
        <v>21700</v>
      </c>
      <c r="L371" s="58"/>
      <c r="N371" s="71"/>
      <c r="O371" s="72" t="s">
        <v>57</v>
      </c>
      <c r="P371" s="72"/>
      <c r="Q371" s="72"/>
      <c r="R371" s="72" t="str">
        <f t="shared" si="76"/>
        <v/>
      </c>
      <c r="S371" s="63"/>
      <c r="T371" s="72" t="s">
        <v>57</v>
      </c>
      <c r="U371" s="105" t="str">
        <f t="shared" si="79"/>
        <v/>
      </c>
      <c r="V371" s="74"/>
      <c r="W371" s="105" t="str">
        <f t="shared" si="80"/>
        <v/>
      </c>
      <c r="X371" s="74"/>
      <c r="Y371" s="105" t="str">
        <f t="shared" si="81"/>
        <v/>
      </c>
      <c r="Z371" s="76"/>
    </row>
    <row r="372" spans="1:26" s="29" customFormat="1" ht="21" customHeight="1" x14ac:dyDescent="0.2">
      <c r="A372" s="30"/>
      <c r="K372" s="107"/>
      <c r="L372" s="46"/>
      <c r="N372" s="71"/>
      <c r="O372" s="72" t="s">
        <v>53</v>
      </c>
      <c r="P372" s="72"/>
      <c r="Q372" s="72"/>
      <c r="R372" s="72" t="str">
        <f t="shared" si="76"/>
        <v/>
      </c>
      <c r="S372" s="63"/>
      <c r="T372" s="72" t="s">
        <v>53</v>
      </c>
      <c r="U372" s="105" t="str">
        <f>Y371</f>
        <v/>
      </c>
      <c r="V372" s="74"/>
      <c r="W372" s="105" t="str">
        <f t="shared" si="77"/>
        <v/>
      </c>
      <c r="X372" s="74"/>
      <c r="Y372" s="105" t="str">
        <f t="shared" si="78"/>
        <v/>
      </c>
      <c r="Z372" s="76"/>
    </row>
    <row r="373" spans="1:26" s="29" customFormat="1" ht="21" customHeight="1" x14ac:dyDescent="0.2">
      <c r="A373" s="30"/>
      <c r="B373" s="407" t="s">
        <v>87</v>
      </c>
      <c r="C373" s="407"/>
      <c r="D373" s="407"/>
      <c r="E373" s="407"/>
      <c r="F373" s="407"/>
      <c r="G373" s="407"/>
      <c r="H373" s="407"/>
      <c r="I373" s="407"/>
      <c r="J373" s="407"/>
      <c r="K373" s="407"/>
      <c r="L373" s="46"/>
      <c r="N373" s="71"/>
      <c r="O373" s="72" t="s">
        <v>58</v>
      </c>
      <c r="P373" s="72"/>
      <c r="Q373" s="72"/>
      <c r="R373" s="72" t="str">
        <f t="shared" si="76"/>
        <v/>
      </c>
      <c r="S373" s="63"/>
      <c r="T373" s="72" t="s">
        <v>58</v>
      </c>
      <c r="U373" s="105"/>
      <c r="V373" s="74"/>
      <c r="W373" s="105" t="str">
        <f t="shared" si="77"/>
        <v/>
      </c>
      <c r="X373" s="74"/>
      <c r="Y373" s="105" t="str">
        <f t="shared" si="78"/>
        <v/>
      </c>
      <c r="Z373" s="76"/>
    </row>
    <row r="374" spans="1:26" s="29" customFormat="1" ht="21" customHeight="1" x14ac:dyDescent="0.2">
      <c r="A374" s="30"/>
      <c r="B374" s="407"/>
      <c r="C374" s="407"/>
      <c r="D374" s="407"/>
      <c r="E374" s="407"/>
      <c r="F374" s="407"/>
      <c r="G374" s="407"/>
      <c r="H374" s="407"/>
      <c r="I374" s="407"/>
      <c r="J374" s="407"/>
      <c r="K374" s="407"/>
      <c r="L374" s="46"/>
      <c r="N374" s="71"/>
      <c r="O374" s="72" t="s">
        <v>59</v>
      </c>
      <c r="P374" s="72"/>
      <c r="Q374" s="72"/>
      <c r="R374" s="72" t="str">
        <f t="shared" si="76"/>
        <v/>
      </c>
      <c r="S374" s="63"/>
      <c r="T374" s="72" t="s">
        <v>59</v>
      </c>
      <c r="U374" s="105"/>
      <c r="V374" s="74"/>
      <c r="W374" s="105" t="str">
        <f t="shared" si="77"/>
        <v/>
      </c>
      <c r="X374" s="74"/>
      <c r="Y374" s="105" t="str">
        <f t="shared" si="78"/>
        <v/>
      </c>
      <c r="Z374" s="76"/>
    </row>
    <row r="375" spans="1:26" s="29" customFormat="1" ht="21" customHeight="1" thickBot="1" x14ac:dyDescent="0.25">
      <c r="A375" s="59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1"/>
      <c r="N375" s="77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9"/>
    </row>
    <row r="376" spans="1:26" s="29" customFormat="1" ht="21" customHeight="1" thickBot="1" x14ac:dyDescent="0.25"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 spans="1:26" s="29" customFormat="1" ht="21" customHeight="1" x14ac:dyDescent="0.2">
      <c r="A377" s="450" t="s">
        <v>41</v>
      </c>
      <c r="B377" s="451"/>
      <c r="C377" s="451"/>
      <c r="D377" s="451"/>
      <c r="E377" s="451"/>
      <c r="F377" s="451"/>
      <c r="G377" s="451"/>
      <c r="H377" s="451"/>
      <c r="I377" s="451"/>
      <c r="J377" s="451"/>
      <c r="K377" s="451"/>
      <c r="L377" s="452"/>
      <c r="M377" s="28"/>
      <c r="N377" s="64"/>
      <c r="O377" s="408" t="s">
        <v>43</v>
      </c>
      <c r="P377" s="409"/>
      <c r="Q377" s="409"/>
      <c r="R377" s="410"/>
      <c r="S377" s="65"/>
      <c r="T377" s="408" t="s">
        <v>44</v>
      </c>
      <c r="U377" s="409"/>
      <c r="V377" s="409"/>
      <c r="W377" s="409"/>
      <c r="X377" s="409"/>
      <c r="Y377" s="410"/>
      <c r="Z377" s="66"/>
    </row>
    <row r="378" spans="1:26" s="29" customFormat="1" ht="21" customHeight="1" x14ac:dyDescent="0.2">
      <c r="A378" s="30"/>
      <c r="C378" s="398" t="s">
        <v>85</v>
      </c>
      <c r="D378" s="398"/>
      <c r="E378" s="398"/>
      <c r="F378" s="398"/>
      <c r="G378" s="31" t="str">
        <f>$J$1</f>
        <v>April</v>
      </c>
      <c r="H378" s="397">
        <f>$K$1</f>
        <v>2023</v>
      </c>
      <c r="I378" s="397"/>
      <c r="K378" s="32"/>
      <c r="L378" s="33"/>
      <c r="M378" s="32"/>
      <c r="N378" s="67"/>
      <c r="O378" s="68" t="s">
        <v>54</v>
      </c>
      <c r="P378" s="68" t="s">
        <v>7</v>
      </c>
      <c r="Q378" s="68" t="s">
        <v>6</v>
      </c>
      <c r="R378" s="68" t="s">
        <v>55</v>
      </c>
      <c r="S378" s="69"/>
      <c r="T378" s="68" t="s">
        <v>54</v>
      </c>
      <c r="U378" s="68" t="s">
        <v>56</v>
      </c>
      <c r="V378" s="68" t="s">
        <v>21</v>
      </c>
      <c r="W378" s="68" t="s">
        <v>20</v>
      </c>
      <c r="X378" s="68" t="s">
        <v>22</v>
      </c>
      <c r="Y378" s="68" t="s">
        <v>60</v>
      </c>
      <c r="Z378" s="70"/>
    </row>
    <row r="379" spans="1:26" s="29" customFormat="1" ht="21" customHeight="1" x14ac:dyDescent="0.2">
      <c r="A379" s="30"/>
      <c r="D379" s="35"/>
      <c r="E379" s="35"/>
      <c r="F379" s="35"/>
      <c r="G379" s="35"/>
      <c r="H379" s="35"/>
      <c r="J379" s="36" t="s">
        <v>1</v>
      </c>
      <c r="K379" s="37">
        <v>28000</v>
      </c>
      <c r="L379" s="38"/>
      <c r="N379" s="71"/>
      <c r="O379" s="72" t="s">
        <v>46</v>
      </c>
      <c r="P379" s="72">
        <v>31</v>
      </c>
      <c r="Q379" s="72">
        <v>0</v>
      </c>
      <c r="R379" s="72">
        <v>0</v>
      </c>
      <c r="S379" s="73"/>
      <c r="T379" s="72" t="s">
        <v>46</v>
      </c>
      <c r="U379" s="74"/>
      <c r="V379" s="74"/>
      <c r="W379" s="74">
        <f>V379+U379</f>
        <v>0</v>
      </c>
      <c r="X379" s="74"/>
      <c r="Y379" s="74">
        <f>W379-X379</f>
        <v>0</v>
      </c>
      <c r="Z379" s="70"/>
    </row>
    <row r="380" spans="1:26" s="29" customFormat="1" ht="21" customHeight="1" x14ac:dyDescent="0.2">
      <c r="A380" s="30"/>
      <c r="B380" s="29" t="s">
        <v>0</v>
      </c>
      <c r="C380" s="40" t="s">
        <v>189</v>
      </c>
      <c r="H380" s="41"/>
      <c r="I380" s="35"/>
      <c r="L380" s="42"/>
      <c r="M380" s="28"/>
      <c r="N380" s="75"/>
      <c r="O380" s="72" t="s">
        <v>72</v>
      </c>
      <c r="P380" s="72">
        <v>28</v>
      </c>
      <c r="Q380" s="72">
        <v>0</v>
      </c>
      <c r="R380" s="72">
        <v>0</v>
      </c>
      <c r="S380" s="63"/>
      <c r="T380" s="72" t="s">
        <v>72</v>
      </c>
      <c r="U380" s="105"/>
      <c r="V380" s="74"/>
      <c r="W380" s="74">
        <f>V380+U380</f>
        <v>0</v>
      </c>
      <c r="X380" s="74"/>
      <c r="Y380" s="105">
        <f>IF(W380="","",W380-X380)</f>
        <v>0</v>
      </c>
      <c r="Z380" s="76"/>
    </row>
    <row r="381" spans="1:26" s="29" customFormat="1" ht="21" customHeight="1" x14ac:dyDescent="0.2">
      <c r="A381" s="30"/>
      <c r="B381" s="44" t="s">
        <v>42</v>
      </c>
      <c r="C381" s="40"/>
      <c r="F381" s="414" t="s">
        <v>44</v>
      </c>
      <c r="G381" s="414"/>
      <c r="I381" s="414" t="s">
        <v>45</v>
      </c>
      <c r="J381" s="414"/>
      <c r="K381" s="414"/>
      <c r="L381" s="46"/>
      <c r="N381" s="71"/>
      <c r="O381" s="72" t="s">
        <v>47</v>
      </c>
      <c r="P381" s="72">
        <v>31</v>
      </c>
      <c r="Q381" s="72">
        <v>0</v>
      </c>
      <c r="R381" s="72">
        <v>0</v>
      </c>
      <c r="S381" s="63"/>
      <c r="T381" s="72" t="s">
        <v>47</v>
      </c>
      <c r="U381" s="105"/>
      <c r="V381" s="74"/>
      <c r="W381" s="105" t="str">
        <f t="shared" ref="W381:W390" si="82">IF(U381="","",U381+V381)</f>
        <v/>
      </c>
      <c r="X381" s="74"/>
      <c r="Y381" s="105" t="str">
        <f t="shared" ref="Y381:Y390" si="83">IF(W381="","",W381-X381)</f>
        <v/>
      </c>
      <c r="Z381" s="76"/>
    </row>
    <row r="382" spans="1:26" s="29" customFormat="1" ht="21" customHeight="1" x14ac:dyDescent="0.2">
      <c r="A382" s="30"/>
      <c r="H382" s="47"/>
      <c r="L382" s="34"/>
      <c r="N382" s="71"/>
      <c r="O382" s="72" t="s">
        <v>48</v>
      </c>
      <c r="P382" s="72">
        <v>30</v>
      </c>
      <c r="Q382" s="72">
        <v>0</v>
      </c>
      <c r="R382" s="72">
        <v>0</v>
      </c>
      <c r="S382" s="63"/>
      <c r="T382" s="72" t="s">
        <v>48</v>
      </c>
      <c r="U382" s="105"/>
      <c r="V382" s="74"/>
      <c r="W382" s="105" t="str">
        <f t="shared" si="82"/>
        <v/>
      </c>
      <c r="X382" s="74"/>
      <c r="Y382" s="105" t="str">
        <f t="shared" si="83"/>
        <v/>
      </c>
      <c r="Z382" s="76"/>
    </row>
    <row r="383" spans="1:26" s="29" customFormat="1" ht="21" customHeight="1" x14ac:dyDescent="0.2">
      <c r="A383" s="30"/>
      <c r="B383" s="392" t="s">
        <v>43</v>
      </c>
      <c r="C383" s="393"/>
      <c r="F383" s="48" t="s">
        <v>65</v>
      </c>
      <c r="G383" s="43">
        <f>IF($J$1="January",U379,IF($J$1="February",U380,IF($J$1="March",U381,IF($J$1="April",U382,IF($J$1="May",U383,IF($J$1="June",U384,IF($J$1="July",U385,IF($J$1="August",U386,IF($J$1="August",U386,IF($J$1="September",U387,IF($J$1="October",U388,IF($J$1="November",U389,IF($J$1="December",U390)))))))))))))</f>
        <v>0</v>
      </c>
      <c r="H383" s="47"/>
      <c r="I383" s="49">
        <f>IF(C387&gt;0,$K$2,C385)</f>
        <v>30</v>
      </c>
      <c r="J383" s="50" t="s">
        <v>62</v>
      </c>
      <c r="K383" s="51">
        <f>K379/$K$2*I383</f>
        <v>28000</v>
      </c>
      <c r="L383" s="52"/>
      <c r="N383" s="71"/>
      <c r="O383" s="72" t="s">
        <v>49</v>
      </c>
      <c r="P383" s="72"/>
      <c r="Q383" s="72"/>
      <c r="R383" s="72">
        <v>0</v>
      </c>
      <c r="S383" s="63"/>
      <c r="T383" s="72" t="s">
        <v>49</v>
      </c>
      <c r="U383" s="105"/>
      <c r="V383" s="74"/>
      <c r="W383" s="105" t="str">
        <f t="shared" si="82"/>
        <v/>
      </c>
      <c r="X383" s="74"/>
      <c r="Y383" s="105" t="str">
        <f t="shared" si="83"/>
        <v/>
      </c>
      <c r="Z383" s="76"/>
    </row>
    <row r="384" spans="1:26" s="29" customFormat="1" ht="21" customHeight="1" x14ac:dyDescent="0.2">
      <c r="A384" s="30"/>
      <c r="B384" s="39"/>
      <c r="C384" s="39"/>
      <c r="F384" s="48" t="s">
        <v>21</v>
      </c>
      <c r="G384" s="43">
        <f>IF($J$1="January",V379,IF($J$1="February",V380,IF($J$1="March",V381,IF($J$1="April",V382,IF($J$1="May",V383,IF($J$1="June",V384,IF($J$1="July",V385,IF($J$1="August",V386,IF($J$1="August",V386,IF($J$1="September",V387,IF($J$1="October",V388,IF($J$1="November",V389,IF($J$1="December",V390)))))))))))))</f>
        <v>0</v>
      </c>
      <c r="H384" s="47"/>
      <c r="I384" s="84">
        <v>11</v>
      </c>
      <c r="J384" s="50" t="s">
        <v>63</v>
      </c>
      <c r="K384" s="53">
        <f>K379/$K$2/8*I384</f>
        <v>1283.3333333333335</v>
      </c>
      <c r="L384" s="54"/>
      <c r="N384" s="71"/>
      <c r="O384" s="72" t="s">
        <v>50</v>
      </c>
      <c r="P384" s="72"/>
      <c r="Q384" s="72"/>
      <c r="R384" s="72">
        <v>0</v>
      </c>
      <c r="S384" s="63"/>
      <c r="T384" s="72" t="s">
        <v>50</v>
      </c>
      <c r="U384" s="105"/>
      <c r="V384" s="74"/>
      <c r="W384" s="105" t="str">
        <f t="shared" si="82"/>
        <v/>
      </c>
      <c r="X384" s="74"/>
      <c r="Y384" s="105" t="str">
        <f t="shared" si="83"/>
        <v/>
      </c>
      <c r="Z384" s="76"/>
    </row>
    <row r="385" spans="1:27" s="29" customFormat="1" ht="21" customHeight="1" x14ac:dyDescent="0.2">
      <c r="A385" s="30"/>
      <c r="B385" s="48" t="s">
        <v>7</v>
      </c>
      <c r="C385" s="39">
        <f>IF($J$1="January",P379,IF($J$1="February",P380,IF($J$1="March",P381,IF($J$1="April",P382,IF($J$1="May",P383,IF($J$1="June",P384,IF($J$1="July",P385,IF($J$1="August",P386,IF($J$1="August",P386,IF($J$1="September",P387,IF($J$1="October",P388,IF($J$1="November",P389,IF($J$1="December",P390)))))))))))))</f>
        <v>30</v>
      </c>
      <c r="F385" s="48" t="s">
        <v>66</v>
      </c>
      <c r="G385" s="43" t="str">
        <f>IF($J$1="January",W379,IF($J$1="February",W380,IF($J$1="March",W381,IF($J$1="April",W382,IF($J$1="May",W383,IF($J$1="June",W384,IF($J$1="July",W385,IF($J$1="August",W386,IF($J$1="August",W386,IF($J$1="September",W387,IF($J$1="October",W388,IF($J$1="November",W389,IF($J$1="December",W390)))))))))))))</f>
        <v/>
      </c>
      <c r="H385" s="47"/>
      <c r="I385" s="405" t="s">
        <v>70</v>
      </c>
      <c r="J385" s="406"/>
      <c r="K385" s="53">
        <f>K383+K384</f>
        <v>29283.333333333332</v>
      </c>
      <c r="L385" s="54"/>
      <c r="N385" s="71"/>
      <c r="O385" s="72" t="s">
        <v>51</v>
      </c>
      <c r="P385" s="72"/>
      <c r="Q385" s="72"/>
      <c r="R385" s="72">
        <v>0</v>
      </c>
      <c r="S385" s="63"/>
      <c r="T385" s="72" t="s">
        <v>51</v>
      </c>
      <c r="U385" s="105"/>
      <c r="V385" s="74"/>
      <c r="W385" s="105" t="str">
        <f t="shared" si="82"/>
        <v/>
      </c>
      <c r="X385" s="74"/>
      <c r="Y385" s="105" t="str">
        <f t="shared" si="83"/>
        <v/>
      </c>
      <c r="Z385" s="76"/>
    </row>
    <row r="386" spans="1:27" s="29" customFormat="1" ht="21" customHeight="1" x14ac:dyDescent="0.2">
      <c r="A386" s="30"/>
      <c r="B386" s="48" t="s">
        <v>6</v>
      </c>
      <c r="C386" s="39">
        <f>IF($J$1="January",Q379,IF($J$1="February",Q380,IF($J$1="March",Q381,IF($J$1="April",Q382,IF($J$1="May",Q383,IF($J$1="June",Q384,IF($J$1="July",Q385,IF($J$1="August",Q386,IF($J$1="August",Q386,IF($J$1="September",Q387,IF($J$1="October",Q388,IF($J$1="November",Q389,IF($J$1="December",Q390)))))))))))))</f>
        <v>0</v>
      </c>
      <c r="F386" s="48" t="s">
        <v>22</v>
      </c>
      <c r="G386" s="43">
        <f>IF($J$1="January",X379,IF($J$1="February",X380,IF($J$1="March",X381,IF($J$1="April",X382,IF($J$1="May",X383,IF($J$1="June",X384,IF($J$1="July",X385,IF($J$1="August",X386,IF($J$1="August",X386,IF($J$1="September",X387,IF($J$1="October",X388,IF($J$1="November",X389,IF($J$1="December",X390)))))))))))))</f>
        <v>0</v>
      </c>
      <c r="H386" s="47"/>
      <c r="I386" s="405" t="s">
        <v>71</v>
      </c>
      <c r="J386" s="406"/>
      <c r="K386" s="43">
        <f>G386</f>
        <v>0</v>
      </c>
      <c r="L386" s="55"/>
      <c r="N386" s="71"/>
      <c r="O386" s="72" t="s">
        <v>52</v>
      </c>
      <c r="P386" s="72"/>
      <c r="Q386" s="72"/>
      <c r="R386" s="72">
        <v>0</v>
      </c>
      <c r="S386" s="63"/>
      <c r="T386" s="72" t="s">
        <v>52</v>
      </c>
      <c r="U386" s="105"/>
      <c r="V386" s="74"/>
      <c r="W386" s="105" t="str">
        <f t="shared" si="82"/>
        <v/>
      </c>
      <c r="X386" s="74"/>
      <c r="Y386" s="105" t="str">
        <f t="shared" si="83"/>
        <v/>
      </c>
      <c r="Z386" s="76"/>
    </row>
    <row r="387" spans="1:27" s="29" customFormat="1" ht="21" customHeight="1" x14ac:dyDescent="0.2">
      <c r="A387" s="30"/>
      <c r="B387" s="56" t="s">
        <v>69</v>
      </c>
      <c r="C387" s="39">
        <f>IF($J$1="January",R379,IF($J$1="February",R380,IF($J$1="March",R381,IF($J$1="April",R382,IF($J$1="May",R383,IF($J$1="June",R384,IF($J$1="July",R385,IF($J$1="August",R386,IF($J$1="August",R386,IF($J$1="September",R387,IF($J$1="October",R388,IF($J$1="November",R389,IF($J$1="December",R390)))))))))))))</f>
        <v>0</v>
      </c>
      <c r="F387" s="48" t="s">
        <v>144</v>
      </c>
      <c r="G387" s="43" t="str">
        <f>IF($J$1="January",Y379,IF($J$1="February",Y380,IF($J$1="March",Y381,IF($J$1="April",Y382,IF($J$1="May",Y383,IF($J$1="June",Y384,IF($J$1="July",Y385,IF($J$1="August",Y386,IF($J$1="August",Y386,IF($J$1="September",Y387,IF($J$1="October",Y388,IF($J$1="November",Y389,IF($J$1="December",Y390)))))))))))))</f>
        <v/>
      </c>
      <c r="I387" s="394" t="s">
        <v>64</v>
      </c>
      <c r="J387" s="396"/>
      <c r="K387" s="57">
        <f>K385-K386</f>
        <v>29283.333333333332</v>
      </c>
      <c r="L387" s="58"/>
      <c r="N387" s="71"/>
      <c r="O387" s="72" t="s">
        <v>57</v>
      </c>
      <c r="P387" s="72"/>
      <c r="Q387" s="72"/>
      <c r="R387" s="72">
        <v>0</v>
      </c>
      <c r="S387" s="63"/>
      <c r="T387" s="72" t="s">
        <v>57</v>
      </c>
      <c r="U387" s="105"/>
      <c r="V387" s="74"/>
      <c r="W387" s="105" t="str">
        <f t="shared" si="82"/>
        <v/>
      </c>
      <c r="X387" s="74"/>
      <c r="Y387" s="105" t="str">
        <f t="shared" si="83"/>
        <v/>
      </c>
      <c r="Z387" s="76"/>
    </row>
    <row r="388" spans="1:27" s="29" customFormat="1" ht="21" customHeight="1" x14ac:dyDescent="0.2">
      <c r="A388" s="30"/>
      <c r="L388" s="46"/>
      <c r="N388" s="71"/>
      <c r="O388" s="72" t="s">
        <v>53</v>
      </c>
      <c r="P388" s="72"/>
      <c r="Q388" s="72"/>
      <c r="R388" s="72" t="str">
        <f>IF(Q388="","",R387-Q388)</f>
        <v/>
      </c>
      <c r="S388" s="63"/>
      <c r="T388" s="72" t="s">
        <v>53</v>
      </c>
      <c r="U388" s="105"/>
      <c r="V388" s="74"/>
      <c r="W388" s="105" t="str">
        <f t="shared" si="82"/>
        <v/>
      </c>
      <c r="X388" s="74"/>
      <c r="Y388" s="105" t="str">
        <f t="shared" si="83"/>
        <v/>
      </c>
      <c r="Z388" s="76"/>
    </row>
    <row r="389" spans="1:27" s="29" customFormat="1" ht="21" customHeight="1" x14ac:dyDescent="0.2">
      <c r="A389" s="30"/>
      <c r="B389" s="407" t="s">
        <v>87</v>
      </c>
      <c r="C389" s="407"/>
      <c r="D389" s="407"/>
      <c r="E389" s="407"/>
      <c r="F389" s="407"/>
      <c r="G389" s="407"/>
      <c r="H389" s="407"/>
      <c r="I389" s="407"/>
      <c r="J389" s="407"/>
      <c r="K389" s="407"/>
      <c r="L389" s="46"/>
      <c r="N389" s="71"/>
      <c r="O389" s="72" t="s">
        <v>58</v>
      </c>
      <c r="P389" s="72"/>
      <c r="Q389" s="72"/>
      <c r="R389" s="72">
        <v>0</v>
      </c>
      <c r="S389" s="63"/>
      <c r="T389" s="72" t="s">
        <v>58</v>
      </c>
      <c r="U389" s="105"/>
      <c r="V389" s="74"/>
      <c r="W389" s="105" t="str">
        <f t="shared" si="82"/>
        <v/>
      </c>
      <c r="X389" s="74"/>
      <c r="Y389" s="105" t="str">
        <f t="shared" si="83"/>
        <v/>
      </c>
      <c r="Z389" s="76"/>
    </row>
    <row r="390" spans="1:27" s="29" customFormat="1" ht="21" customHeight="1" x14ac:dyDescent="0.2">
      <c r="A390" s="30"/>
      <c r="B390" s="407"/>
      <c r="C390" s="407"/>
      <c r="D390" s="407"/>
      <c r="E390" s="407"/>
      <c r="F390" s="407"/>
      <c r="G390" s="407"/>
      <c r="H390" s="407"/>
      <c r="I390" s="407"/>
      <c r="J390" s="407"/>
      <c r="K390" s="407"/>
      <c r="L390" s="46"/>
      <c r="N390" s="71"/>
      <c r="O390" s="72" t="s">
        <v>59</v>
      </c>
      <c r="P390" s="72"/>
      <c r="Q390" s="72"/>
      <c r="R390" s="72" t="str">
        <f>IF(Q390="","",R389-Q390)</f>
        <v/>
      </c>
      <c r="S390" s="63"/>
      <c r="T390" s="72" t="s">
        <v>59</v>
      </c>
      <c r="U390" s="105" t="str">
        <f>IF($J$1="Dec",Y389,"")</f>
        <v/>
      </c>
      <c r="V390" s="74"/>
      <c r="W390" s="105" t="str">
        <f t="shared" si="82"/>
        <v/>
      </c>
      <c r="X390" s="74"/>
      <c r="Y390" s="105" t="str">
        <f t="shared" si="83"/>
        <v/>
      </c>
      <c r="Z390" s="76"/>
    </row>
    <row r="391" spans="1:27" s="29" customFormat="1" ht="22.15" customHeight="1" thickBot="1" x14ac:dyDescent="0.25">
      <c r="A391" s="59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1"/>
      <c r="N391" s="77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9"/>
    </row>
    <row r="392" spans="1:27" s="29" customFormat="1" ht="21" customHeight="1" thickBot="1" x14ac:dyDescent="0.25"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 spans="1:27" s="29" customFormat="1" ht="21" customHeight="1" x14ac:dyDescent="0.2">
      <c r="A393" s="424" t="s">
        <v>41</v>
      </c>
      <c r="B393" s="425"/>
      <c r="C393" s="425"/>
      <c r="D393" s="425"/>
      <c r="E393" s="425"/>
      <c r="F393" s="425"/>
      <c r="G393" s="425"/>
      <c r="H393" s="425"/>
      <c r="I393" s="425"/>
      <c r="J393" s="425"/>
      <c r="K393" s="425"/>
      <c r="L393" s="426"/>
      <c r="M393" s="28"/>
      <c r="N393" s="64"/>
      <c r="O393" s="408" t="s">
        <v>43</v>
      </c>
      <c r="P393" s="409"/>
      <c r="Q393" s="409"/>
      <c r="R393" s="410"/>
      <c r="S393" s="65"/>
      <c r="T393" s="408" t="s">
        <v>44</v>
      </c>
      <c r="U393" s="409"/>
      <c r="V393" s="409"/>
      <c r="W393" s="409"/>
      <c r="X393" s="409"/>
      <c r="Y393" s="410"/>
      <c r="Z393" s="66"/>
      <c r="AA393" s="28"/>
    </row>
    <row r="394" spans="1:27" s="29" customFormat="1" ht="21" customHeight="1" x14ac:dyDescent="0.2">
      <c r="A394" s="30"/>
      <c r="C394" s="398" t="s">
        <v>85</v>
      </c>
      <c r="D394" s="398"/>
      <c r="E394" s="398"/>
      <c r="F394" s="398"/>
      <c r="G394" s="31" t="str">
        <f>$J$1</f>
        <v>April</v>
      </c>
      <c r="H394" s="397">
        <f>$K$1</f>
        <v>2023</v>
      </c>
      <c r="I394" s="397"/>
      <c r="K394" s="32"/>
      <c r="L394" s="33"/>
      <c r="M394" s="32"/>
      <c r="N394" s="67"/>
      <c r="O394" s="68" t="s">
        <v>54</v>
      </c>
      <c r="P394" s="68" t="s">
        <v>7</v>
      </c>
      <c r="Q394" s="68" t="s">
        <v>6</v>
      </c>
      <c r="R394" s="68" t="s">
        <v>55</v>
      </c>
      <c r="S394" s="69"/>
      <c r="T394" s="68" t="s">
        <v>54</v>
      </c>
      <c r="U394" s="68" t="s">
        <v>56</v>
      </c>
      <c r="V394" s="68" t="s">
        <v>21</v>
      </c>
      <c r="W394" s="68" t="s">
        <v>20</v>
      </c>
      <c r="X394" s="68" t="s">
        <v>22</v>
      </c>
      <c r="Y394" s="68" t="s">
        <v>60</v>
      </c>
      <c r="Z394" s="70"/>
      <c r="AA394" s="32"/>
    </row>
    <row r="395" spans="1:27" s="29" customFormat="1" ht="21" customHeight="1" x14ac:dyDescent="0.2">
      <c r="A395" s="30"/>
      <c r="D395" s="35"/>
      <c r="E395" s="35"/>
      <c r="F395" s="35"/>
      <c r="G395" s="35"/>
      <c r="H395" s="35"/>
      <c r="J395" s="36" t="s">
        <v>1</v>
      </c>
      <c r="K395" s="37">
        <v>20000</v>
      </c>
      <c r="L395" s="38"/>
      <c r="N395" s="71"/>
      <c r="O395" s="72" t="s">
        <v>46</v>
      </c>
      <c r="P395" s="72">
        <v>31</v>
      </c>
      <c r="Q395" s="72">
        <v>0</v>
      </c>
      <c r="R395" s="72">
        <f>15-Q395</f>
        <v>15</v>
      </c>
      <c r="S395" s="73"/>
      <c r="T395" s="72" t="s">
        <v>46</v>
      </c>
      <c r="U395" s="74">
        <v>14000</v>
      </c>
      <c r="V395" s="74"/>
      <c r="W395" s="74">
        <f>V395+U395</f>
        <v>14000</v>
      </c>
      <c r="X395" s="74">
        <v>2000</v>
      </c>
      <c r="Y395" s="74">
        <f>W395-X395</f>
        <v>12000</v>
      </c>
      <c r="Z395" s="70"/>
    </row>
    <row r="396" spans="1:27" s="29" customFormat="1" ht="21" customHeight="1" x14ac:dyDescent="0.2">
      <c r="A396" s="30"/>
      <c r="B396" s="29" t="s">
        <v>0</v>
      </c>
      <c r="C396" s="40" t="s">
        <v>78</v>
      </c>
      <c r="H396" s="41"/>
      <c r="I396" s="35"/>
      <c r="L396" s="42"/>
      <c r="M396" s="28"/>
      <c r="N396" s="75"/>
      <c r="O396" s="72" t="s">
        <v>72</v>
      </c>
      <c r="P396" s="72">
        <v>28</v>
      </c>
      <c r="Q396" s="72">
        <v>0</v>
      </c>
      <c r="R396" s="72">
        <f t="shared" ref="R396:R406" si="84">IF(Q396="","",R395-Q396)</f>
        <v>15</v>
      </c>
      <c r="S396" s="63"/>
      <c r="T396" s="72" t="s">
        <v>72</v>
      </c>
      <c r="U396" s="105">
        <f>IF($J$1="January","",Y395)</f>
        <v>12000</v>
      </c>
      <c r="V396" s="74"/>
      <c r="W396" s="105">
        <f>IF(U396="","",U396+V396)</f>
        <v>12000</v>
      </c>
      <c r="X396" s="74">
        <v>2000</v>
      </c>
      <c r="Y396" s="74">
        <f>W396-X396</f>
        <v>10000</v>
      </c>
      <c r="Z396" s="76"/>
      <c r="AA396" s="28"/>
    </row>
    <row r="397" spans="1:27" s="29" customFormat="1" ht="21" customHeight="1" x14ac:dyDescent="0.2">
      <c r="A397" s="30"/>
      <c r="B397" s="44" t="s">
        <v>42</v>
      </c>
      <c r="C397" s="45"/>
      <c r="F397" s="414" t="s">
        <v>44</v>
      </c>
      <c r="G397" s="414"/>
      <c r="I397" s="414" t="s">
        <v>45</v>
      </c>
      <c r="J397" s="414"/>
      <c r="K397" s="414"/>
      <c r="L397" s="46"/>
      <c r="N397" s="71"/>
      <c r="O397" s="72" t="s">
        <v>47</v>
      </c>
      <c r="P397" s="72">
        <v>29</v>
      </c>
      <c r="Q397" s="72">
        <v>2</v>
      </c>
      <c r="R397" s="72">
        <f t="shared" si="84"/>
        <v>13</v>
      </c>
      <c r="S397" s="63"/>
      <c r="T397" s="72" t="s">
        <v>47</v>
      </c>
      <c r="U397" s="105">
        <f>Y396</f>
        <v>10000</v>
      </c>
      <c r="V397" s="74"/>
      <c r="W397" s="105">
        <f t="shared" ref="W397:W406" si="85">IF(U397="","",U397+V397)</f>
        <v>10000</v>
      </c>
      <c r="X397" s="74">
        <v>2000</v>
      </c>
      <c r="Y397" s="105">
        <f t="shared" ref="Y397:Y406" si="86">IF(W397="","",W397-X397)</f>
        <v>8000</v>
      </c>
      <c r="Z397" s="76"/>
    </row>
    <row r="398" spans="1:27" s="29" customFormat="1" ht="21" customHeight="1" x14ac:dyDescent="0.2">
      <c r="A398" s="30"/>
      <c r="H398" s="47"/>
      <c r="L398" s="34"/>
      <c r="N398" s="71"/>
      <c r="O398" s="72" t="s">
        <v>48</v>
      </c>
      <c r="P398" s="72">
        <v>30</v>
      </c>
      <c r="Q398" s="72">
        <v>0</v>
      </c>
      <c r="R398" s="72">
        <f t="shared" si="84"/>
        <v>13</v>
      </c>
      <c r="S398" s="63"/>
      <c r="T398" s="72" t="s">
        <v>48</v>
      </c>
      <c r="U398" s="105">
        <f>IF($J$1="March","",Y397)</f>
        <v>8000</v>
      </c>
      <c r="V398" s="74"/>
      <c r="W398" s="105">
        <f t="shared" si="85"/>
        <v>8000</v>
      </c>
      <c r="X398" s="74">
        <v>2000</v>
      </c>
      <c r="Y398" s="105">
        <f t="shared" si="86"/>
        <v>6000</v>
      </c>
      <c r="Z398" s="76"/>
    </row>
    <row r="399" spans="1:27" s="29" customFormat="1" ht="21" customHeight="1" x14ac:dyDescent="0.2">
      <c r="A399" s="30"/>
      <c r="B399" s="392" t="s">
        <v>43</v>
      </c>
      <c r="C399" s="393"/>
      <c r="F399" s="48" t="s">
        <v>65</v>
      </c>
      <c r="G399" s="109">
        <f>IF($J$1="January",U395,IF($J$1="February",U396,IF($J$1="March",U397,IF($J$1="April",U398,IF($J$1="May",U399,IF($J$1="June",U400,IF($J$1="July",U401,IF($J$1="August",U402,IF($J$1="August",U402,IF($J$1="September",U403,IF($J$1="October",U404,IF($J$1="November",U405,IF($J$1="December",U406)))))))))))))</f>
        <v>8000</v>
      </c>
      <c r="H399" s="47"/>
      <c r="I399" s="49">
        <f>IF(C403&gt;0,$K$2,C401)</f>
        <v>30</v>
      </c>
      <c r="J399" s="50" t="s">
        <v>62</v>
      </c>
      <c r="K399" s="51">
        <f>K395/$K$2*I399</f>
        <v>20000</v>
      </c>
      <c r="L399" s="52"/>
      <c r="N399" s="71"/>
      <c r="O399" s="72" t="s">
        <v>49</v>
      </c>
      <c r="P399" s="72"/>
      <c r="Q399" s="72"/>
      <c r="R399" s="72" t="str">
        <f t="shared" si="84"/>
        <v/>
      </c>
      <c r="S399" s="63"/>
      <c r="T399" s="72" t="s">
        <v>49</v>
      </c>
      <c r="U399" s="105" t="str">
        <f>IF($J$1="April","",Y398)</f>
        <v/>
      </c>
      <c r="V399" s="74"/>
      <c r="W399" s="105" t="str">
        <f t="shared" si="85"/>
        <v/>
      </c>
      <c r="X399" s="74"/>
      <c r="Y399" s="105" t="str">
        <f t="shared" si="86"/>
        <v/>
      </c>
      <c r="Z399" s="76"/>
    </row>
    <row r="400" spans="1:27" s="29" customFormat="1" ht="21" customHeight="1" x14ac:dyDescent="0.2">
      <c r="A400" s="30"/>
      <c r="B400" s="39"/>
      <c r="C400" s="39"/>
      <c r="F400" s="48" t="s">
        <v>21</v>
      </c>
      <c r="G400" s="109">
        <f>IF($J$1="January",V395,IF($J$1="February",V396,IF($J$1="March",V397,IF($J$1="April",V398,IF($J$1="May",V399,IF($J$1="June",V400,IF($J$1="July",V401,IF($J$1="August",V402,IF($J$1="August",V402,IF($J$1="September",V403,IF($J$1="October",V404,IF($J$1="November",V405,IF($J$1="December",V406)))))))))))))</f>
        <v>0</v>
      </c>
      <c r="H400" s="47"/>
      <c r="I400" s="84">
        <v>8</v>
      </c>
      <c r="J400" s="50" t="s">
        <v>63</v>
      </c>
      <c r="K400" s="53">
        <f>K395/$K$2/8*I400</f>
        <v>666.66666666666663</v>
      </c>
      <c r="L400" s="54"/>
      <c r="N400" s="71"/>
      <c r="O400" s="72" t="s">
        <v>50</v>
      </c>
      <c r="P400" s="72"/>
      <c r="Q400" s="72"/>
      <c r="R400" s="72" t="str">
        <f t="shared" si="84"/>
        <v/>
      </c>
      <c r="S400" s="63"/>
      <c r="T400" s="72" t="s">
        <v>50</v>
      </c>
      <c r="U400" s="105"/>
      <c r="V400" s="74"/>
      <c r="W400" s="105" t="str">
        <f t="shared" si="85"/>
        <v/>
      </c>
      <c r="X400" s="74"/>
      <c r="Y400" s="105" t="str">
        <f t="shared" si="86"/>
        <v/>
      </c>
      <c r="Z400" s="76"/>
    </row>
    <row r="401" spans="1:27" s="29" customFormat="1" ht="21" customHeight="1" x14ac:dyDescent="0.2">
      <c r="A401" s="30"/>
      <c r="B401" s="48" t="s">
        <v>7</v>
      </c>
      <c r="C401" s="39">
        <f>IF($J$1="January",P395,IF($J$1="February",P396,IF($J$1="March",P397,IF($J$1="April",P398,IF($J$1="May",P399,IF($J$1="June",P400,IF($J$1="July",P401,IF($J$1="August",P402,IF($J$1="August",P402,IF($J$1="September",P403,IF($J$1="October",P404,IF($J$1="November",P405,IF($J$1="December",P406)))))))))))))</f>
        <v>30</v>
      </c>
      <c r="F401" s="48" t="s">
        <v>66</v>
      </c>
      <c r="G401" s="109">
        <f>IF($J$1="January",W395,IF($J$1="February",W396,IF($J$1="March",W397,IF($J$1="April",W398,IF($J$1="May",W399,IF($J$1="June",W400,IF($J$1="July",W401,IF($J$1="August",W402,IF($J$1="August",W402,IF($J$1="September",W403,IF($J$1="October",W404,IF($J$1="November",W405,IF($J$1="December",W406)))))))))))))</f>
        <v>8000</v>
      </c>
      <c r="H401" s="47"/>
      <c r="I401" s="405" t="s">
        <v>70</v>
      </c>
      <c r="J401" s="406"/>
      <c r="K401" s="53">
        <f>K399+K400</f>
        <v>20666.666666666668</v>
      </c>
      <c r="L401" s="54"/>
      <c r="N401" s="71"/>
      <c r="O401" s="72" t="s">
        <v>51</v>
      </c>
      <c r="P401" s="72"/>
      <c r="Q401" s="72"/>
      <c r="R401" s="72" t="str">
        <f t="shared" si="84"/>
        <v/>
      </c>
      <c r="S401" s="63"/>
      <c r="T401" s="72" t="s">
        <v>51</v>
      </c>
      <c r="U401" s="105"/>
      <c r="V401" s="74"/>
      <c r="W401" s="105" t="str">
        <f t="shared" si="85"/>
        <v/>
      </c>
      <c r="X401" s="74"/>
      <c r="Y401" s="105" t="str">
        <f t="shared" si="86"/>
        <v/>
      </c>
      <c r="Z401" s="76"/>
    </row>
    <row r="402" spans="1:27" s="29" customFormat="1" ht="21" customHeight="1" x14ac:dyDescent="0.2">
      <c r="A402" s="30"/>
      <c r="B402" s="48" t="s">
        <v>6</v>
      </c>
      <c r="C402" s="39">
        <f>IF($J$1="January",Q395,IF($J$1="February",Q396,IF($J$1="March",Q397,IF($J$1="April",Q398,IF($J$1="May",Q399,IF($J$1="June",Q400,IF($J$1="July",Q401,IF($J$1="August",Q402,IF($J$1="August",Q402,IF($J$1="September",Q403,IF($J$1="October",Q404,IF($J$1="November",Q405,IF($J$1="December",Q406)))))))))))))</f>
        <v>0</v>
      </c>
      <c r="F402" s="48" t="s">
        <v>22</v>
      </c>
      <c r="G402" s="109">
        <f>IF($J$1="January",X395,IF($J$1="February",X396,IF($J$1="March",X397,IF($J$1="April",X398,IF($J$1="May",X399,IF($J$1="June",X400,IF($J$1="July",X401,IF($J$1="August",X402,IF($J$1="August",X402,IF($J$1="September",X403,IF($J$1="October",X404,IF($J$1="November",X405,IF($J$1="December",X406)))))))))))))</f>
        <v>2000</v>
      </c>
      <c r="H402" s="47"/>
      <c r="I402" s="405" t="s">
        <v>71</v>
      </c>
      <c r="J402" s="406"/>
      <c r="K402" s="43">
        <f>G402</f>
        <v>2000</v>
      </c>
      <c r="L402" s="55"/>
      <c r="N402" s="71"/>
      <c r="O402" s="72" t="s">
        <v>52</v>
      </c>
      <c r="P402" s="72"/>
      <c r="Q402" s="72"/>
      <c r="R402" s="72" t="str">
        <f t="shared" si="84"/>
        <v/>
      </c>
      <c r="S402" s="63"/>
      <c r="T402" s="72" t="s">
        <v>52</v>
      </c>
      <c r="U402" s="105"/>
      <c r="V402" s="74"/>
      <c r="W402" s="105" t="str">
        <f t="shared" si="85"/>
        <v/>
      </c>
      <c r="X402" s="74"/>
      <c r="Y402" s="105" t="str">
        <f t="shared" si="86"/>
        <v/>
      </c>
      <c r="Z402" s="76"/>
    </row>
    <row r="403" spans="1:27" s="29" customFormat="1" ht="21" customHeight="1" x14ac:dyDescent="0.2">
      <c r="A403" s="30"/>
      <c r="B403" s="56" t="s">
        <v>69</v>
      </c>
      <c r="C403" s="39">
        <f>IF($J$1="January",R395,IF($J$1="February",R396,IF($J$1="March",R397,IF($J$1="April",R398,IF($J$1="May",R399,IF($J$1="June",R400,IF($J$1="July",R401,IF($J$1="August",R402,IF($J$1="August",R402,IF($J$1="September",R403,IF($J$1="October",R404,IF($J$1="November",R405,IF($J$1="December",R406)))))))))))))</f>
        <v>13</v>
      </c>
      <c r="F403" s="48" t="s">
        <v>68</v>
      </c>
      <c r="G403" s="109">
        <f>IF($J$1="January",Y395,IF($J$1="February",Y396,IF($J$1="March",Y397,IF($J$1="April",Y398,IF($J$1="May",Y399,IF($J$1="June",Y400,IF($J$1="July",Y401,IF($J$1="August",Y402,IF($J$1="August",Y402,IF($J$1="September",Y403,IF($J$1="October",Y404,IF($J$1="November",Y405,IF($J$1="December",Y406)))))))))))))</f>
        <v>6000</v>
      </c>
      <c r="I403" s="394" t="s">
        <v>64</v>
      </c>
      <c r="J403" s="396"/>
      <c r="K403" s="57">
        <f>K401-K402</f>
        <v>18666.666666666668</v>
      </c>
      <c r="L403" s="58"/>
      <c r="N403" s="71"/>
      <c r="O403" s="72" t="s">
        <v>57</v>
      </c>
      <c r="P403" s="72"/>
      <c r="Q403" s="72"/>
      <c r="R403" s="72" t="str">
        <f t="shared" si="84"/>
        <v/>
      </c>
      <c r="S403" s="63"/>
      <c r="T403" s="72" t="s">
        <v>57</v>
      </c>
      <c r="U403" s="105"/>
      <c r="V403" s="74"/>
      <c r="W403" s="105" t="str">
        <f t="shared" si="85"/>
        <v/>
      </c>
      <c r="X403" s="74"/>
      <c r="Y403" s="105" t="str">
        <f t="shared" si="86"/>
        <v/>
      </c>
      <c r="Z403" s="76"/>
    </row>
    <row r="404" spans="1:27" s="29" customFormat="1" ht="21" customHeight="1" x14ac:dyDescent="0.2">
      <c r="A404" s="30"/>
      <c r="L404" s="46"/>
      <c r="N404" s="71"/>
      <c r="O404" s="72" t="s">
        <v>53</v>
      </c>
      <c r="P404" s="72"/>
      <c r="Q404" s="72"/>
      <c r="R404" s="72" t="str">
        <f t="shared" si="84"/>
        <v/>
      </c>
      <c r="S404" s="63"/>
      <c r="T404" s="72" t="s">
        <v>53</v>
      </c>
      <c r="U404" s="105"/>
      <c r="V404" s="74"/>
      <c r="W404" s="105" t="str">
        <f t="shared" si="85"/>
        <v/>
      </c>
      <c r="X404" s="74"/>
      <c r="Y404" s="105" t="str">
        <f t="shared" si="86"/>
        <v/>
      </c>
      <c r="Z404" s="76"/>
    </row>
    <row r="405" spans="1:27" s="29" customFormat="1" ht="21" customHeight="1" x14ac:dyDescent="0.2">
      <c r="A405" s="30"/>
      <c r="B405" s="407" t="s">
        <v>87</v>
      </c>
      <c r="C405" s="407"/>
      <c r="D405" s="407"/>
      <c r="E405" s="407"/>
      <c r="F405" s="407"/>
      <c r="G405" s="407"/>
      <c r="H405" s="407"/>
      <c r="I405" s="407"/>
      <c r="J405" s="407"/>
      <c r="K405" s="407"/>
      <c r="L405" s="46"/>
      <c r="N405" s="71"/>
      <c r="O405" s="72" t="s">
        <v>58</v>
      </c>
      <c r="P405" s="72"/>
      <c r="Q405" s="72"/>
      <c r="R405" s="72" t="str">
        <f t="shared" si="84"/>
        <v/>
      </c>
      <c r="S405" s="63"/>
      <c r="T405" s="72" t="s">
        <v>58</v>
      </c>
      <c r="U405" s="105"/>
      <c r="V405" s="74"/>
      <c r="W405" s="105" t="str">
        <f t="shared" si="85"/>
        <v/>
      </c>
      <c r="X405" s="74"/>
      <c r="Y405" s="105" t="str">
        <f t="shared" si="86"/>
        <v/>
      </c>
      <c r="Z405" s="76"/>
    </row>
    <row r="406" spans="1:27" s="29" customFormat="1" ht="21" customHeight="1" x14ac:dyDescent="0.2">
      <c r="A406" s="30"/>
      <c r="B406" s="407"/>
      <c r="C406" s="407"/>
      <c r="D406" s="407"/>
      <c r="E406" s="407"/>
      <c r="F406" s="407"/>
      <c r="G406" s="407"/>
      <c r="H406" s="407"/>
      <c r="I406" s="407"/>
      <c r="J406" s="407"/>
      <c r="K406" s="407"/>
      <c r="L406" s="46"/>
      <c r="N406" s="71"/>
      <c r="O406" s="72" t="s">
        <v>59</v>
      </c>
      <c r="P406" s="72"/>
      <c r="Q406" s="72"/>
      <c r="R406" s="72" t="str">
        <f t="shared" si="84"/>
        <v/>
      </c>
      <c r="S406" s="63"/>
      <c r="T406" s="72" t="s">
        <v>59</v>
      </c>
      <c r="U406" s="105"/>
      <c r="V406" s="74"/>
      <c r="W406" s="105" t="str">
        <f t="shared" si="85"/>
        <v/>
      </c>
      <c r="X406" s="74"/>
      <c r="Y406" s="105" t="str">
        <f t="shared" si="86"/>
        <v/>
      </c>
      <c r="Z406" s="76"/>
    </row>
    <row r="407" spans="1:27" s="29" customFormat="1" ht="21" customHeight="1" thickBot="1" x14ac:dyDescent="0.25">
      <c r="A407" s="59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1"/>
      <c r="N407" s="77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9"/>
    </row>
    <row r="408" spans="1:27" s="29" customFormat="1" ht="21" customHeight="1" thickBot="1" x14ac:dyDescent="0.25"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 spans="1:27" s="29" customFormat="1" ht="21" customHeight="1" x14ac:dyDescent="0.2">
      <c r="A409" s="415" t="s">
        <v>41</v>
      </c>
      <c r="B409" s="416"/>
      <c r="C409" s="416"/>
      <c r="D409" s="416"/>
      <c r="E409" s="416"/>
      <c r="F409" s="416"/>
      <c r="G409" s="416"/>
      <c r="H409" s="416"/>
      <c r="I409" s="416"/>
      <c r="J409" s="416"/>
      <c r="K409" s="416"/>
      <c r="L409" s="417"/>
      <c r="M409" s="28"/>
      <c r="N409" s="64"/>
      <c r="O409" s="408" t="s">
        <v>43</v>
      </c>
      <c r="P409" s="409"/>
      <c r="Q409" s="409"/>
      <c r="R409" s="410"/>
      <c r="S409" s="65"/>
      <c r="T409" s="408" t="s">
        <v>44</v>
      </c>
      <c r="U409" s="409"/>
      <c r="V409" s="409"/>
      <c r="W409" s="409"/>
      <c r="X409" s="409"/>
      <c r="Y409" s="410"/>
      <c r="Z409" s="66"/>
      <c r="AA409" s="28"/>
    </row>
    <row r="410" spans="1:27" s="29" customFormat="1" ht="21" customHeight="1" x14ac:dyDescent="0.2">
      <c r="A410" s="30"/>
      <c r="C410" s="398" t="s">
        <v>85</v>
      </c>
      <c r="D410" s="398"/>
      <c r="E410" s="398"/>
      <c r="F410" s="398"/>
      <c r="G410" s="31" t="str">
        <f>$J$1</f>
        <v>April</v>
      </c>
      <c r="H410" s="397">
        <f>$K$1</f>
        <v>2023</v>
      </c>
      <c r="I410" s="397"/>
      <c r="K410" s="32"/>
      <c r="L410" s="33"/>
      <c r="M410" s="32"/>
      <c r="N410" s="67"/>
      <c r="O410" s="68" t="s">
        <v>54</v>
      </c>
      <c r="P410" s="68" t="s">
        <v>7</v>
      </c>
      <c r="Q410" s="68" t="s">
        <v>6</v>
      </c>
      <c r="R410" s="68" t="s">
        <v>55</v>
      </c>
      <c r="S410" s="69"/>
      <c r="T410" s="68" t="s">
        <v>54</v>
      </c>
      <c r="U410" s="68" t="s">
        <v>56</v>
      </c>
      <c r="V410" s="68" t="s">
        <v>21</v>
      </c>
      <c r="W410" s="68" t="s">
        <v>20</v>
      </c>
      <c r="X410" s="68" t="s">
        <v>22</v>
      </c>
      <c r="Y410" s="68" t="s">
        <v>60</v>
      </c>
      <c r="Z410" s="70"/>
      <c r="AA410" s="32"/>
    </row>
    <row r="411" spans="1:27" s="29" customFormat="1" ht="21" customHeight="1" x14ac:dyDescent="0.2">
      <c r="A411" s="30"/>
      <c r="D411" s="35"/>
      <c r="E411" s="35"/>
      <c r="F411" s="35"/>
      <c r="G411" s="35"/>
      <c r="H411" s="35"/>
      <c r="J411" s="36" t="s">
        <v>1</v>
      </c>
      <c r="K411" s="37">
        <v>25000</v>
      </c>
      <c r="L411" s="38"/>
      <c r="N411" s="71"/>
      <c r="O411" s="72" t="s">
        <v>46</v>
      </c>
      <c r="P411" s="72">
        <v>30</v>
      </c>
      <c r="Q411" s="72">
        <v>1</v>
      </c>
      <c r="R411" s="72">
        <f>15-Q411</f>
        <v>14</v>
      </c>
      <c r="S411" s="73"/>
      <c r="T411" s="72" t="s">
        <v>46</v>
      </c>
      <c r="U411" s="74">
        <v>8000</v>
      </c>
      <c r="V411" s="74">
        <v>1000</v>
      </c>
      <c r="W411" s="74">
        <f>V411+U411</f>
        <v>9000</v>
      </c>
      <c r="X411" s="74">
        <v>2500</v>
      </c>
      <c r="Y411" s="74">
        <f>W411-X411</f>
        <v>6500</v>
      </c>
      <c r="Z411" s="70"/>
    </row>
    <row r="412" spans="1:27" s="29" customFormat="1" ht="21" customHeight="1" x14ac:dyDescent="0.2">
      <c r="A412" s="30"/>
      <c r="B412" s="29" t="s">
        <v>0</v>
      </c>
      <c r="C412" s="40" t="s">
        <v>112</v>
      </c>
      <c r="H412" s="41"/>
      <c r="I412" s="35"/>
      <c r="L412" s="42"/>
      <c r="M412" s="28"/>
      <c r="N412" s="75"/>
      <c r="O412" s="72" t="s">
        <v>72</v>
      </c>
      <c r="P412" s="72">
        <v>28</v>
      </c>
      <c r="Q412" s="72">
        <v>0</v>
      </c>
      <c r="R412" s="72">
        <f t="shared" ref="R412:R422" si="87">IF(Q412="","",R411-Q412)</f>
        <v>14</v>
      </c>
      <c r="S412" s="63"/>
      <c r="T412" s="72" t="s">
        <v>72</v>
      </c>
      <c r="U412" s="105">
        <f>IF($J$1="January","",Y411)</f>
        <v>6500</v>
      </c>
      <c r="V412" s="74">
        <v>1000</v>
      </c>
      <c r="W412" s="105">
        <f>IF(U412="","",U412+V412)</f>
        <v>7500</v>
      </c>
      <c r="X412" s="74">
        <v>2500</v>
      </c>
      <c r="Y412" s="105">
        <f>IF(W412="","",W412-X412)</f>
        <v>5000</v>
      </c>
      <c r="Z412" s="76"/>
      <c r="AA412" s="28"/>
    </row>
    <row r="413" spans="1:27" s="29" customFormat="1" ht="21" customHeight="1" x14ac:dyDescent="0.2">
      <c r="A413" s="30"/>
      <c r="B413" s="44" t="s">
        <v>42</v>
      </c>
      <c r="C413" s="45"/>
      <c r="F413" s="414" t="s">
        <v>44</v>
      </c>
      <c r="G413" s="414"/>
      <c r="I413" s="414" t="s">
        <v>45</v>
      </c>
      <c r="J413" s="414"/>
      <c r="K413" s="414"/>
      <c r="L413" s="46"/>
      <c r="N413" s="71"/>
      <c r="O413" s="72" t="s">
        <v>47</v>
      </c>
      <c r="P413" s="72">
        <v>30</v>
      </c>
      <c r="Q413" s="72">
        <v>1</v>
      </c>
      <c r="R413" s="72">
        <f t="shared" si="87"/>
        <v>13</v>
      </c>
      <c r="S413" s="63"/>
      <c r="T413" s="72" t="s">
        <v>47</v>
      </c>
      <c r="U413" s="105">
        <f>IF($J$1="February","",Y412)</f>
        <v>5000</v>
      </c>
      <c r="V413" s="74">
        <v>1000</v>
      </c>
      <c r="W413" s="105">
        <f t="shared" ref="W413:W422" si="88">IF(U413="","",U413+V413)</f>
        <v>6000</v>
      </c>
      <c r="X413" s="74">
        <v>2500</v>
      </c>
      <c r="Y413" s="105">
        <f t="shared" ref="Y413:Y422" si="89">IF(W413="","",W413-X413)</f>
        <v>3500</v>
      </c>
      <c r="Z413" s="76"/>
    </row>
    <row r="414" spans="1:27" s="29" customFormat="1" ht="21" customHeight="1" x14ac:dyDescent="0.2">
      <c r="A414" s="30"/>
      <c r="H414" s="47"/>
      <c r="L414" s="34"/>
      <c r="N414" s="71"/>
      <c r="O414" s="72" t="s">
        <v>48</v>
      </c>
      <c r="P414" s="72">
        <v>30</v>
      </c>
      <c r="Q414" s="72">
        <v>0</v>
      </c>
      <c r="R414" s="72">
        <f t="shared" si="87"/>
        <v>13</v>
      </c>
      <c r="S414" s="63"/>
      <c r="T414" s="72" t="s">
        <v>48</v>
      </c>
      <c r="U414" s="105">
        <f>IF($J$1="March","",Y413)</f>
        <v>3500</v>
      </c>
      <c r="V414" s="74"/>
      <c r="W414" s="105">
        <f t="shared" si="88"/>
        <v>3500</v>
      </c>
      <c r="X414" s="74">
        <v>2500</v>
      </c>
      <c r="Y414" s="105">
        <f t="shared" si="89"/>
        <v>1000</v>
      </c>
      <c r="Z414" s="76"/>
    </row>
    <row r="415" spans="1:27" s="29" customFormat="1" ht="21" customHeight="1" x14ac:dyDescent="0.2">
      <c r="A415" s="30"/>
      <c r="B415" s="392" t="s">
        <v>43</v>
      </c>
      <c r="C415" s="393"/>
      <c r="F415" s="48" t="s">
        <v>65</v>
      </c>
      <c r="G415" s="109">
        <f>IF($J$1="January",U411,IF($J$1="February",U412,IF($J$1="March",U413,IF($J$1="April",U414,IF($J$1="May",U415,IF($J$1="June",U416,IF($J$1="July",U417,IF($J$1="August",U418,IF($J$1="August",U418,IF($J$1="September",U419,IF($J$1="October",U420,IF($J$1="November",U421,IF($J$1="December",U422)))))))))))))</f>
        <v>3500</v>
      </c>
      <c r="H415" s="47"/>
      <c r="I415" s="49">
        <f>IF(C419&gt;0,$K$2,C417)</f>
        <v>30</v>
      </c>
      <c r="J415" s="50" t="s">
        <v>62</v>
      </c>
      <c r="K415" s="51">
        <f>K411/$K$2*I415</f>
        <v>25000</v>
      </c>
      <c r="L415" s="52"/>
      <c r="N415" s="71"/>
      <c r="O415" s="72" t="s">
        <v>49</v>
      </c>
      <c r="P415" s="72"/>
      <c r="Q415" s="72"/>
      <c r="R415" s="72" t="str">
        <f t="shared" si="87"/>
        <v/>
      </c>
      <c r="S415" s="63"/>
      <c r="T415" s="72" t="s">
        <v>49</v>
      </c>
      <c r="U415" s="105" t="str">
        <f>IF($J$1="April","",Y414)</f>
        <v/>
      </c>
      <c r="V415" s="74"/>
      <c r="W415" s="105" t="str">
        <f t="shared" si="88"/>
        <v/>
      </c>
      <c r="X415" s="74"/>
      <c r="Y415" s="105" t="str">
        <f t="shared" si="89"/>
        <v/>
      </c>
      <c r="Z415" s="76"/>
    </row>
    <row r="416" spans="1:27" s="29" customFormat="1" ht="21" customHeight="1" x14ac:dyDescent="0.2">
      <c r="A416" s="30"/>
      <c r="B416" s="39"/>
      <c r="C416" s="39"/>
      <c r="F416" s="48" t="s">
        <v>21</v>
      </c>
      <c r="G416" s="109">
        <f>IF($J$1="January",V411,IF($J$1="February",V412,IF($J$1="March",V413,IF($J$1="April",V414,IF($J$1="May",V415,IF($J$1="June",V416,IF($J$1="July",V417,IF($J$1="August",V418,IF($J$1="August",V418,IF($J$1="September",V419,IF($J$1="October",V420,IF($J$1="November",V421,IF($J$1="December",V422)))))))))))))</f>
        <v>0</v>
      </c>
      <c r="H416" s="47"/>
      <c r="I416" s="84">
        <v>61</v>
      </c>
      <c r="J416" s="50" t="s">
        <v>63</v>
      </c>
      <c r="K416" s="43">
        <f>K411/$K$2/8*I416</f>
        <v>6354.166666666667</v>
      </c>
      <c r="L416" s="54"/>
      <c r="N416" s="71"/>
      <c r="O416" s="72" t="s">
        <v>50</v>
      </c>
      <c r="P416" s="72"/>
      <c r="Q416" s="72"/>
      <c r="R416" s="72" t="str">
        <f t="shared" si="87"/>
        <v/>
      </c>
      <c r="S416" s="63"/>
      <c r="T416" s="72" t="s">
        <v>50</v>
      </c>
      <c r="U416" s="105" t="str">
        <f>Y415</f>
        <v/>
      </c>
      <c r="V416" s="74"/>
      <c r="W416" s="105" t="str">
        <f t="shared" si="88"/>
        <v/>
      </c>
      <c r="X416" s="74"/>
      <c r="Y416" s="105" t="str">
        <f t="shared" si="89"/>
        <v/>
      </c>
      <c r="Z416" s="76"/>
    </row>
    <row r="417" spans="1:26" s="29" customFormat="1" ht="21" customHeight="1" x14ac:dyDescent="0.2">
      <c r="A417" s="30"/>
      <c r="B417" s="48" t="s">
        <v>7</v>
      </c>
      <c r="C417" s="39">
        <f>IF($J$1="January",P411,IF($J$1="February",P412,IF($J$1="March",P413,IF($J$1="April",P414,IF($J$1="May",P415,IF($J$1="June",P416,IF($J$1="July",P417,IF($J$1="August",P418,IF($J$1="August",P418,IF($J$1="September",P419,IF($J$1="October",P420,IF($J$1="November",P421,IF($J$1="December",P422)))))))))))))</f>
        <v>30</v>
      </c>
      <c r="F417" s="48" t="s">
        <v>66</v>
      </c>
      <c r="G417" s="109">
        <f>IF($J$1="January",W411,IF($J$1="February",W412,IF($J$1="March",W413,IF($J$1="April",W414,IF($J$1="May",W415,IF($J$1="June",W416,IF($J$1="July",W417,IF($J$1="August",W418,IF($J$1="August",W418,IF($J$1="September",W419,IF($J$1="October",W420,IF($J$1="November",W421,IF($J$1="December",W422)))))))))))))</f>
        <v>3500</v>
      </c>
      <c r="H417" s="47"/>
      <c r="I417" s="405" t="s">
        <v>70</v>
      </c>
      <c r="J417" s="406"/>
      <c r="K417" s="53">
        <f>K415+K416</f>
        <v>31354.166666666668</v>
      </c>
      <c r="L417" s="54"/>
      <c r="N417" s="71"/>
      <c r="O417" s="72" t="s">
        <v>51</v>
      </c>
      <c r="P417" s="72"/>
      <c r="Q417" s="72"/>
      <c r="R417" s="72" t="str">
        <f t="shared" si="87"/>
        <v/>
      </c>
      <c r="S417" s="63"/>
      <c r="T417" s="72" t="s">
        <v>51</v>
      </c>
      <c r="U417" s="105" t="str">
        <f>Y416</f>
        <v/>
      </c>
      <c r="V417" s="74"/>
      <c r="W417" s="105" t="str">
        <f t="shared" si="88"/>
        <v/>
      </c>
      <c r="X417" s="74"/>
      <c r="Y417" s="105" t="str">
        <f t="shared" si="89"/>
        <v/>
      </c>
      <c r="Z417" s="76"/>
    </row>
    <row r="418" spans="1:26" s="29" customFormat="1" ht="21" customHeight="1" x14ac:dyDescent="0.2">
      <c r="A418" s="30"/>
      <c r="B418" s="48" t="s">
        <v>6</v>
      </c>
      <c r="C418" s="39">
        <f>IF($J$1="January",Q411,IF($J$1="February",Q412,IF($J$1="March",Q413,IF($J$1="April",Q414,IF($J$1="May",Q415,IF($J$1="June",Q416,IF($J$1="July",Q417,IF($J$1="August",Q418,IF($J$1="August",Q418,IF($J$1="September",Q419,IF($J$1="October",Q420,IF($J$1="November",Q421,IF($J$1="December",Q422)))))))))))))</f>
        <v>0</v>
      </c>
      <c r="F418" s="48" t="s">
        <v>22</v>
      </c>
      <c r="G418" s="109">
        <f>IF($J$1="January",X411,IF($J$1="February",X412,IF($J$1="March",X413,IF($J$1="April",X414,IF($J$1="May",X415,IF($J$1="June",X416,IF($J$1="July",X417,IF($J$1="August",X418,IF($J$1="August",X418,IF($J$1="September",X419,IF($J$1="October",X420,IF($J$1="November",X421,IF($J$1="December",X422)))))))))))))</f>
        <v>2500</v>
      </c>
      <c r="H418" s="47"/>
      <c r="I418" s="405" t="s">
        <v>71</v>
      </c>
      <c r="J418" s="406"/>
      <c r="K418" s="43">
        <f>G418</f>
        <v>2500</v>
      </c>
      <c r="L418" s="55"/>
      <c r="N418" s="71"/>
      <c r="O418" s="72" t="s">
        <v>52</v>
      </c>
      <c r="P418" s="72"/>
      <c r="Q418" s="72"/>
      <c r="R418" s="72" t="str">
        <f t="shared" si="87"/>
        <v/>
      </c>
      <c r="S418" s="63"/>
      <c r="T418" s="72" t="s">
        <v>52</v>
      </c>
      <c r="U418" s="105" t="str">
        <f>Y417</f>
        <v/>
      </c>
      <c r="V418" s="74"/>
      <c r="W418" s="105" t="str">
        <f t="shared" si="88"/>
        <v/>
      </c>
      <c r="X418" s="74"/>
      <c r="Y418" s="105" t="str">
        <f t="shared" si="89"/>
        <v/>
      </c>
      <c r="Z418" s="76"/>
    </row>
    <row r="419" spans="1:26" s="29" customFormat="1" ht="21" customHeight="1" x14ac:dyDescent="0.2">
      <c r="A419" s="30"/>
      <c r="B419" s="56" t="s">
        <v>69</v>
      </c>
      <c r="C419" s="39">
        <f>IF($J$1="January",R411,IF($J$1="February",R412,IF($J$1="March",R413,IF($J$1="April",R414,IF($J$1="May",R415,IF($J$1="June",R416,IF($J$1="July",R417,IF($J$1="August",R418,IF($J$1="August",R418,IF($J$1="September",R419,IF($J$1="October",R420,IF($J$1="November",R421,IF($J$1="December",R422)))))))))))))</f>
        <v>13</v>
      </c>
      <c r="F419" s="48" t="s">
        <v>68</v>
      </c>
      <c r="G419" s="109">
        <f>IF($J$1="January",Y411,IF($J$1="February",Y412,IF($J$1="March",Y413,IF($J$1="April",Y414,IF($J$1="May",Y415,IF($J$1="June",Y416,IF($J$1="July",Y417,IF($J$1="August",Y418,IF($J$1="August",Y418,IF($J$1="September",Y419,IF($J$1="October",Y420,IF($J$1="November",Y421,IF($J$1="December",Y422)))))))))))))</f>
        <v>1000</v>
      </c>
      <c r="I419" s="394" t="s">
        <v>64</v>
      </c>
      <c r="J419" s="396"/>
      <c r="K419" s="57">
        <f>K417-K418</f>
        <v>28854.166666666668</v>
      </c>
      <c r="L419" s="58"/>
      <c r="N419" s="71"/>
      <c r="O419" s="72" t="s">
        <v>57</v>
      </c>
      <c r="P419" s="72"/>
      <c r="Q419" s="72"/>
      <c r="R419" s="72" t="str">
        <f t="shared" si="87"/>
        <v/>
      </c>
      <c r="S419" s="63"/>
      <c r="T419" s="72" t="s">
        <v>57</v>
      </c>
      <c r="U419" s="105" t="str">
        <f>Y418</f>
        <v/>
      </c>
      <c r="V419" s="74"/>
      <c r="W419" s="105" t="str">
        <f t="shared" si="88"/>
        <v/>
      </c>
      <c r="X419" s="74"/>
      <c r="Y419" s="105" t="str">
        <f t="shared" si="89"/>
        <v/>
      </c>
      <c r="Z419" s="76"/>
    </row>
    <row r="420" spans="1:26" s="29" customFormat="1" ht="21" customHeight="1" x14ac:dyDescent="0.2">
      <c r="A420" s="30"/>
      <c r="K420" s="107"/>
      <c r="L420" s="46"/>
      <c r="N420" s="71"/>
      <c r="O420" s="72" t="s">
        <v>53</v>
      </c>
      <c r="P420" s="72"/>
      <c r="Q420" s="72"/>
      <c r="R420" s="72" t="str">
        <f t="shared" si="87"/>
        <v/>
      </c>
      <c r="S420" s="63"/>
      <c r="T420" s="72" t="s">
        <v>53</v>
      </c>
      <c r="U420" s="105" t="str">
        <f>IF($J$1="September","",Y419)</f>
        <v/>
      </c>
      <c r="V420" s="74"/>
      <c r="W420" s="105" t="str">
        <f t="shared" si="88"/>
        <v/>
      </c>
      <c r="X420" s="74"/>
      <c r="Y420" s="105" t="str">
        <f t="shared" si="89"/>
        <v/>
      </c>
      <c r="Z420" s="76"/>
    </row>
    <row r="421" spans="1:26" s="29" customFormat="1" ht="21" customHeight="1" x14ac:dyDescent="0.2">
      <c r="A421" s="30"/>
      <c r="B421" s="407" t="s">
        <v>87</v>
      </c>
      <c r="C421" s="407"/>
      <c r="D421" s="407"/>
      <c r="E421" s="407"/>
      <c r="F421" s="407"/>
      <c r="G421" s="407"/>
      <c r="H421" s="407"/>
      <c r="I421" s="407"/>
      <c r="J421" s="407"/>
      <c r="K421" s="407"/>
      <c r="L421" s="46"/>
      <c r="N421" s="71"/>
      <c r="O421" s="72" t="s">
        <v>58</v>
      </c>
      <c r="P421" s="72"/>
      <c r="Q421" s="72"/>
      <c r="R421" s="72" t="str">
        <f t="shared" si="87"/>
        <v/>
      </c>
      <c r="S421" s="63"/>
      <c r="T421" s="72" t="s">
        <v>58</v>
      </c>
      <c r="U421" s="105" t="str">
        <f>IF($J$1="October","",Y420)</f>
        <v/>
      </c>
      <c r="V421" s="74"/>
      <c r="W421" s="105" t="str">
        <f t="shared" si="88"/>
        <v/>
      </c>
      <c r="X421" s="74"/>
      <c r="Y421" s="105" t="str">
        <f t="shared" si="89"/>
        <v/>
      </c>
      <c r="Z421" s="76"/>
    </row>
    <row r="422" spans="1:26" s="29" customFormat="1" ht="21" customHeight="1" x14ac:dyDescent="0.2">
      <c r="A422" s="30"/>
      <c r="B422" s="407"/>
      <c r="C422" s="407"/>
      <c r="D422" s="407"/>
      <c r="E422" s="407"/>
      <c r="F422" s="407"/>
      <c r="G422" s="407"/>
      <c r="H422" s="407"/>
      <c r="I422" s="407"/>
      <c r="J422" s="407"/>
      <c r="K422" s="407"/>
      <c r="L422" s="46"/>
      <c r="N422" s="71"/>
      <c r="O422" s="72" t="s">
        <v>59</v>
      </c>
      <c r="P422" s="72"/>
      <c r="Q422" s="72"/>
      <c r="R422" s="72" t="str">
        <f t="shared" si="87"/>
        <v/>
      </c>
      <c r="S422" s="63"/>
      <c r="T422" s="72" t="s">
        <v>59</v>
      </c>
      <c r="U422" s="105" t="str">
        <f>IF($J$1="November","",Y421)</f>
        <v/>
      </c>
      <c r="V422" s="74"/>
      <c r="W422" s="105" t="str">
        <f t="shared" si="88"/>
        <v/>
      </c>
      <c r="X422" s="74"/>
      <c r="Y422" s="105" t="str">
        <f t="shared" si="89"/>
        <v/>
      </c>
      <c r="Z422" s="76"/>
    </row>
    <row r="423" spans="1:26" s="29" customFormat="1" ht="21" customHeight="1" thickBot="1" x14ac:dyDescent="0.25">
      <c r="A423" s="59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1"/>
      <c r="N423" s="77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9"/>
    </row>
    <row r="424" spans="1:26" s="29" customFormat="1" ht="21.4" customHeight="1" thickBot="1" x14ac:dyDescent="0.25"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 spans="1:26" s="29" customFormat="1" ht="21.4" customHeight="1" x14ac:dyDescent="0.2">
      <c r="A425" s="411" t="s">
        <v>41</v>
      </c>
      <c r="B425" s="412"/>
      <c r="C425" s="412"/>
      <c r="D425" s="412"/>
      <c r="E425" s="412"/>
      <c r="F425" s="412"/>
      <c r="G425" s="412"/>
      <c r="H425" s="412"/>
      <c r="I425" s="412"/>
      <c r="J425" s="412"/>
      <c r="K425" s="412"/>
      <c r="L425" s="413"/>
      <c r="M425" s="28"/>
      <c r="N425" s="64"/>
      <c r="O425" s="408" t="s">
        <v>43</v>
      </c>
      <c r="P425" s="409"/>
      <c r="Q425" s="409"/>
      <c r="R425" s="410"/>
      <c r="S425" s="65"/>
      <c r="T425" s="408" t="s">
        <v>44</v>
      </c>
      <c r="U425" s="409"/>
      <c r="V425" s="409"/>
      <c r="W425" s="409"/>
      <c r="X425" s="409"/>
      <c r="Y425" s="410"/>
      <c r="Z425" s="66"/>
    </row>
    <row r="426" spans="1:26" s="29" customFormat="1" ht="21.4" customHeight="1" x14ac:dyDescent="0.2">
      <c r="A426" s="30"/>
      <c r="C426" s="398" t="s">
        <v>85</v>
      </c>
      <c r="D426" s="398"/>
      <c r="E426" s="398"/>
      <c r="F426" s="398"/>
      <c r="G426" s="31" t="str">
        <f>$J$1</f>
        <v>April</v>
      </c>
      <c r="H426" s="397">
        <f>$K$1</f>
        <v>2023</v>
      </c>
      <c r="I426" s="397"/>
      <c r="K426" s="32"/>
      <c r="L426" s="33"/>
      <c r="M426" s="32"/>
      <c r="N426" s="67"/>
      <c r="O426" s="68" t="s">
        <v>54</v>
      </c>
      <c r="P426" s="68" t="s">
        <v>7</v>
      </c>
      <c r="Q426" s="68" t="s">
        <v>6</v>
      </c>
      <c r="R426" s="68" t="s">
        <v>55</v>
      </c>
      <c r="S426" s="69"/>
      <c r="T426" s="68" t="s">
        <v>54</v>
      </c>
      <c r="U426" s="68" t="s">
        <v>56</v>
      </c>
      <c r="V426" s="68" t="s">
        <v>21</v>
      </c>
      <c r="W426" s="68" t="s">
        <v>20</v>
      </c>
      <c r="X426" s="68" t="s">
        <v>22</v>
      </c>
      <c r="Y426" s="68" t="s">
        <v>60</v>
      </c>
      <c r="Z426" s="70"/>
    </row>
    <row r="427" spans="1:26" s="29" customFormat="1" ht="21.4" customHeight="1" x14ac:dyDescent="0.2">
      <c r="A427" s="30"/>
      <c r="D427" s="35"/>
      <c r="E427" s="35"/>
      <c r="F427" s="35"/>
      <c r="G427" s="35"/>
      <c r="H427" s="35"/>
      <c r="J427" s="36" t="s">
        <v>1</v>
      </c>
      <c r="K427" s="37">
        <v>25000</v>
      </c>
      <c r="L427" s="38"/>
      <c r="N427" s="71"/>
      <c r="O427" s="72" t="s">
        <v>46</v>
      </c>
      <c r="P427" s="72"/>
      <c r="Q427" s="72"/>
      <c r="R427" s="72"/>
      <c r="S427" s="73"/>
      <c r="T427" s="72" t="s">
        <v>46</v>
      </c>
      <c r="U427" s="74"/>
      <c r="V427" s="74"/>
      <c r="W427" s="74">
        <f>V427+U427</f>
        <v>0</v>
      </c>
      <c r="X427" s="74"/>
      <c r="Y427" s="74">
        <f>W427-X427</f>
        <v>0</v>
      </c>
      <c r="Z427" s="70"/>
    </row>
    <row r="428" spans="1:26" s="29" customFormat="1" ht="21.4" customHeight="1" x14ac:dyDescent="0.2">
      <c r="A428" s="30"/>
      <c r="B428" s="29" t="s">
        <v>0</v>
      </c>
      <c r="C428" s="40" t="s">
        <v>229</v>
      </c>
      <c r="H428" s="41"/>
      <c r="I428" s="35"/>
      <c r="L428" s="42"/>
      <c r="M428" s="28"/>
      <c r="N428" s="75"/>
      <c r="O428" s="72" t="s">
        <v>72</v>
      </c>
      <c r="P428" s="72"/>
      <c r="Q428" s="72"/>
      <c r="R428" s="72" t="str">
        <f>IF(Q428="","",R427-Q428)</f>
        <v/>
      </c>
      <c r="S428" s="63"/>
      <c r="T428" s="72" t="s">
        <v>72</v>
      </c>
      <c r="U428" s="105"/>
      <c r="V428" s="74"/>
      <c r="W428" s="105" t="str">
        <f>IF(U428="","",U428+V428)</f>
        <v/>
      </c>
      <c r="X428" s="74"/>
      <c r="Y428" s="105" t="str">
        <f>IF(W428="","",W428-X428)</f>
        <v/>
      </c>
      <c r="Z428" s="76"/>
    </row>
    <row r="429" spans="1:26" s="29" customFormat="1" ht="21.4" customHeight="1" x14ac:dyDescent="0.2">
      <c r="A429" s="30"/>
      <c r="B429" s="44" t="s">
        <v>42</v>
      </c>
      <c r="C429" s="40"/>
      <c r="F429" s="414" t="s">
        <v>44</v>
      </c>
      <c r="G429" s="414"/>
      <c r="I429" s="414" t="s">
        <v>45</v>
      </c>
      <c r="J429" s="414"/>
      <c r="K429" s="414"/>
      <c r="L429" s="46"/>
      <c r="N429" s="71"/>
      <c r="O429" s="72" t="s">
        <v>47</v>
      </c>
      <c r="P429" s="72"/>
      <c r="Q429" s="72"/>
      <c r="R429" s="72" t="str">
        <f t="shared" ref="R429:R435" si="90">IF(Q429="","",R428-Q429)</f>
        <v/>
      </c>
      <c r="S429" s="63"/>
      <c r="T429" s="72" t="s">
        <v>47</v>
      </c>
      <c r="U429" s="105"/>
      <c r="V429" s="74"/>
      <c r="W429" s="105" t="str">
        <f t="shared" ref="W429:W438" si="91">IF(U429="","",U429+V429)</f>
        <v/>
      </c>
      <c r="X429" s="74"/>
      <c r="Y429" s="105" t="str">
        <f t="shared" ref="Y429:Y438" si="92">IF(W429="","",W429-X429)</f>
        <v/>
      </c>
      <c r="Z429" s="76"/>
    </row>
    <row r="430" spans="1:26" s="29" customFormat="1" ht="21.4" customHeight="1" x14ac:dyDescent="0.2">
      <c r="A430" s="30"/>
      <c r="H430" s="47"/>
      <c r="L430" s="34"/>
      <c r="N430" s="71"/>
      <c r="O430" s="72" t="s">
        <v>48</v>
      </c>
      <c r="P430" s="72"/>
      <c r="Q430" s="72"/>
      <c r="R430" s="72" t="str">
        <f t="shared" si="90"/>
        <v/>
      </c>
      <c r="S430" s="63"/>
      <c r="T430" s="72" t="s">
        <v>48</v>
      </c>
      <c r="U430" s="105"/>
      <c r="V430" s="74"/>
      <c r="W430" s="105" t="str">
        <f t="shared" si="91"/>
        <v/>
      </c>
      <c r="X430" s="74"/>
      <c r="Y430" s="105" t="str">
        <f t="shared" si="92"/>
        <v/>
      </c>
      <c r="Z430" s="76"/>
    </row>
    <row r="431" spans="1:26" s="29" customFormat="1" ht="21.4" customHeight="1" x14ac:dyDescent="0.2">
      <c r="A431" s="30"/>
      <c r="B431" s="392" t="s">
        <v>43</v>
      </c>
      <c r="C431" s="393"/>
      <c r="F431" s="48" t="s">
        <v>65</v>
      </c>
      <c r="G431" s="43">
        <f>IF($J$1="January",U427,IF($J$1="February",U428,IF($J$1="March",U429,IF($J$1="April",U430,IF($J$1="May",U431,IF($J$1="June",U432,IF($J$1="July",U433,IF($J$1="August",U434,IF($J$1="August",U434,IF($J$1="September",U435,IF($J$1="October",U436,IF($J$1="November",U437,IF($J$1="December",U438)))))))))))))</f>
        <v>0</v>
      </c>
      <c r="H431" s="47"/>
      <c r="I431" s="352">
        <v>13</v>
      </c>
      <c r="J431" s="50" t="s">
        <v>62</v>
      </c>
      <c r="K431" s="51">
        <f>K427/$K$2*I431</f>
        <v>10833.333333333334</v>
      </c>
      <c r="L431" s="52"/>
      <c r="N431" s="71"/>
      <c r="O431" s="72" t="s">
        <v>49</v>
      </c>
      <c r="P431" s="72"/>
      <c r="Q431" s="72"/>
      <c r="R431" s="72" t="str">
        <f t="shared" si="90"/>
        <v/>
      </c>
      <c r="S431" s="63"/>
      <c r="T431" s="72" t="s">
        <v>49</v>
      </c>
      <c r="U431" s="105"/>
      <c r="V431" s="74"/>
      <c r="W431" s="105" t="str">
        <f t="shared" si="91"/>
        <v/>
      </c>
      <c r="X431" s="74"/>
      <c r="Y431" s="105" t="str">
        <f t="shared" si="92"/>
        <v/>
      </c>
      <c r="Z431" s="76"/>
    </row>
    <row r="432" spans="1:26" s="29" customFormat="1" ht="21.4" customHeight="1" x14ac:dyDescent="0.2">
      <c r="A432" s="30"/>
      <c r="B432" s="39"/>
      <c r="C432" s="39"/>
      <c r="F432" s="48" t="s">
        <v>21</v>
      </c>
      <c r="G432" s="43">
        <f>IF($J$1="January",V427,IF($J$1="February",V428,IF($J$1="March",V429,IF($J$1="April",V430,IF($J$1="May",V431,IF($J$1="June",V432,IF($J$1="July",V433,IF($J$1="August",V434,IF($J$1="August",V434,IF($J$1="September",V435,IF($J$1="October",V436,IF($J$1="November",V437,IF($J$1="December",V438)))))))))))))</f>
        <v>0</v>
      </c>
      <c r="H432" s="47"/>
      <c r="I432" s="84">
        <v>8</v>
      </c>
      <c r="J432" s="50" t="s">
        <v>63</v>
      </c>
      <c r="K432" s="53">
        <f>K427/$K$2/8*I432</f>
        <v>833.33333333333337</v>
      </c>
      <c r="L432" s="54"/>
      <c r="N432" s="71"/>
      <c r="O432" s="72" t="s">
        <v>50</v>
      </c>
      <c r="P432" s="72"/>
      <c r="Q432" s="72"/>
      <c r="R432" s="72" t="str">
        <f t="shared" si="90"/>
        <v/>
      </c>
      <c r="S432" s="63"/>
      <c r="T432" s="72" t="s">
        <v>50</v>
      </c>
      <c r="U432" s="105" t="str">
        <f>Y431</f>
        <v/>
      </c>
      <c r="V432" s="74"/>
      <c r="W432" s="105" t="str">
        <f t="shared" si="91"/>
        <v/>
      </c>
      <c r="X432" s="74"/>
      <c r="Y432" s="105" t="str">
        <f t="shared" si="92"/>
        <v/>
      </c>
      <c r="Z432" s="76"/>
    </row>
    <row r="433" spans="1:29" s="29" customFormat="1" ht="21.4" customHeight="1" x14ac:dyDescent="0.2">
      <c r="A433" s="30"/>
      <c r="B433" s="48" t="s">
        <v>7</v>
      </c>
      <c r="C433" s="39">
        <f>IF($J$1="January",P427,IF($J$1="February",P428,IF($J$1="March",P429,IF($J$1="April",P430,IF($J$1="May",P431,IF($J$1="June",P432,IF($J$1="July",P433,IF($J$1="August",P434,IF($J$1="August",P434,IF($J$1="September",P435,IF($J$1="October",P436,IF($J$1="November",P437,IF($J$1="December",P438)))))))))))))</f>
        <v>0</v>
      </c>
      <c r="F433" s="48" t="s">
        <v>66</v>
      </c>
      <c r="G433" s="43" t="str">
        <f>IF($J$1="January",W427,IF($J$1="February",W428,IF($J$1="March",W429,IF($J$1="April",W430,IF($J$1="May",W431,IF($J$1="June",W432,IF($J$1="July",W433,IF($J$1="August",W434,IF($J$1="August",W434,IF($J$1="September",W435,IF($J$1="October",W436,IF($J$1="November",W437,IF($J$1="December",W438)))))))))))))</f>
        <v/>
      </c>
      <c r="H433" s="47"/>
      <c r="I433" s="405" t="s">
        <v>70</v>
      </c>
      <c r="J433" s="406"/>
      <c r="K433" s="53">
        <f>K431+K432</f>
        <v>11666.666666666668</v>
      </c>
      <c r="L433" s="54"/>
      <c r="N433" s="71"/>
      <c r="O433" s="72" t="s">
        <v>51</v>
      </c>
      <c r="P433" s="72"/>
      <c r="Q433" s="72"/>
      <c r="R433" s="72" t="str">
        <f t="shared" si="90"/>
        <v/>
      </c>
      <c r="S433" s="63"/>
      <c r="T433" s="72" t="s">
        <v>51</v>
      </c>
      <c r="U433" s="105" t="str">
        <f>Y432</f>
        <v/>
      </c>
      <c r="V433" s="74"/>
      <c r="W433" s="105" t="str">
        <f t="shared" si="91"/>
        <v/>
      </c>
      <c r="X433" s="74"/>
      <c r="Y433" s="105" t="str">
        <f t="shared" si="92"/>
        <v/>
      </c>
      <c r="Z433" s="76"/>
    </row>
    <row r="434" spans="1:29" s="29" customFormat="1" ht="21.4" customHeight="1" x14ac:dyDescent="0.2">
      <c r="A434" s="30"/>
      <c r="B434" s="48" t="s">
        <v>6</v>
      </c>
      <c r="C434" s="39">
        <f>IF($J$1="January",Q427,IF($J$1="February",Q428,IF($J$1="March",Q429,IF($J$1="April",Q430,IF($J$1="May",Q431,IF($J$1="June",Q432,IF($J$1="July",Q433,IF($J$1="August",Q434,IF($J$1="August",Q434,IF($J$1="September",Q435,IF($J$1="October",Q436,IF($J$1="November",Q437,IF($J$1="December",Q438)))))))))))))</f>
        <v>0</v>
      </c>
      <c r="F434" s="48" t="s">
        <v>22</v>
      </c>
      <c r="G434" s="43">
        <f>IF($J$1="January",X427,IF($J$1="February",X428,IF($J$1="March",X429,IF($J$1="April",X430,IF($J$1="May",X431,IF($J$1="June",X432,IF($J$1="July",X433,IF($J$1="August",X434,IF($J$1="August",X434,IF($J$1="September",X435,IF($J$1="October",X436,IF($J$1="November",X437,IF($J$1="December",X438)))))))))))))</f>
        <v>0</v>
      </c>
      <c r="H434" s="47"/>
      <c r="I434" s="405" t="s">
        <v>71</v>
      </c>
      <c r="J434" s="406"/>
      <c r="K434" s="43">
        <f>G434</f>
        <v>0</v>
      </c>
      <c r="L434" s="55"/>
      <c r="N434" s="71"/>
      <c r="O434" s="72" t="s">
        <v>52</v>
      </c>
      <c r="P434" s="72"/>
      <c r="Q434" s="72"/>
      <c r="R434" s="72" t="str">
        <f t="shared" si="90"/>
        <v/>
      </c>
      <c r="S434" s="63"/>
      <c r="T434" s="72" t="s">
        <v>52</v>
      </c>
      <c r="U434" s="105">
        <v>0</v>
      </c>
      <c r="V434" s="74"/>
      <c r="W434" s="105">
        <f t="shared" si="91"/>
        <v>0</v>
      </c>
      <c r="X434" s="74"/>
      <c r="Y434" s="105">
        <f t="shared" si="92"/>
        <v>0</v>
      </c>
      <c r="Z434" s="76"/>
      <c r="AC434" s="107"/>
    </row>
    <row r="435" spans="1:29" s="29" customFormat="1" ht="21.4" customHeight="1" x14ac:dyDescent="0.2">
      <c r="A435" s="30"/>
      <c r="B435" s="56" t="s">
        <v>69</v>
      </c>
      <c r="C435" s="39" t="str">
        <f>IF($J$1="January",R427,IF($J$1="February",R428,IF($J$1="March",R429,IF($J$1="April",R430,IF($J$1="May",R431,IF($J$1="June",R432,IF($J$1="July",R433,IF($J$1="August",R434,IF($J$1="August",R434,IF($J$1="September",R435,IF($J$1="October",R436,IF($J$1="November",R437,IF($J$1="December",R438)))))))))))))</f>
        <v/>
      </c>
      <c r="F435" s="48" t="s">
        <v>68</v>
      </c>
      <c r="G435" s="43" t="str">
        <f>IF($J$1="January",Y427,IF($J$1="February",Y428,IF($J$1="March",Y429,IF($J$1="April",Y430,IF($J$1="May",Y431,IF($J$1="June",Y432,IF($J$1="July",Y433,IF($J$1="August",Y434,IF($J$1="August",Y434,IF($J$1="September",Y435,IF($J$1="October",Y436,IF($J$1="November",Y437,IF($J$1="December",Y438)))))))))))))</f>
        <v/>
      </c>
      <c r="I435" s="394" t="s">
        <v>64</v>
      </c>
      <c r="J435" s="396"/>
      <c r="K435" s="57">
        <f>K433-K434</f>
        <v>11666.666666666668</v>
      </c>
      <c r="L435" s="58"/>
      <c r="N435" s="71"/>
      <c r="O435" s="72" t="s">
        <v>57</v>
      </c>
      <c r="P435" s="72"/>
      <c r="Q435" s="72"/>
      <c r="R435" s="72" t="str">
        <f t="shared" si="90"/>
        <v/>
      </c>
      <c r="S435" s="63"/>
      <c r="T435" s="72" t="s">
        <v>57</v>
      </c>
      <c r="U435" s="105">
        <f>IF($J$1="August","",Y434)</f>
        <v>0</v>
      </c>
      <c r="V435" s="74"/>
      <c r="W435" s="105">
        <f t="shared" si="91"/>
        <v>0</v>
      </c>
      <c r="X435" s="74"/>
      <c r="Y435" s="105">
        <f t="shared" si="92"/>
        <v>0</v>
      </c>
      <c r="Z435" s="76"/>
    </row>
    <row r="436" spans="1:29" s="29" customFormat="1" ht="21.4" customHeight="1" x14ac:dyDescent="0.2">
      <c r="A436" s="30"/>
      <c r="J436" s="107">
        <v>10830</v>
      </c>
      <c r="L436" s="46"/>
      <c r="N436" s="71"/>
      <c r="O436" s="72" t="s">
        <v>53</v>
      </c>
      <c r="P436" s="72"/>
      <c r="Q436" s="72"/>
      <c r="R436" s="72">
        <v>0</v>
      </c>
      <c r="S436" s="63"/>
      <c r="T436" s="72" t="s">
        <v>53</v>
      </c>
      <c r="U436" s="105">
        <f>IF($J$1="September","",Y435)</f>
        <v>0</v>
      </c>
      <c r="V436" s="74"/>
      <c r="W436" s="105">
        <f t="shared" si="91"/>
        <v>0</v>
      </c>
      <c r="X436" s="74"/>
      <c r="Y436" s="105">
        <f t="shared" si="92"/>
        <v>0</v>
      </c>
      <c r="Z436" s="76"/>
    </row>
    <row r="437" spans="1:29" s="29" customFormat="1" ht="21.4" customHeight="1" x14ac:dyDescent="0.2">
      <c r="A437" s="30"/>
      <c r="B437" s="454"/>
      <c r="C437" s="454"/>
      <c r="D437" s="454"/>
      <c r="E437" s="454"/>
      <c r="F437" s="454"/>
      <c r="G437" s="454"/>
      <c r="H437" s="454"/>
      <c r="I437" s="454"/>
      <c r="J437" s="454"/>
      <c r="K437" s="454"/>
      <c r="L437" s="46"/>
      <c r="N437" s="71"/>
      <c r="O437" s="72" t="s">
        <v>58</v>
      </c>
      <c r="P437" s="72"/>
      <c r="Q437" s="72"/>
      <c r="R437" s="72">
        <v>0</v>
      </c>
      <c r="S437" s="63"/>
      <c r="T437" s="72" t="s">
        <v>58</v>
      </c>
      <c r="U437" s="105">
        <f>IF($J$1="October","",Y436)</f>
        <v>0</v>
      </c>
      <c r="V437" s="74"/>
      <c r="W437" s="105">
        <f t="shared" si="91"/>
        <v>0</v>
      </c>
      <c r="X437" s="74"/>
      <c r="Y437" s="105">
        <f t="shared" si="92"/>
        <v>0</v>
      </c>
      <c r="Z437" s="76"/>
    </row>
    <row r="438" spans="1:29" s="29" customFormat="1" ht="21.4" customHeight="1" x14ac:dyDescent="0.2">
      <c r="A438" s="30"/>
      <c r="B438" s="454"/>
      <c r="C438" s="454"/>
      <c r="D438" s="454"/>
      <c r="E438" s="454"/>
      <c r="F438" s="454"/>
      <c r="G438" s="454"/>
      <c r="H438" s="454"/>
      <c r="I438" s="454"/>
      <c r="J438" s="454"/>
      <c r="K438" s="454"/>
      <c r="L438" s="46"/>
      <c r="N438" s="71"/>
      <c r="O438" s="72" t="s">
        <v>59</v>
      </c>
      <c r="P438" s="72"/>
      <c r="Q438" s="72"/>
      <c r="R438" s="72">
        <v>0</v>
      </c>
      <c r="S438" s="63"/>
      <c r="T438" s="72" t="s">
        <v>59</v>
      </c>
      <c r="U438" s="105">
        <f>IF($J$1="November","",Y437)</f>
        <v>0</v>
      </c>
      <c r="V438" s="74"/>
      <c r="W438" s="105">
        <f t="shared" si="91"/>
        <v>0</v>
      </c>
      <c r="X438" s="74"/>
      <c r="Y438" s="105">
        <f t="shared" si="92"/>
        <v>0</v>
      </c>
      <c r="Z438" s="76"/>
    </row>
    <row r="439" spans="1:29" s="29" customFormat="1" ht="21.4" customHeight="1" thickBot="1" x14ac:dyDescent="0.25">
      <c r="A439" s="59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1"/>
      <c r="N439" s="77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9"/>
    </row>
    <row r="440" spans="1:29" s="29" customFormat="1" ht="21.4" customHeight="1" thickBot="1" x14ac:dyDescent="0.25">
      <c r="A440" s="30"/>
      <c r="L440" s="46"/>
      <c r="N440" s="71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85"/>
    </row>
    <row r="441" spans="1:29" s="29" customFormat="1" ht="21" customHeight="1" x14ac:dyDescent="0.2">
      <c r="A441" s="411" t="s">
        <v>41</v>
      </c>
      <c r="B441" s="412"/>
      <c r="C441" s="412"/>
      <c r="D441" s="412"/>
      <c r="E441" s="412"/>
      <c r="F441" s="412"/>
      <c r="G441" s="412"/>
      <c r="H441" s="412"/>
      <c r="I441" s="412"/>
      <c r="J441" s="412"/>
      <c r="K441" s="412"/>
      <c r="L441" s="413"/>
      <c r="M441" s="28"/>
      <c r="N441" s="64"/>
      <c r="O441" s="408" t="s">
        <v>43</v>
      </c>
      <c r="P441" s="409"/>
      <c r="Q441" s="409"/>
      <c r="R441" s="410"/>
      <c r="S441" s="65"/>
      <c r="T441" s="408" t="s">
        <v>44</v>
      </c>
      <c r="U441" s="409"/>
      <c r="V441" s="409"/>
      <c r="W441" s="409"/>
      <c r="X441" s="409"/>
      <c r="Y441" s="410"/>
      <c r="Z441" s="66"/>
      <c r="AA441" s="28"/>
    </row>
    <row r="442" spans="1:29" s="29" customFormat="1" ht="21" customHeight="1" x14ac:dyDescent="0.2">
      <c r="A442" s="30"/>
      <c r="C442" s="398" t="s">
        <v>85</v>
      </c>
      <c r="D442" s="398"/>
      <c r="E442" s="398"/>
      <c r="F442" s="398"/>
      <c r="G442" s="31" t="str">
        <f>$J$1</f>
        <v>April</v>
      </c>
      <c r="H442" s="397">
        <f>$K$1</f>
        <v>2023</v>
      </c>
      <c r="I442" s="397"/>
      <c r="K442" s="32"/>
      <c r="L442" s="33"/>
      <c r="M442" s="32"/>
      <c r="N442" s="67"/>
      <c r="O442" s="68" t="s">
        <v>54</v>
      </c>
      <c r="P442" s="68" t="s">
        <v>7</v>
      </c>
      <c r="Q442" s="68" t="s">
        <v>6</v>
      </c>
      <c r="R442" s="68" t="s">
        <v>55</v>
      </c>
      <c r="S442" s="69"/>
      <c r="T442" s="68" t="s">
        <v>54</v>
      </c>
      <c r="U442" s="68" t="s">
        <v>56</v>
      </c>
      <c r="V442" s="68" t="s">
        <v>21</v>
      </c>
      <c r="W442" s="68" t="s">
        <v>20</v>
      </c>
      <c r="X442" s="68" t="s">
        <v>22</v>
      </c>
      <c r="Y442" s="68" t="s">
        <v>60</v>
      </c>
      <c r="Z442" s="70"/>
      <c r="AA442" s="32"/>
    </row>
    <row r="443" spans="1:29" s="29" customFormat="1" ht="21" customHeight="1" x14ac:dyDescent="0.2">
      <c r="A443" s="30"/>
      <c r="D443" s="35"/>
      <c r="E443" s="35"/>
      <c r="F443" s="35"/>
      <c r="G443" s="35"/>
      <c r="H443" s="35"/>
      <c r="J443" s="36" t="s">
        <v>1</v>
      </c>
      <c r="K443" s="122">
        <f>20000+2500+2000</f>
        <v>24500</v>
      </c>
      <c r="L443" s="38"/>
      <c r="N443" s="71"/>
      <c r="O443" s="72" t="s">
        <v>46</v>
      </c>
      <c r="P443" s="72">
        <v>31</v>
      </c>
      <c r="Q443" s="72">
        <v>0</v>
      </c>
      <c r="R443" s="72">
        <v>0</v>
      </c>
      <c r="S443" s="73"/>
      <c r="T443" s="72" t="s">
        <v>46</v>
      </c>
      <c r="U443" s="74"/>
      <c r="V443" s="74"/>
      <c r="W443" s="74">
        <f>V443+U443</f>
        <v>0</v>
      </c>
      <c r="X443" s="74"/>
      <c r="Y443" s="74">
        <f>W443-X443</f>
        <v>0</v>
      </c>
      <c r="Z443" s="70"/>
    </row>
    <row r="444" spans="1:29" s="29" customFormat="1" ht="21" customHeight="1" x14ac:dyDescent="0.2">
      <c r="A444" s="30"/>
      <c r="B444" s="29" t="s">
        <v>0</v>
      </c>
      <c r="C444" s="40" t="s">
        <v>137</v>
      </c>
      <c r="H444" s="41"/>
      <c r="I444" s="35"/>
      <c r="L444" s="42"/>
      <c r="M444" s="28"/>
      <c r="N444" s="75"/>
      <c r="O444" s="72" t="s">
        <v>72</v>
      </c>
      <c r="P444" s="72">
        <v>28</v>
      </c>
      <c r="Q444" s="72">
        <v>0</v>
      </c>
      <c r="R444" s="72">
        <f>IF(Q444="","",R443-Q444)</f>
        <v>0</v>
      </c>
      <c r="S444" s="63"/>
      <c r="T444" s="72" t="s">
        <v>72</v>
      </c>
      <c r="U444" s="105">
        <f>IF($J$1="January","",Y443)</f>
        <v>0</v>
      </c>
      <c r="V444" s="74"/>
      <c r="W444" s="105">
        <f>IF(U444="","",U444+V444)</f>
        <v>0</v>
      </c>
      <c r="X444" s="74"/>
      <c r="Y444" s="105">
        <f>IF(W444="","",W444-X444)</f>
        <v>0</v>
      </c>
      <c r="Z444" s="76"/>
      <c r="AA444" s="28"/>
    </row>
    <row r="445" spans="1:29" s="29" customFormat="1" ht="21" customHeight="1" x14ac:dyDescent="0.2">
      <c r="A445" s="30"/>
      <c r="B445" s="44" t="s">
        <v>42</v>
      </c>
      <c r="C445" s="45"/>
      <c r="F445" s="414" t="s">
        <v>44</v>
      </c>
      <c r="G445" s="414"/>
      <c r="I445" s="414" t="s">
        <v>45</v>
      </c>
      <c r="J445" s="414"/>
      <c r="K445" s="414"/>
      <c r="L445" s="46"/>
      <c r="N445" s="71"/>
      <c r="O445" s="72" t="s">
        <v>47</v>
      </c>
      <c r="P445" s="72">
        <v>31</v>
      </c>
      <c r="Q445" s="72">
        <v>0</v>
      </c>
      <c r="R445" s="72">
        <v>0</v>
      </c>
      <c r="S445" s="63"/>
      <c r="T445" s="72" t="s">
        <v>47</v>
      </c>
      <c r="U445" s="105">
        <f>IF($J$1="February","",Y444)</f>
        <v>0</v>
      </c>
      <c r="V445" s="74"/>
      <c r="W445" s="105">
        <f t="shared" ref="W445:W454" si="93">IF(U445="","",U445+V445)</f>
        <v>0</v>
      </c>
      <c r="X445" s="74"/>
      <c r="Y445" s="105">
        <f t="shared" ref="Y445:Y454" si="94">IF(W445="","",W445-X445)</f>
        <v>0</v>
      </c>
      <c r="Z445" s="76"/>
    </row>
    <row r="446" spans="1:29" s="29" customFormat="1" ht="21" customHeight="1" x14ac:dyDescent="0.2">
      <c r="A446" s="30"/>
      <c r="H446" s="47"/>
      <c r="L446" s="34"/>
      <c r="N446" s="71"/>
      <c r="O446" s="72" t="s">
        <v>48</v>
      </c>
      <c r="P446" s="72">
        <v>30</v>
      </c>
      <c r="Q446" s="72">
        <v>0</v>
      </c>
      <c r="R446" s="72">
        <v>0</v>
      </c>
      <c r="S446" s="63"/>
      <c r="T446" s="72" t="s">
        <v>48</v>
      </c>
      <c r="U446" s="105">
        <f>IF($J$1="March","",Y445)</f>
        <v>0</v>
      </c>
      <c r="V446" s="74"/>
      <c r="W446" s="105">
        <f t="shared" si="93"/>
        <v>0</v>
      </c>
      <c r="X446" s="74"/>
      <c r="Y446" s="105">
        <f t="shared" si="94"/>
        <v>0</v>
      </c>
      <c r="Z446" s="76"/>
    </row>
    <row r="447" spans="1:29" s="29" customFormat="1" ht="21" customHeight="1" x14ac:dyDescent="0.2">
      <c r="A447" s="30"/>
      <c r="B447" s="392" t="s">
        <v>43</v>
      </c>
      <c r="C447" s="393"/>
      <c r="F447" s="48" t="s">
        <v>65</v>
      </c>
      <c r="G447" s="43">
        <f>IF($J$1="January",U443,IF($J$1="February",U444,IF($J$1="March",U445,IF($J$1="April",U446,IF($J$1="May",U447,IF($J$1="June",U448,IF($J$1="July",U449,IF($J$1="August",U450,IF($J$1="August",U450,IF($J$1="September",U451,IF($J$1="October",U452,IF($J$1="November",U453,IF($J$1="December",U454)))))))))))))</f>
        <v>0</v>
      </c>
      <c r="H447" s="47"/>
      <c r="I447" s="49">
        <f>IF(C451&gt;0,$K$2,C449)</f>
        <v>30</v>
      </c>
      <c r="J447" s="50" t="s">
        <v>62</v>
      </c>
      <c r="K447" s="51">
        <f>K443/$K$2*I447</f>
        <v>24500</v>
      </c>
      <c r="L447" s="52"/>
      <c r="N447" s="71"/>
      <c r="O447" s="72" t="s">
        <v>49</v>
      </c>
      <c r="P447" s="72"/>
      <c r="Q447" s="72"/>
      <c r="R447" s="72">
        <v>0</v>
      </c>
      <c r="S447" s="63"/>
      <c r="T447" s="72" t="s">
        <v>49</v>
      </c>
      <c r="U447" s="105" t="str">
        <f>IF($J$1="April","",Y446)</f>
        <v/>
      </c>
      <c r="V447" s="74"/>
      <c r="W447" s="105" t="str">
        <f t="shared" si="93"/>
        <v/>
      </c>
      <c r="X447" s="74"/>
      <c r="Y447" s="105" t="str">
        <f t="shared" si="94"/>
        <v/>
      </c>
      <c r="Z447" s="76"/>
    </row>
    <row r="448" spans="1:29" s="29" customFormat="1" ht="21" customHeight="1" x14ac:dyDescent="0.2">
      <c r="A448" s="30"/>
      <c r="B448" s="39"/>
      <c r="C448" s="39"/>
      <c r="F448" s="48" t="s">
        <v>21</v>
      </c>
      <c r="G448" s="43">
        <f>IF($J$1="January",V443,IF($J$1="February",V444,IF($J$1="March",V445,IF($J$1="April",V446,IF($J$1="May",V447,IF($J$1="June",V448,IF($J$1="July",V449,IF($J$1="August",V450,IF($J$1="August",V450,IF($J$1="September",V451,IF($J$1="October",V452,IF($J$1="November",V453,IF($J$1="December",V454)))))))))))))</f>
        <v>0</v>
      </c>
      <c r="H448" s="47"/>
      <c r="I448" s="84">
        <v>141</v>
      </c>
      <c r="J448" s="50" t="s">
        <v>63</v>
      </c>
      <c r="K448" s="53">
        <f>K443/$K$2/8*I448</f>
        <v>14393.75</v>
      </c>
      <c r="L448" s="54"/>
      <c r="N448" s="71"/>
      <c r="O448" s="72" t="s">
        <v>50</v>
      </c>
      <c r="P448" s="72"/>
      <c r="Q448" s="72"/>
      <c r="R448" s="72">
        <v>0</v>
      </c>
      <c r="S448" s="63"/>
      <c r="T448" s="72" t="s">
        <v>50</v>
      </c>
      <c r="U448" s="105" t="str">
        <f>IF($J$1="May","",Y447)</f>
        <v/>
      </c>
      <c r="V448" s="74"/>
      <c r="W448" s="105" t="str">
        <f t="shared" si="93"/>
        <v/>
      </c>
      <c r="X448" s="74"/>
      <c r="Y448" s="105" t="str">
        <f t="shared" si="94"/>
        <v/>
      </c>
      <c r="Z448" s="76"/>
    </row>
    <row r="449" spans="1:26" s="29" customFormat="1" ht="21" customHeight="1" x14ac:dyDescent="0.2">
      <c r="A449" s="30"/>
      <c r="B449" s="48" t="s">
        <v>7</v>
      </c>
      <c r="C449" s="39">
        <f>IF($J$1="January",P443,IF($J$1="February",P444,IF($J$1="March",P445,IF($J$1="April",P446,IF($J$1="May",P447,IF($J$1="June",P448,IF($J$1="July",P449,IF($J$1="August",P450,IF($J$1="August",P450,IF($J$1="September",P451,IF($J$1="October",P452,IF($J$1="November",P453,IF($J$1="December",P454)))))))))))))</f>
        <v>30</v>
      </c>
      <c r="F449" s="48" t="s">
        <v>66</v>
      </c>
      <c r="G449" s="43">
        <f>IF($J$1="January",W443,IF($J$1="February",W444,IF($J$1="March",W445,IF($J$1="April",W446,IF($J$1="May",W447,IF($J$1="June",W448,IF($J$1="July",W449,IF($J$1="August",W450,IF($J$1="August",W450,IF($J$1="September",W451,IF($J$1="October",W452,IF($J$1="November",W453,IF($J$1="December",W454)))))))))))))</f>
        <v>0</v>
      </c>
      <c r="H449" s="47"/>
      <c r="I449" s="405" t="s">
        <v>70</v>
      </c>
      <c r="J449" s="406"/>
      <c r="K449" s="53">
        <f>K447+K448</f>
        <v>38893.75</v>
      </c>
      <c r="L449" s="54"/>
      <c r="N449" s="71"/>
      <c r="O449" s="72" t="s">
        <v>51</v>
      </c>
      <c r="P449" s="72"/>
      <c r="Q449" s="72"/>
      <c r="R449" s="72">
        <v>0</v>
      </c>
      <c r="S449" s="63"/>
      <c r="T449" s="72" t="s">
        <v>51</v>
      </c>
      <c r="U449" s="105" t="str">
        <f>IF($J$1="June","",Y448)</f>
        <v/>
      </c>
      <c r="V449" s="74"/>
      <c r="W449" s="105" t="str">
        <f t="shared" si="93"/>
        <v/>
      </c>
      <c r="X449" s="74"/>
      <c r="Y449" s="105" t="str">
        <f t="shared" si="94"/>
        <v/>
      </c>
      <c r="Z449" s="76"/>
    </row>
    <row r="450" spans="1:26" s="29" customFormat="1" ht="21" customHeight="1" x14ac:dyDescent="0.2">
      <c r="A450" s="30"/>
      <c r="B450" s="48" t="s">
        <v>6</v>
      </c>
      <c r="C450" s="39">
        <f>IF($J$1="January",Q443,IF($J$1="February",Q444,IF($J$1="March",Q445,IF($J$1="April",Q446,IF($J$1="May",Q447,IF($J$1="June",Q448,IF($J$1="July",Q449,IF($J$1="August",Q450,IF($J$1="August",Q450,IF($J$1="September",Q451,IF($J$1="October",Q452,IF($J$1="November",Q453,IF($J$1="December",Q454)))))))))))))</f>
        <v>0</v>
      </c>
      <c r="F450" s="48" t="s">
        <v>22</v>
      </c>
      <c r="G450" s="43">
        <f>IF($J$1="January",X443,IF($J$1="February",X444,IF($J$1="March",X445,IF($J$1="April",X446,IF($J$1="May",X447,IF($J$1="June",X448,IF($J$1="July",X449,IF($J$1="August",X450,IF($J$1="August",X450,IF($J$1="September",X451,IF($J$1="October",X452,IF($J$1="November",X453,IF($J$1="December",X454)))))))))))))</f>
        <v>0</v>
      </c>
      <c r="H450" s="47"/>
      <c r="I450" s="405" t="s">
        <v>71</v>
      </c>
      <c r="J450" s="406"/>
      <c r="K450" s="43">
        <f>G450</f>
        <v>0</v>
      </c>
      <c r="L450" s="55"/>
      <c r="N450" s="71"/>
      <c r="O450" s="72" t="s">
        <v>52</v>
      </c>
      <c r="P450" s="72"/>
      <c r="Q450" s="72"/>
      <c r="R450" s="72">
        <v>0</v>
      </c>
      <c r="S450" s="63"/>
      <c r="T450" s="72" t="s">
        <v>52</v>
      </c>
      <c r="U450" s="105" t="str">
        <f>IF($J$1="July","",Y449)</f>
        <v/>
      </c>
      <c r="V450" s="74"/>
      <c r="W450" s="105" t="str">
        <f t="shared" si="93"/>
        <v/>
      </c>
      <c r="X450" s="74"/>
      <c r="Y450" s="105" t="str">
        <f t="shared" si="94"/>
        <v/>
      </c>
      <c r="Z450" s="76"/>
    </row>
    <row r="451" spans="1:26" s="29" customFormat="1" ht="21" customHeight="1" x14ac:dyDescent="0.2">
      <c r="A451" s="30"/>
      <c r="B451" s="56" t="s">
        <v>69</v>
      </c>
      <c r="C451" s="39">
        <f>IF($J$1="January",R443,IF($J$1="February",R444,IF($J$1="March",R445,IF($J$1="April",R446,IF($J$1="May",R447,IF($J$1="June",R448,IF($J$1="July",R449,IF($J$1="August",R450,IF($J$1="August",R450,IF($J$1="September",R451,IF($J$1="October",R452,IF($J$1="November",R453,IF($J$1="December",R454)))))))))))))</f>
        <v>0</v>
      </c>
      <c r="F451" s="48" t="s">
        <v>68</v>
      </c>
      <c r="G451" s="43">
        <f>IF($J$1="January",Y443,IF($J$1="February",Y444,IF($J$1="March",Y445,IF($J$1="April",Y446,IF($J$1="May",Y447,IF($J$1="June",Y448,IF($J$1="July",Y449,IF($J$1="August",Y450,IF($J$1="August",Y450,IF($J$1="September",Y451,IF($J$1="October",Y452,IF($J$1="November",Y453,IF($J$1="December",Y454)))))))))))))</f>
        <v>0</v>
      </c>
      <c r="I451" s="394" t="s">
        <v>64</v>
      </c>
      <c r="J451" s="396"/>
      <c r="K451" s="57">
        <f>K449-K450</f>
        <v>38893.75</v>
      </c>
      <c r="L451" s="58"/>
      <c r="N451" s="71"/>
      <c r="O451" s="72" t="s">
        <v>57</v>
      </c>
      <c r="P451" s="72"/>
      <c r="Q451" s="72"/>
      <c r="R451" s="72">
        <v>0</v>
      </c>
      <c r="S451" s="63"/>
      <c r="T451" s="72" t="s">
        <v>57</v>
      </c>
      <c r="U451" s="105" t="str">
        <f>IF($J$1="August","",Y450)</f>
        <v/>
      </c>
      <c r="V451" s="74"/>
      <c r="W451" s="105" t="str">
        <f t="shared" si="93"/>
        <v/>
      </c>
      <c r="X451" s="74"/>
      <c r="Y451" s="105" t="str">
        <f t="shared" si="94"/>
        <v/>
      </c>
      <c r="Z451" s="76"/>
    </row>
    <row r="452" spans="1:26" s="29" customFormat="1" ht="21" customHeight="1" x14ac:dyDescent="0.2">
      <c r="A452" s="30"/>
      <c r="G452" s="107"/>
      <c r="K452" s="107"/>
      <c r="L452" s="46"/>
      <c r="N452" s="71"/>
      <c r="O452" s="72" t="s">
        <v>53</v>
      </c>
      <c r="P452" s="72"/>
      <c r="Q452" s="72"/>
      <c r="R452" s="72">
        <v>0</v>
      </c>
      <c r="S452" s="63"/>
      <c r="T452" s="72" t="s">
        <v>53</v>
      </c>
      <c r="U452" s="105" t="str">
        <f>IF($J$1="September","",Y451)</f>
        <v/>
      </c>
      <c r="V452" s="74"/>
      <c r="W452" s="105" t="str">
        <f t="shared" si="93"/>
        <v/>
      </c>
      <c r="X452" s="74"/>
      <c r="Y452" s="105" t="str">
        <f t="shared" si="94"/>
        <v/>
      </c>
      <c r="Z452" s="76"/>
    </row>
    <row r="453" spans="1:26" s="29" customFormat="1" ht="21" customHeight="1" x14ac:dyDescent="0.2">
      <c r="A453" s="30"/>
      <c r="B453" s="407" t="s">
        <v>87</v>
      </c>
      <c r="C453" s="407"/>
      <c r="D453" s="407"/>
      <c r="E453" s="407"/>
      <c r="F453" s="407"/>
      <c r="G453" s="407"/>
      <c r="H453" s="407"/>
      <c r="I453" s="407"/>
      <c r="J453" s="407"/>
      <c r="K453" s="407"/>
      <c r="L453" s="46"/>
      <c r="N453" s="71"/>
      <c r="O453" s="72" t="s">
        <v>58</v>
      </c>
      <c r="P453" s="72"/>
      <c r="Q453" s="72"/>
      <c r="R453" s="72" t="str">
        <f t="shared" ref="R453:R454" si="95">IF(Q453="","",R452-Q453)</f>
        <v/>
      </c>
      <c r="S453" s="63"/>
      <c r="T453" s="72" t="s">
        <v>58</v>
      </c>
      <c r="U453" s="105" t="str">
        <f>IF($J$1="October","",Y452)</f>
        <v/>
      </c>
      <c r="V453" s="74"/>
      <c r="W453" s="105" t="str">
        <f t="shared" si="93"/>
        <v/>
      </c>
      <c r="X453" s="74"/>
      <c r="Y453" s="105" t="str">
        <f t="shared" si="94"/>
        <v/>
      </c>
      <c r="Z453" s="76"/>
    </row>
    <row r="454" spans="1:26" s="29" customFormat="1" ht="21" customHeight="1" x14ac:dyDescent="0.2">
      <c r="A454" s="30"/>
      <c r="B454" s="407"/>
      <c r="C454" s="407"/>
      <c r="D454" s="407"/>
      <c r="E454" s="407"/>
      <c r="F454" s="407"/>
      <c r="G454" s="407"/>
      <c r="H454" s="407"/>
      <c r="I454" s="407"/>
      <c r="J454" s="407"/>
      <c r="K454" s="407"/>
      <c r="L454" s="46"/>
      <c r="N454" s="71"/>
      <c r="O454" s="72" t="s">
        <v>59</v>
      </c>
      <c r="P454" s="72"/>
      <c r="Q454" s="72"/>
      <c r="R454" s="72" t="str">
        <f t="shared" si="95"/>
        <v/>
      </c>
      <c r="S454" s="63"/>
      <c r="T454" s="72" t="s">
        <v>59</v>
      </c>
      <c r="U454" s="105" t="str">
        <f>IF($J$1="November","",Y453)</f>
        <v/>
      </c>
      <c r="V454" s="74"/>
      <c r="W454" s="105" t="str">
        <f t="shared" si="93"/>
        <v/>
      </c>
      <c r="X454" s="74"/>
      <c r="Y454" s="105" t="str">
        <f t="shared" si="94"/>
        <v/>
      </c>
      <c r="Z454" s="76"/>
    </row>
    <row r="455" spans="1:26" s="29" customFormat="1" ht="21" customHeight="1" thickBot="1" x14ac:dyDescent="0.25">
      <c r="A455" s="59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1"/>
      <c r="N455" s="77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9"/>
    </row>
    <row r="456" spans="1:26" s="29" customFormat="1" ht="21" customHeight="1" thickBot="1" x14ac:dyDescent="0.25"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 spans="1:26" s="29" customFormat="1" ht="21" customHeight="1" x14ac:dyDescent="0.2">
      <c r="A457" s="415" t="s">
        <v>41</v>
      </c>
      <c r="B457" s="416"/>
      <c r="C457" s="416"/>
      <c r="D457" s="416"/>
      <c r="E457" s="416"/>
      <c r="F457" s="416"/>
      <c r="G457" s="416"/>
      <c r="H457" s="416"/>
      <c r="I457" s="416"/>
      <c r="J457" s="416"/>
      <c r="K457" s="416"/>
      <c r="L457" s="417"/>
      <c r="M457" s="28"/>
      <c r="N457" s="64"/>
      <c r="O457" s="408" t="s">
        <v>43</v>
      </c>
      <c r="P457" s="409"/>
      <c r="Q457" s="409"/>
      <c r="R457" s="410"/>
      <c r="S457" s="65"/>
      <c r="T457" s="408" t="s">
        <v>44</v>
      </c>
      <c r="U457" s="409"/>
      <c r="V457" s="409"/>
      <c r="W457" s="409"/>
      <c r="X457" s="409"/>
      <c r="Y457" s="410"/>
      <c r="Z457" s="66"/>
    </row>
    <row r="458" spans="1:26" s="29" customFormat="1" ht="21" customHeight="1" x14ac:dyDescent="0.2">
      <c r="A458" s="30"/>
      <c r="C458" s="398" t="s">
        <v>85</v>
      </c>
      <c r="D458" s="398"/>
      <c r="E458" s="398"/>
      <c r="F458" s="398"/>
      <c r="G458" s="31" t="str">
        <f>$J$1</f>
        <v>April</v>
      </c>
      <c r="H458" s="397">
        <f>$K$1</f>
        <v>2023</v>
      </c>
      <c r="I458" s="397"/>
      <c r="K458" s="32"/>
      <c r="L458" s="33"/>
      <c r="M458" s="32"/>
      <c r="N458" s="67"/>
      <c r="O458" s="68" t="s">
        <v>54</v>
      </c>
      <c r="P458" s="68" t="s">
        <v>7</v>
      </c>
      <c r="Q458" s="68" t="s">
        <v>6</v>
      </c>
      <c r="R458" s="68" t="s">
        <v>55</v>
      </c>
      <c r="S458" s="69"/>
      <c r="T458" s="68" t="s">
        <v>54</v>
      </c>
      <c r="U458" s="68" t="s">
        <v>56</v>
      </c>
      <c r="V458" s="68" t="s">
        <v>21</v>
      </c>
      <c r="W458" s="68" t="s">
        <v>20</v>
      </c>
      <c r="X458" s="68" t="s">
        <v>22</v>
      </c>
      <c r="Y458" s="68" t="s">
        <v>60</v>
      </c>
      <c r="Z458" s="70"/>
    </row>
    <row r="459" spans="1:26" s="29" customFormat="1" ht="21" customHeight="1" x14ac:dyDescent="0.2">
      <c r="A459" s="30"/>
      <c r="D459" s="35"/>
      <c r="E459" s="35"/>
      <c r="F459" s="35"/>
      <c r="G459" s="35"/>
      <c r="H459" s="35"/>
      <c r="J459" s="36" t="s">
        <v>1</v>
      </c>
      <c r="K459" s="37">
        <f>20000+2500+2000</f>
        <v>24500</v>
      </c>
      <c r="L459" s="38"/>
      <c r="N459" s="71"/>
      <c r="O459" s="72" t="s">
        <v>46</v>
      </c>
      <c r="P459" s="72">
        <v>31</v>
      </c>
      <c r="Q459" s="72">
        <v>0</v>
      </c>
      <c r="R459" s="72">
        <v>0</v>
      </c>
      <c r="S459" s="73"/>
      <c r="T459" s="72" t="s">
        <v>46</v>
      </c>
      <c r="U459" s="74"/>
      <c r="V459" s="74"/>
      <c r="W459" s="74">
        <f>V459+U459</f>
        <v>0</v>
      </c>
      <c r="X459" s="74"/>
      <c r="Y459" s="74">
        <f>W459-X459</f>
        <v>0</v>
      </c>
      <c r="Z459" s="70"/>
    </row>
    <row r="460" spans="1:26" s="29" customFormat="1" ht="21" customHeight="1" x14ac:dyDescent="0.2">
      <c r="A460" s="30"/>
      <c r="B460" s="29" t="s">
        <v>0</v>
      </c>
      <c r="C460" s="40" t="s">
        <v>172</v>
      </c>
      <c r="H460" s="41"/>
      <c r="I460" s="35"/>
      <c r="L460" s="42"/>
      <c r="M460" s="28"/>
      <c r="N460" s="75"/>
      <c r="O460" s="72" t="s">
        <v>72</v>
      </c>
      <c r="P460" s="72">
        <v>26</v>
      </c>
      <c r="Q460" s="72">
        <v>2</v>
      </c>
      <c r="R460" s="72">
        <v>0</v>
      </c>
      <c r="S460" s="63"/>
      <c r="T460" s="72" t="s">
        <v>72</v>
      </c>
      <c r="U460" s="105">
        <f>IF($J$1="January","",Y459)</f>
        <v>0</v>
      </c>
      <c r="V460" s="74"/>
      <c r="W460" s="105">
        <f>IF(U460="","",U460+V460)</f>
        <v>0</v>
      </c>
      <c r="X460" s="74"/>
      <c r="Y460" s="105">
        <f>IF(W460="","",W460-X460)</f>
        <v>0</v>
      </c>
      <c r="Z460" s="76"/>
    </row>
    <row r="461" spans="1:26" s="29" customFormat="1" ht="21" customHeight="1" x14ac:dyDescent="0.2">
      <c r="A461" s="30"/>
      <c r="B461" s="423"/>
      <c r="C461" s="423"/>
      <c r="F461" s="414" t="s">
        <v>44</v>
      </c>
      <c r="G461" s="414"/>
      <c r="I461" s="414" t="s">
        <v>45</v>
      </c>
      <c r="J461" s="414"/>
      <c r="K461" s="414"/>
      <c r="L461" s="46"/>
      <c r="N461" s="71"/>
      <c r="O461" s="72" t="s">
        <v>47</v>
      </c>
      <c r="P461" s="72">
        <v>31</v>
      </c>
      <c r="Q461" s="72">
        <v>0</v>
      </c>
      <c r="R461" s="72">
        <v>0</v>
      </c>
      <c r="S461" s="63"/>
      <c r="T461" s="72" t="s">
        <v>47</v>
      </c>
      <c r="U461" s="105">
        <f>IF($J$1="February","",Y460)</f>
        <v>0</v>
      </c>
      <c r="V461" s="74"/>
      <c r="W461" s="105">
        <f t="shared" ref="W461:W470" si="96">IF(U461="","",U461+V461)</f>
        <v>0</v>
      </c>
      <c r="X461" s="74"/>
      <c r="Y461" s="105">
        <f t="shared" ref="Y461:Y470" si="97">IF(W461="","",W461-X461)</f>
        <v>0</v>
      </c>
      <c r="Z461" s="76"/>
    </row>
    <row r="462" spans="1:26" s="29" customFormat="1" ht="21" customHeight="1" x14ac:dyDescent="0.2">
      <c r="A462" s="30"/>
      <c r="H462" s="47"/>
      <c r="L462" s="34"/>
      <c r="N462" s="71"/>
      <c r="O462" s="72" t="s">
        <v>48</v>
      </c>
      <c r="P462" s="72">
        <v>30</v>
      </c>
      <c r="Q462" s="72">
        <v>0</v>
      </c>
      <c r="R462" s="72">
        <v>0</v>
      </c>
      <c r="S462" s="63"/>
      <c r="T462" s="72" t="s">
        <v>48</v>
      </c>
      <c r="U462" s="105">
        <f>IF($J$1="March","",Y461)</f>
        <v>0</v>
      </c>
      <c r="V462" s="74"/>
      <c r="W462" s="105">
        <f t="shared" si="96"/>
        <v>0</v>
      </c>
      <c r="X462" s="74"/>
      <c r="Y462" s="105">
        <f t="shared" si="97"/>
        <v>0</v>
      </c>
      <c r="Z462" s="76"/>
    </row>
    <row r="463" spans="1:26" s="29" customFormat="1" ht="21" customHeight="1" x14ac:dyDescent="0.2">
      <c r="A463" s="30"/>
      <c r="B463" s="392" t="s">
        <v>43</v>
      </c>
      <c r="C463" s="393"/>
      <c r="F463" s="48" t="s">
        <v>65</v>
      </c>
      <c r="G463" s="43">
        <f>IF($J$1="January",U459,IF($J$1="February",U460,IF($J$1="March",U461,IF($J$1="April",U462,IF($J$1="May",U463,IF($J$1="June",U464,IF($J$1="July",U465,IF($J$1="August",U466,IF($J$1="August",U466,IF($J$1="September",U467,IF($J$1="October",U468,IF($J$1="November",U469,IF($J$1="December",U470)))))))))))))</f>
        <v>0</v>
      </c>
      <c r="H463" s="47"/>
      <c r="I463" s="49">
        <f>IF(C467&gt;0,$K$2,C465)</f>
        <v>30</v>
      </c>
      <c r="J463" s="50" t="s">
        <v>62</v>
      </c>
      <c r="K463" s="51">
        <f>K459/$K$2*I463</f>
        <v>24500</v>
      </c>
      <c r="L463" s="52"/>
      <c r="N463" s="71"/>
      <c r="O463" s="72" t="s">
        <v>49</v>
      </c>
      <c r="P463" s="72"/>
      <c r="Q463" s="72"/>
      <c r="R463" s="72">
        <v>0</v>
      </c>
      <c r="S463" s="63"/>
      <c r="T463" s="72" t="s">
        <v>49</v>
      </c>
      <c r="U463" s="105" t="str">
        <f>IF($J$1="April","",Y462)</f>
        <v/>
      </c>
      <c r="V463" s="74"/>
      <c r="W463" s="105" t="str">
        <f t="shared" si="96"/>
        <v/>
      </c>
      <c r="X463" s="74"/>
      <c r="Y463" s="105" t="str">
        <f t="shared" si="97"/>
        <v/>
      </c>
      <c r="Z463" s="76"/>
    </row>
    <row r="464" spans="1:26" s="29" customFormat="1" ht="21" customHeight="1" x14ac:dyDescent="0.2">
      <c r="A464" s="30"/>
      <c r="B464" s="39"/>
      <c r="C464" s="39"/>
      <c r="F464" s="48" t="s">
        <v>21</v>
      </c>
      <c r="G464" s="43">
        <f>IF($J$1="January",V459,IF($J$1="February",V460,IF($J$1="March",V461,IF($J$1="April",V462,IF($J$1="May",V463,IF($J$1="June",V464,IF($J$1="July",V465,IF($J$1="August",V466,IF($J$1="August",V466,IF($J$1="September",V467,IF($J$1="October",V468,IF($J$1="November",V469,IF($J$1="December",V470)))))))))))))</f>
        <v>0</v>
      </c>
      <c r="H464" s="47"/>
      <c r="I464" s="84">
        <v>139</v>
      </c>
      <c r="J464" s="50" t="s">
        <v>63</v>
      </c>
      <c r="K464" s="53">
        <f>K459/$K$2/8*I464</f>
        <v>14189.583333333332</v>
      </c>
      <c r="L464" s="54"/>
      <c r="N464" s="71"/>
      <c r="O464" s="72" t="s">
        <v>50</v>
      </c>
      <c r="P464" s="72"/>
      <c r="Q464" s="72"/>
      <c r="R464" s="72">
        <v>0</v>
      </c>
      <c r="S464" s="63"/>
      <c r="T464" s="72" t="s">
        <v>50</v>
      </c>
      <c r="U464" s="105" t="str">
        <f>IF($J$1="May","",Y463)</f>
        <v/>
      </c>
      <c r="V464" s="74"/>
      <c r="W464" s="105" t="str">
        <f t="shared" si="96"/>
        <v/>
      </c>
      <c r="X464" s="74"/>
      <c r="Y464" s="105" t="str">
        <f t="shared" si="97"/>
        <v/>
      </c>
      <c r="Z464" s="76"/>
    </row>
    <row r="465" spans="1:27" s="29" customFormat="1" ht="21" customHeight="1" x14ac:dyDescent="0.2">
      <c r="A465" s="30"/>
      <c r="B465" s="48" t="s">
        <v>7</v>
      </c>
      <c r="C465" s="39">
        <f>IF($J$1="January",P459,IF($J$1="February",P460,IF($J$1="March",P461,IF($J$1="April",P462,IF($J$1="May",P463,IF($J$1="June",P464,IF($J$1="July",P465,IF($J$1="August",P466,IF($J$1="August",P466,IF($J$1="September",P467,IF($J$1="October",P468,IF($J$1="November",P469,IF($J$1="December",P470)))))))))))))</f>
        <v>30</v>
      </c>
      <c r="F465" s="48" t="s">
        <v>66</v>
      </c>
      <c r="G465" s="43">
        <f>IF($J$1="January",W459,IF($J$1="February",W460,IF($J$1="March",W461,IF($J$1="April",W462,IF($J$1="May",W463,IF($J$1="June",W464,IF($J$1="July",W465,IF($J$1="August",W466,IF($J$1="August",W466,IF($J$1="September",W467,IF($J$1="October",W468,IF($J$1="November",W469,IF($J$1="December",W470)))))))))))))</f>
        <v>0</v>
      </c>
      <c r="H465" s="47"/>
      <c r="I465" s="405" t="s">
        <v>70</v>
      </c>
      <c r="J465" s="406"/>
      <c r="K465" s="53">
        <f>K463+K464</f>
        <v>38689.583333333328</v>
      </c>
      <c r="L465" s="54"/>
      <c r="N465" s="71"/>
      <c r="O465" s="72" t="s">
        <v>51</v>
      </c>
      <c r="P465" s="72"/>
      <c r="Q465" s="72"/>
      <c r="R465" s="72">
        <v>0</v>
      </c>
      <c r="S465" s="63"/>
      <c r="T465" s="72" t="s">
        <v>51</v>
      </c>
      <c r="U465" s="105" t="str">
        <f>IF($J$1="June","",Y464)</f>
        <v/>
      </c>
      <c r="V465" s="74"/>
      <c r="W465" s="105" t="str">
        <f t="shared" si="96"/>
        <v/>
      </c>
      <c r="X465" s="74"/>
      <c r="Y465" s="105" t="str">
        <f t="shared" si="97"/>
        <v/>
      </c>
      <c r="Z465" s="76"/>
    </row>
    <row r="466" spans="1:27" s="29" customFormat="1" ht="21" customHeight="1" x14ac:dyDescent="0.2">
      <c r="A466" s="30"/>
      <c r="B466" s="48" t="s">
        <v>6</v>
      </c>
      <c r="C466" s="39">
        <f>IF($J$1="January",Q459,IF($J$1="February",Q460,IF($J$1="March",Q461,IF($J$1="April",Q462,IF($J$1="May",Q463,IF($J$1="June",Q464,IF($J$1="July",Q465,IF($J$1="August",Q466,IF($J$1="August",Q466,IF($J$1="September",Q467,IF($J$1="October",Q468,IF($J$1="November",Q469,IF($J$1="December",Q470)))))))))))))</f>
        <v>0</v>
      </c>
      <c r="F466" s="48" t="s">
        <v>22</v>
      </c>
      <c r="G466" s="43">
        <f>IF($J$1="January",X459,IF($J$1="February",X460,IF($J$1="March",X461,IF($J$1="April",X462,IF($J$1="May",X463,IF($J$1="June",X464,IF($J$1="July",X465,IF($J$1="August",X466,IF($J$1="August",X466,IF($J$1="September",X467,IF($J$1="October",X468,IF($J$1="November",X469,IF($J$1="December",X470)))))))))))))</f>
        <v>0</v>
      </c>
      <c r="H466" s="47"/>
      <c r="I466" s="405" t="s">
        <v>71</v>
      </c>
      <c r="J466" s="406"/>
      <c r="K466" s="43">
        <f>G466</f>
        <v>0</v>
      </c>
      <c r="L466" s="55"/>
      <c r="N466" s="71"/>
      <c r="O466" s="72" t="s">
        <v>52</v>
      </c>
      <c r="P466" s="72"/>
      <c r="Q466" s="72"/>
      <c r="R466" s="72">
        <v>0</v>
      </c>
      <c r="S466" s="63"/>
      <c r="T466" s="72" t="s">
        <v>52</v>
      </c>
      <c r="U466" s="105" t="str">
        <f>IF($J$1="July","",Y465)</f>
        <v/>
      </c>
      <c r="V466" s="74"/>
      <c r="W466" s="105" t="str">
        <f t="shared" si="96"/>
        <v/>
      </c>
      <c r="X466" s="74"/>
      <c r="Y466" s="105" t="str">
        <f t="shared" si="97"/>
        <v/>
      </c>
      <c r="Z466" s="76"/>
    </row>
    <row r="467" spans="1:27" s="29" customFormat="1" ht="21" customHeight="1" x14ac:dyDescent="0.2">
      <c r="A467" s="30"/>
      <c r="B467" s="56" t="s">
        <v>69</v>
      </c>
      <c r="C467" s="39">
        <f>IF($J$1="January",R459,IF($J$1="February",R460,IF($J$1="March",R461,IF($J$1="April",R462,IF($J$1="May",R463,IF($J$1="June",R464,IF($J$1="July",R465,IF($J$1="August",R466,IF($J$1="August",R466,IF($J$1="September",R467,IF($J$1="October",R468,IF($J$1="November",R469,IF($J$1="December",R470)))))))))))))</f>
        <v>0</v>
      </c>
      <c r="F467" s="48" t="s">
        <v>68</v>
      </c>
      <c r="G467" s="43">
        <f>IF($J$1="January",Y459,IF($J$1="February",Y460,IF($J$1="March",Y461,IF($J$1="April",Y462,IF($J$1="May",Y463,IF($J$1="June",Y464,IF($J$1="July",Y465,IF($J$1="August",Y466,IF($J$1="August",Y466,IF($J$1="September",Y467,IF($J$1="October",Y468,IF($J$1="November",Y469,IF($J$1="December",Y470)))))))))))))</f>
        <v>0</v>
      </c>
      <c r="I467" s="394" t="s">
        <v>64</v>
      </c>
      <c r="J467" s="396"/>
      <c r="K467" s="57">
        <f>K465-K466</f>
        <v>38689.583333333328</v>
      </c>
      <c r="L467" s="58"/>
      <c r="N467" s="71"/>
      <c r="O467" s="72" t="s">
        <v>57</v>
      </c>
      <c r="P467" s="72"/>
      <c r="Q467" s="72"/>
      <c r="R467" s="72"/>
      <c r="S467" s="63"/>
      <c r="T467" s="72" t="s">
        <v>57</v>
      </c>
      <c r="U467" s="105" t="str">
        <f>IF($J$1="July","",Y466)</f>
        <v/>
      </c>
      <c r="V467" s="74"/>
      <c r="W467" s="105" t="str">
        <f t="shared" ref="W467" si="98">IF(U467="","",U467+V467)</f>
        <v/>
      </c>
      <c r="X467" s="74"/>
      <c r="Y467" s="105" t="str">
        <f t="shared" ref="Y467" si="99">IF(W467="","",W467-X467)</f>
        <v/>
      </c>
      <c r="Z467" s="76"/>
    </row>
    <row r="468" spans="1:27" s="29" customFormat="1" ht="21" customHeight="1" x14ac:dyDescent="0.2">
      <c r="A468" s="30"/>
      <c r="K468" s="107"/>
      <c r="L468" s="46"/>
      <c r="N468" s="71"/>
      <c r="O468" s="72" t="s">
        <v>53</v>
      </c>
      <c r="P468" s="72"/>
      <c r="Q468" s="72"/>
      <c r="R468" s="72"/>
      <c r="S468" s="63"/>
      <c r="T468" s="72" t="s">
        <v>53</v>
      </c>
      <c r="U468" s="105"/>
      <c r="V468" s="74"/>
      <c r="W468" s="105" t="str">
        <f t="shared" si="96"/>
        <v/>
      </c>
      <c r="X468" s="74"/>
      <c r="Y468" s="105" t="str">
        <f t="shared" si="97"/>
        <v/>
      </c>
      <c r="Z468" s="76"/>
    </row>
    <row r="469" spans="1:27" s="29" customFormat="1" ht="21" customHeight="1" x14ac:dyDescent="0.2">
      <c r="A469" s="30"/>
      <c r="B469" s="407" t="s">
        <v>87</v>
      </c>
      <c r="C469" s="407"/>
      <c r="D469" s="407"/>
      <c r="E469" s="407"/>
      <c r="F469" s="407"/>
      <c r="G469" s="407"/>
      <c r="H469" s="407"/>
      <c r="I469" s="407"/>
      <c r="J469" s="407"/>
      <c r="K469" s="407"/>
      <c r="L469" s="46"/>
      <c r="N469" s="71"/>
      <c r="O469" s="72" t="s">
        <v>58</v>
      </c>
      <c r="P469" s="72"/>
      <c r="Q469" s="72"/>
      <c r="R469" s="72"/>
      <c r="S469" s="63"/>
      <c r="T469" s="72" t="s">
        <v>58</v>
      </c>
      <c r="U469" s="105" t="str">
        <f>IF($J$1="October","",Y468)</f>
        <v/>
      </c>
      <c r="V469" s="74"/>
      <c r="W469" s="105" t="str">
        <f t="shared" si="96"/>
        <v/>
      </c>
      <c r="X469" s="74"/>
      <c r="Y469" s="105" t="str">
        <f t="shared" si="97"/>
        <v/>
      </c>
      <c r="Z469" s="76"/>
    </row>
    <row r="470" spans="1:27" s="29" customFormat="1" ht="21" customHeight="1" x14ac:dyDescent="0.2">
      <c r="A470" s="30"/>
      <c r="B470" s="407"/>
      <c r="C470" s="407"/>
      <c r="D470" s="407"/>
      <c r="E470" s="407"/>
      <c r="F470" s="407"/>
      <c r="G470" s="407"/>
      <c r="H470" s="407"/>
      <c r="I470" s="407"/>
      <c r="J470" s="407"/>
      <c r="K470" s="407"/>
      <c r="L470" s="46"/>
      <c r="N470" s="71"/>
      <c r="O470" s="72" t="s">
        <v>59</v>
      </c>
      <c r="P470" s="72"/>
      <c r="Q470" s="72"/>
      <c r="R470" s="72"/>
      <c r="S470" s="63"/>
      <c r="T470" s="72" t="s">
        <v>59</v>
      </c>
      <c r="U470" s="105" t="str">
        <f>IF($J$1="November","",Y469)</f>
        <v/>
      </c>
      <c r="V470" s="74"/>
      <c r="W470" s="105" t="str">
        <f t="shared" si="96"/>
        <v/>
      </c>
      <c r="X470" s="74"/>
      <c r="Y470" s="105" t="str">
        <f t="shared" si="97"/>
        <v/>
      </c>
      <c r="Z470" s="76"/>
    </row>
    <row r="471" spans="1:27" s="29" customFormat="1" ht="21" customHeight="1" thickBot="1" x14ac:dyDescent="0.25">
      <c r="A471" s="59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1"/>
      <c r="N471" s="77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9"/>
    </row>
    <row r="472" spans="1:27" ht="15.75" thickBot="1" x14ac:dyDescent="0.3"/>
    <row r="473" spans="1:27" s="29" customFormat="1" ht="21" customHeight="1" x14ac:dyDescent="0.2">
      <c r="A473" s="418" t="s">
        <v>41</v>
      </c>
      <c r="B473" s="403"/>
      <c r="C473" s="403"/>
      <c r="D473" s="403"/>
      <c r="E473" s="403"/>
      <c r="F473" s="403"/>
      <c r="G473" s="403"/>
      <c r="H473" s="403"/>
      <c r="I473" s="403"/>
      <c r="J473" s="403"/>
      <c r="K473" s="403"/>
      <c r="L473" s="419"/>
      <c r="M473" s="28"/>
      <c r="N473" s="64"/>
      <c r="O473" s="408" t="s">
        <v>43</v>
      </c>
      <c r="P473" s="409"/>
      <c r="Q473" s="409"/>
      <c r="R473" s="410"/>
      <c r="S473" s="65"/>
      <c r="T473" s="408" t="s">
        <v>44</v>
      </c>
      <c r="U473" s="409"/>
      <c r="V473" s="409"/>
      <c r="W473" s="409"/>
      <c r="X473" s="409"/>
      <c r="Y473" s="410"/>
      <c r="Z473" s="66"/>
      <c r="AA473" s="28"/>
    </row>
    <row r="474" spans="1:27" s="29" customFormat="1" ht="21" customHeight="1" x14ac:dyDescent="0.2">
      <c r="A474" s="292"/>
      <c r="C474" s="398" t="s">
        <v>85</v>
      </c>
      <c r="D474" s="398"/>
      <c r="E474" s="398"/>
      <c r="F474" s="398"/>
      <c r="G474" s="31" t="str">
        <f>$J$1</f>
        <v>April</v>
      </c>
      <c r="H474" s="397">
        <f>$K$1</f>
        <v>2023</v>
      </c>
      <c r="I474" s="397"/>
      <c r="K474" s="32"/>
      <c r="L474" s="293"/>
      <c r="M474" s="32"/>
      <c r="N474" s="67"/>
      <c r="O474" s="68" t="s">
        <v>54</v>
      </c>
      <c r="P474" s="68" t="s">
        <v>7</v>
      </c>
      <c r="Q474" s="68" t="s">
        <v>6</v>
      </c>
      <c r="R474" s="68" t="s">
        <v>55</v>
      </c>
      <c r="S474" s="69"/>
      <c r="T474" s="68" t="s">
        <v>54</v>
      </c>
      <c r="U474" s="68" t="s">
        <v>56</v>
      </c>
      <c r="V474" s="68" t="s">
        <v>21</v>
      </c>
      <c r="W474" s="68" t="s">
        <v>20</v>
      </c>
      <c r="X474" s="68" t="s">
        <v>22</v>
      </c>
      <c r="Y474" s="68" t="s">
        <v>60</v>
      </c>
      <c r="Z474" s="70"/>
      <c r="AA474" s="32"/>
    </row>
    <row r="475" spans="1:27" s="29" customFormat="1" ht="21" customHeight="1" x14ac:dyDescent="0.2">
      <c r="A475" s="292"/>
      <c r="D475" s="35"/>
      <c r="E475" s="35"/>
      <c r="F475" s="35"/>
      <c r="G475" s="35"/>
      <c r="H475" s="35"/>
      <c r="J475" s="36" t="s">
        <v>1</v>
      </c>
      <c r="K475" s="37">
        <v>30000</v>
      </c>
      <c r="L475" s="294"/>
      <c r="N475" s="71"/>
      <c r="O475" s="72" t="s">
        <v>46</v>
      </c>
      <c r="P475" s="72"/>
      <c r="Q475" s="72"/>
      <c r="R475" s="72"/>
      <c r="S475" s="73"/>
      <c r="T475" s="72" t="s">
        <v>46</v>
      </c>
      <c r="U475" s="74"/>
      <c r="V475" s="74"/>
      <c r="W475" s="74">
        <f>V475+U475</f>
        <v>0</v>
      </c>
      <c r="X475" s="74"/>
      <c r="Y475" s="74">
        <f>W475-X475</f>
        <v>0</v>
      </c>
      <c r="Z475" s="70"/>
    </row>
    <row r="476" spans="1:27" s="29" customFormat="1" ht="21" customHeight="1" x14ac:dyDescent="0.2">
      <c r="A476" s="292"/>
      <c r="B476" s="29" t="s">
        <v>0</v>
      </c>
      <c r="C476" s="40" t="s">
        <v>233</v>
      </c>
      <c r="H476" s="41"/>
      <c r="I476" s="35"/>
      <c r="L476" s="295"/>
      <c r="M476" s="28"/>
      <c r="N476" s="75"/>
      <c r="O476" s="72" t="s">
        <v>72</v>
      </c>
      <c r="P476" s="72"/>
      <c r="Q476" s="72"/>
      <c r="R476" s="72" t="str">
        <f t="shared" ref="R476:R486" si="100">IF(Q476="","",R475-Q476)</f>
        <v/>
      </c>
      <c r="S476" s="63"/>
      <c r="T476" s="72" t="s">
        <v>72</v>
      </c>
      <c r="U476" s="105"/>
      <c r="V476" s="74"/>
      <c r="W476" s="105" t="str">
        <f>IF(U476="","",U476+V476)</f>
        <v/>
      </c>
      <c r="X476" s="74"/>
      <c r="Y476" s="105" t="str">
        <f>IF(W476="","",W476-X476)</f>
        <v/>
      </c>
      <c r="Z476" s="76"/>
      <c r="AA476" s="28"/>
    </row>
    <row r="477" spans="1:27" s="29" customFormat="1" ht="21" customHeight="1" x14ac:dyDescent="0.2">
      <c r="A477" s="292"/>
      <c r="B477" s="44" t="s">
        <v>42</v>
      </c>
      <c r="C477" s="45"/>
      <c r="F477" s="414" t="s">
        <v>44</v>
      </c>
      <c r="G477" s="414"/>
      <c r="I477" s="414" t="s">
        <v>45</v>
      </c>
      <c r="J477" s="414"/>
      <c r="K477" s="414"/>
      <c r="L477" s="296"/>
      <c r="N477" s="71"/>
      <c r="O477" s="72" t="s">
        <v>47</v>
      </c>
      <c r="P477" s="72">
        <f>31-9</f>
        <v>22</v>
      </c>
      <c r="Q477" s="72">
        <v>9</v>
      </c>
      <c r="R477" s="72">
        <v>0</v>
      </c>
      <c r="S477" s="63"/>
      <c r="T477" s="72" t="s">
        <v>47</v>
      </c>
      <c r="U477" s="105"/>
      <c r="V477" s="74"/>
      <c r="W477" s="105" t="str">
        <f t="shared" ref="W477:W486" si="101">IF(U477="","",U477+V477)</f>
        <v/>
      </c>
      <c r="X477" s="74"/>
      <c r="Y477" s="105" t="str">
        <f t="shared" ref="Y477:Y486" si="102">IF(W477="","",W477-X477)</f>
        <v/>
      </c>
      <c r="Z477" s="76"/>
    </row>
    <row r="478" spans="1:27" s="29" customFormat="1" ht="21" customHeight="1" x14ac:dyDescent="0.2">
      <c r="A478" s="292"/>
      <c r="H478" s="47"/>
      <c r="L478" s="297"/>
      <c r="N478" s="71"/>
      <c r="O478" s="72" t="s">
        <v>48</v>
      </c>
      <c r="P478" s="72">
        <v>30</v>
      </c>
      <c r="Q478" s="72">
        <v>0</v>
      </c>
      <c r="R478" s="72">
        <f t="shared" si="100"/>
        <v>0</v>
      </c>
      <c r="S478" s="63"/>
      <c r="T478" s="72" t="s">
        <v>48</v>
      </c>
      <c r="U478" s="105"/>
      <c r="V478" s="74"/>
      <c r="W478" s="105" t="str">
        <f t="shared" si="101"/>
        <v/>
      </c>
      <c r="X478" s="74"/>
      <c r="Y478" s="105" t="str">
        <f t="shared" si="102"/>
        <v/>
      </c>
      <c r="Z478" s="76"/>
    </row>
    <row r="479" spans="1:27" s="29" customFormat="1" ht="21" customHeight="1" x14ac:dyDescent="0.2">
      <c r="A479" s="292"/>
      <c r="B479" s="392" t="s">
        <v>43</v>
      </c>
      <c r="C479" s="393"/>
      <c r="F479" s="48" t="s">
        <v>65</v>
      </c>
      <c r="G479" s="43">
        <f>IF($J$1="January",U475,IF($J$1="February",U476,IF($J$1="March",U477,IF($J$1="April",U478,IF($J$1="May",U479,IF($J$1="June",U480,IF($J$1="July",U481,IF($J$1="August",U482,IF($J$1="August",U482,IF($J$1="September",U483,IF($J$1="October",U484,IF($J$1="November",U485,IF($J$1="December",U486)))))))))))))</f>
        <v>0</v>
      </c>
      <c r="H479" s="47"/>
      <c r="I479" s="49">
        <f>IF(C483&gt;0,$K$2,C481)</f>
        <v>30</v>
      </c>
      <c r="J479" s="50" t="s">
        <v>62</v>
      </c>
      <c r="K479" s="51">
        <f>K475/$K$2*I479</f>
        <v>30000</v>
      </c>
      <c r="L479" s="298"/>
      <c r="N479" s="71"/>
      <c r="O479" s="72" t="s">
        <v>49</v>
      </c>
      <c r="P479" s="72"/>
      <c r="Q479" s="72"/>
      <c r="R479" s="72" t="str">
        <f t="shared" si="100"/>
        <v/>
      </c>
      <c r="S479" s="63"/>
      <c r="T479" s="72" t="s">
        <v>49</v>
      </c>
      <c r="U479" s="105"/>
      <c r="V479" s="74"/>
      <c r="W479" s="105" t="str">
        <f t="shared" si="101"/>
        <v/>
      </c>
      <c r="X479" s="74"/>
      <c r="Y479" s="105" t="str">
        <f t="shared" si="102"/>
        <v/>
      </c>
      <c r="Z479" s="76"/>
    </row>
    <row r="480" spans="1:27" s="29" customFormat="1" ht="21" customHeight="1" x14ac:dyDescent="0.2">
      <c r="A480" s="292"/>
      <c r="B480" s="39"/>
      <c r="C480" s="39"/>
      <c r="F480" s="48" t="s">
        <v>21</v>
      </c>
      <c r="G480" s="43">
        <f>IF($J$1="January",V475,IF($J$1="February",V476,IF($J$1="March",V477,IF($J$1="April",V478,IF($J$1="May",V479,IF($J$1="June",V480,IF($J$1="July",V481,IF($J$1="August",V482,IF($J$1="August",V482,IF($J$1="September",V483,IF($J$1="October",V484,IF($J$1="November",V485,IF($J$1="December",V486)))))))))))))</f>
        <v>0</v>
      </c>
      <c r="H480" s="47"/>
      <c r="I480" s="84">
        <v>2</v>
      </c>
      <c r="J480" s="50" t="s">
        <v>63</v>
      </c>
      <c r="K480" s="53">
        <f>K475/$K$2/8*I480</f>
        <v>250</v>
      </c>
      <c r="L480" s="299"/>
      <c r="N480" s="71"/>
      <c r="O480" s="72" t="s">
        <v>50</v>
      </c>
      <c r="P480" s="72"/>
      <c r="Q480" s="72"/>
      <c r="R480" s="72" t="str">
        <f t="shared" si="100"/>
        <v/>
      </c>
      <c r="S480" s="63"/>
      <c r="T480" s="72" t="s">
        <v>50</v>
      </c>
      <c r="U480" s="105"/>
      <c r="V480" s="74"/>
      <c r="W480" s="105" t="str">
        <f t="shared" si="101"/>
        <v/>
      </c>
      <c r="X480" s="74"/>
      <c r="Y480" s="105" t="str">
        <f t="shared" si="102"/>
        <v/>
      </c>
      <c r="Z480" s="76"/>
    </row>
    <row r="481" spans="1:26" s="29" customFormat="1" ht="21" customHeight="1" x14ac:dyDescent="0.2">
      <c r="A481" s="292"/>
      <c r="B481" s="48" t="s">
        <v>7</v>
      </c>
      <c r="C481" s="39">
        <f>IF($J$1="January",P475,IF($J$1="February",P476,IF($J$1="March",P477,IF($J$1="April",P478,IF($J$1="May",P479,IF($J$1="June",P480,IF($J$1="July",P481,IF($J$1="August",P482,IF($J$1="August",P482,IF($J$1="September",P483,IF($J$1="October",P484,IF($J$1="November",P485,IF($J$1="December",P486)))))))))))))</f>
        <v>30</v>
      </c>
      <c r="F481" s="48" t="s">
        <v>66</v>
      </c>
      <c r="G481" s="43" t="str">
        <f>IF($J$1="January",W475,IF($J$1="February",W476,IF($J$1="March",W477,IF($J$1="April",W478,IF($J$1="May",W479,IF($J$1="June",W480,IF($J$1="July",W481,IF($J$1="August",W482,IF($J$1="August",W482,IF($J$1="September",W483,IF($J$1="October",W484,IF($J$1="November",W485,IF($J$1="December",W486)))))))))))))</f>
        <v/>
      </c>
      <c r="H481" s="47"/>
      <c r="I481" s="405" t="s">
        <v>70</v>
      </c>
      <c r="J481" s="406"/>
      <c r="K481" s="53">
        <f>K479+K480</f>
        <v>30250</v>
      </c>
      <c r="L481" s="299"/>
      <c r="N481" s="71"/>
      <c r="O481" s="72" t="s">
        <v>51</v>
      </c>
      <c r="P481" s="72"/>
      <c r="Q481" s="72"/>
      <c r="R481" s="72" t="str">
        <f t="shared" si="100"/>
        <v/>
      </c>
      <c r="S481" s="63"/>
      <c r="T481" s="72" t="s">
        <v>51</v>
      </c>
      <c r="U481" s="105"/>
      <c r="V481" s="74"/>
      <c r="W481" s="105" t="str">
        <f t="shared" si="101"/>
        <v/>
      </c>
      <c r="X481" s="74"/>
      <c r="Y481" s="105" t="str">
        <f t="shared" si="102"/>
        <v/>
      </c>
      <c r="Z481" s="76"/>
    </row>
    <row r="482" spans="1:26" s="29" customFormat="1" ht="21" customHeight="1" x14ac:dyDescent="0.2">
      <c r="A482" s="292"/>
      <c r="B482" s="48" t="s">
        <v>6</v>
      </c>
      <c r="C482" s="39">
        <f>IF($J$1="January",Q475,IF($J$1="February",Q476,IF($J$1="March",Q477,IF($J$1="April",Q478,IF($J$1="May",Q479,IF($J$1="June",Q480,IF($J$1="July",Q481,IF($J$1="August",Q482,IF($J$1="August",Q482,IF($J$1="September",Q483,IF($J$1="October",Q484,IF($J$1="November",Q485,IF($J$1="December",Q486)))))))))))))</f>
        <v>0</v>
      </c>
      <c r="F482" s="48" t="s">
        <v>22</v>
      </c>
      <c r="G482" s="43">
        <f>IF($J$1="January",X475,IF($J$1="February",X476,IF($J$1="March",X477,IF($J$1="April",X478,IF($J$1="May",X479,IF($J$1="June",X480,IF($J$1="July",X481,IF($J$1="August",X482,IF($J$1="August",X482,IF($J$1="September",X483,IF($J$1="October",X484,IF($J$1="November",X485,IF($J$1="December",X486)))))))))))))</f>
        <v>0</v>
      </c>
      <c r="H482" s="47"/>
      <c r="I482" s="405" t="s">
        <v>71</v>
      </c>
      <c r="J482" s="406"/>
      <c r="K482" s="43">
        <f>G482</f>
        <v>0</v>
      </c>
      <c r="L482" s="300"/>
      <c r="N482" s="71"/>
      <c r="O482" s="72" t="s">
        <v>52</v>
      </c>
      <c r="P482" s="72"/>
      <c r="Q482" s="72"/>
      <c r="R482" s="72" t="str">
        <f t="shared" si="100"/>
        <v/>
      </c>
      <c r="S482" s="63"/>
      <c r="T482" s="72" t="s">
        <v>52</v>
      </c>
      <c r="U482" s="105">
        <v>0</v>
      </c>
      <c r="V482" s="74"/>
      <c r="W482" s="105">
        <f t="shared" si="101"/>
        <v>0</v>
      </c>
      <c r="X482" s="74"/>
      <c r="Y482" s="105">
        <f t="shared" si="102"/>
        <v>0</v>
      </c>
      <c r="Z482" s="76"/>
    </row>
    <row r="483" spans="1:26" s="29" customFormat="1" ht="21" customHeight="1" x14ac:dyDescent="0.2">
      <c r="A483" s="292"/>
      <c r="B483" s="56" t="s">
        <v>69</v>
      </c>
      <c r="C483" s="39">
        <f>IF($J$1="January",R475,IF($J$1="February",R476,IF($J$1="March",R477,IF($J$1="April",R478,IF($J$1="May",R479,IF($J$1="June",R480,IF($J$1="July",R481,IF($J$1="August",R482,IF($J$1="August",R482,IF($J$1="September",R483,IF($J$1="October",R484,IF($J$1="November",R485,IF($J$1="December",R486)))))))))))))</f>
        <v>0</v>
      </c>
      <c r="F483" s="48" t="s">
        <v>68</v>
      </c>
      <c r="G483" s="43" t="str">
        <f>IF($J$1="January",Y475,IF($J$1="February",Y476,IF($J$1="March",Y477,IF($J$1="April",Y478,IF($J$1="May",Y479,IF($J$1="June",Y480,IF($J$1="July",Y481,IF($J$1="August",Y482,IF($J$1="August",Y482,IF($J$1="September",Y483,IF($J$1="October",Y484,IF($J$1="November",Y485,IF($J$1="December",Y486)))))))))))))</f>
        <v/>
      </c>
      <c r="I483" s="394" t="s">
        <v>64</v>
      </c>
      <c r="J483" s="396"/>
      <c r="K483" s="57">
        <f>K481-K482</f>
        <v>30250</v>
      </c>
      <c r="L483" s="301"/>
      <c r="N483" s="71"/>
      <c r="O483" s="72" t="s">
        <v>57</v>
      </c>
      <c r="P483" s="72"/>
      <c r="Q483" s="72"/>
      <c r="R483" s="72" t="str">
        <f t="shared" si="100"/>
        <v/>
      </c>
      <c r="S483" s="63"/>
      <c r="T483" s="72" t="s">
        <v>57</v>
      </c>
      <c r="U483" s="105">
        <f>Y482</f>
        <v>0</v>
      </c>
      <c r="V483" s="74"/>
      <c r="W483" s="105">
        <f t="shared" si="101"/>
        <v>0</v>
      </c>
      <c r="X483" s="74"/>
      <c r="Y483" s="105">
        <f t="shared" si="102"/>
        <v>0</v>
      </c>
      <c r="Z483" s="76"/>
    </row>
    <row r="484" spans="1:26" s="29" customFormat="1" ht="21" customHeight="1" x14ac:dyDescent="0.2">
      <c r="A484" s="292"/>
      <c r="K484" s="107"/>
      <c r="L484" s="296"/>
      <c r="N484" s="71"/>
      <c r="O484" s="72" t="s">
        <v>53</v>
      </c>
      <c r="P484" s="72"/>
      <c r="Q484" s="72"/>
      <c r="R484" s="72" t="str">
        <f t="shared" si="100"/>
        <v/>
      </c>
      <c r="S484" s="63"/>
      <c r="T484" s="72" t="s">
        <v>53</v>
      </c>
      <c r="U484" s="105">
        <v>0</v>
      </c>
      <c r="V484" s="74"/>
      <c r="W484" s="105">
        <f t="shared" si="101"/>
        <v>0</v>
      </c>
      <c r="X484" s="74"/>
      <c r="Y484" s="105">
        <f t="shared" si="102"/>
        <v>0</v>
      </c>
      <c r="Z484" s="76"/>
    </row>
    <row r="485" spans="1:26" s="29" customFormat="1" ht="21" customHeight="1" x14ac:dyDescent="0.2">
      <c r="A485" s="292"/>
      <c r="B485" s="407" t="s">
        <v>87</v>
      </c>
      <c r="C485" s="407"/>
      <c r="D485" s="407"/>
      <c r="E485" s="407"/>
      <c r="F485" s="407"/>
      <c r="G485" s="407"/>
      <c r="H485" s="407"/>
      <c r="I485" s="407"/>
      <c r="J485" s="407"/>
      <c r="K485" s="407"/>
      <c r="L485" s="296"/>
      <c r="N485" s="71"/>
      <c r="O485" s="72" t="s">
        <v>58</v>
      </c>
      <c r="P485" s="72"/>
      <c r="Q485" s="72"/>
      <c r="R485" s="72" t="str">
        <f t="shared" si="100"/>
        <v/>
      </c>
      <c r="S485" s="63"/>
      <c r="T485" s="72" t="s">
        <v>58</v>
      </c>
      <c r="U485" s="105"/>
      <c r="V485" s="74"/>
      <c r="W485" s="105" t="str">
        <f t="shared" si="101"/>
        <v/>
      </c>
      <c r="X485" s="74"/>
      <c r="Y485" s="105" t="str">
        <f t="shared" si="102"/>
        <v/>
      </c>
      <c r="Z485" s="76"/>
    </row>
    <row r="486" spans="1:26" s="29" customFormat="1" ht="21" customHeight="1" x14ac:dyDescent="0.2">
      <c r="A486" s="292"/>
      <c r="B486" s="407"/>
      <c r="C486" s="407"/>
      <c r="D486" s="407"/>
      <c r="E486" s="407"/>
      <c r="F486" s="407"/>
      <c r="G486" s="407"/>
      <c r="H486" s="407"/>
      <c r="I486" s="407"/>
      <c r="J486" s="407"/>
      <c r="K486" s="407"/>
      <c r="L486" s="296"/>
      <c r="N486" s="71"/>
      <c r="O486" s="72" t="s">
        <v>59</v>
      </c>
      <c r="P486" s="72"/>
      <c r="Q486" s="72"/>
      <c r="R486" s="72" t="str">
        <f t="shared" si="100"/>
        <v/>
      </c>
      <c r="S486" s="63"/>
      <c r="T486" s="72" t="s">
        <v>59</v>
      </c>
      <c r="U486" s="105"/>
      <c r="V486" s="74"/>
      <c r="W486" s="105" t="str">
        <f t="shared" si="101"/>
        <v/>
      </c>
      <c r="X486" s="74"/>
      <c r="Y486" s="105" t="str">
        <f t="shared" si="102"/>
        <v/>
      </c>
      <c r="Z486" s="76"/>
    </row>
    <row r="487" spans="1:26" s="29" customFormat="1" ht="21" customHeight="1" thickBot="1" x14ac:dyDescent="0.25">
      <c r="A487" s="302"/>
      <c r="B487" s="96"/>
      <c r="C487" s="96"/>
      <c r="D487" s="96"/>
      <c r="E487" s="96"/>
      <c r="F487" s="96"/>
      <c r="G487" s="96"/>
      <c r="H487" s="96"/>
      <c r="I487" s="96"/>
      <c r="J487" s="96"/>
      <c r="K487" s="96"/>
      <c r="L487" s="303"/>
      <c r="N487" s="77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9"/>
    </row>
    <row r="488" spans="1:26" s="29" customFormat="1" ht="21" customHeight="1" thickBot="1" x14ac:dyDescent="0.25">
      <c r="A488" s="96"/>
      <c r="B488" s="96"/>
      <c r="C488" s="96"/>
      <c r="D488" s="96"/>
      <c r="E488" s="96"/>
      <c r="F488" s="96"/>
      <c r="G488" s="96"/>
      <c r="H488" s="96"/>
      <c r="I488" s="96"/>
      <c r="J488" s="96"/>
      <c r="K488" s="96"/>
      <c r="L488" s="96"/>
      <c r="N488" s="71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85"/>
    </row>
    <row r="489" spans="1:26" s="29" customFormat="1" ht="21" customHeight="1" x14ac:dyDescent="0.2">
      <c r="A489" s="415" t="s">
        <v>41</v>
      </c>
      <c r="B489" s="416"/>
      <c r="C489" s="416"/>
      <c r="D489" s="416"/>
      <c r="E489" s="416"/>
      <c r="F489" s="416"/>
      <c r="G489" s="416"/>
      <c r="H489" s="416"/>
      <c r="I489" s="416"/>
      <c r="J489" s="416"/>
      <c r="K489" s="416"/>
      <c r="L489" s="417"/>
      <c r="M489" s="28"/>
      <c r="N489" s="64"/>
      <c r="O489" s="408" t="s">
        <v>43</v>
      </c>
      <c r="P489" s="409"/>
      <c r="Q489" s="409"/>
      <c r="R489" s="410"/>
      <c r="S489" s="65"/>
      <c r="T489" s="408" t="s">
        <v>44</v>
      </c>
      <c r="U489" s="409"/>
      <c r="V489" s="409"/>
      <c r="W489" s="409"/>
      <c r="X489" s="409"/>
      <c r="Y489" s="410"/>
      <c r="Z489" s="66"/>
    </row>
    <row r="490" spans="1:26" s="29" customFormat="1" ht="21" customHeight="1" x14ac:dyDescent="0.2">
      <c r="A490" s="30"/>
      <c r="C490" s="398" t="s">
        <v>85</v>
      </c>
      <c r="D490" s="398"/>
      <c r="E490" s="398"/>
      <c r="F490" s="398"/>
      <c r="G490" s="31" t="str">
        <f>$J$1</f>
        <v>April</v>
      </c>
      <c r="H490" s="397">
        <f>$K$1</f>
        <v>2023</v>
      </c>
      <c r="I490" s="397"/>
      <c r="K490" s="32"/>
      <c r="L490" s="33"/>
      <c r="M490" s="32"/>
      <c r="N490" s="67"/>
      <c r="O490" s="68" t="s">
        <v>54</v>
      </c>
      <c r="P490" s="68" t="s">
        <v>7</v>
      </c>
      <c r="Q490" s="68" t="s">
        <v>6</v>
      </c>
      <c r="R490" s="68" t="s">
        <v>55</v>
      </c>
      <c r="S490" s="69"/>
      <c r="T490" s="68" t="s">
        <v>54</v>
      </c>
      <c r="U490" s="68" t="s">
        <v>56</v>
      </c>
      <c r="V490" s="68" t="s">
        <v>21</v>
      </c>
      <c r="W490" s="68" t="s">
        <v>20</v>
      </c>
      <c r="X490" s="68" t="s">
        <v>22</v>
      </c>
      <c r="Y490" s="68" t="s">
        <v>60</v>
      </c>
      <c r="Z490" s="70"/>
    </row>
    <row r="491" spans="1:26" s="29" customFormat="1" ht="21" customHeight="1" x14ac:dyDescent="0.2">
      <c r="A491" s="30"/>
      <c r="D491" s="35"/>
      <c r="E491" s="35"/>
      <c r="F491" s="35"/>
      <c r="G491" s="35"/>
      <c r="H491" s="35"/>
      <c r="J491" s="36" t="s">
        <v>1</v>
      </c>
      <c r="K491" s="37">
        <f>25000+2500+2000</f>
        <v>29500</v>
      </c>
      <c r="L491" s="38"/>
      <c r="N491" s="71"/>
      <c r="O491" s="72" t="s">
        <v>46</v>
      </c>
      <c r="P491" s="72">
        <v>31</v>
      </c>
      <c r="Q491" s="72">
        <v>0</v>
      </c>
      <c r="R491" s="72">
        <v>0</v>
      </c>
      <c r="S491" s="73"/>
      <c r="T491" s="72" t="s">
        <v>46</v>
      </c>
      <c r="U491" s="74"/>
      <c r="V491" s="74"/>
      <c r="W491" s="74">
        <f>V491+U491</f>
        <v>0</v>
      </c>
      <c r="X491" s="74"/>
      <c r="Y491" s="74">
        <f>W491-X491</f>
        <v>0</v>
      </c>
      <c r="Z491" s="70"/>
    </row>
    <row r="492" spans="1:26" s="29" customFormat="1" ht="21" customHeight="1" x14ac:dyDescent="0.2">
      <c r="A492" s="30"/>
      <c r="B492" s="29" t="s">
        <v>0</v>
      </c>
      <c r="C492" s="40" t="s">
        <v>110</v>
      </c>
      <c r="H492" s="41"/>
      <c r="I492" s="35"/>
      <c r="L492" s="42"/>
      <c r="M492" s="28"/>
      <c r="N492" s="75"/>
      <c r="O492" s="72" t="s">
        <v>72</v>
      </c>
      <c r="P492" s="72">
        <v>28</v>
      </c>
      <c r="Q492" s="72">
        <v>0</v>
      </c>
      <c r="R492" s="72">
        <v>0</v>
      </c>
      <c r="S492" s="63"/>
      <c r="T492" s="72" t="s">
        <v>72</v>
      </c>
      <c r="U492" s="105">
        <f>IF($J$1="January","",Y491)</f>
        <v>0</v>
      </c>
      <c r="V492" s="74"/>
      <c r="W492" s="105">
        <f>IF(U492="","",U492+V492)</f>
        <v>0</v>
      </c>
      <c r="X492" s="74"/>
      <c r="Y492" s="105">
        <f>IF(W492="","",W492-X492)</f>
        <v>0</v>
      </c>
      <c r="Z492" s="76"/>
    </row>
    <row r="493" spans="1:26" s="29" customFormat="1" ht="21" customHeight="1" x14ac:dyDescent="0.2">
      <c r="A493" s="30"/>
      <c r="B493" s="44" t="s">
        <v>42</v>
      </c>
      <c r="C493" s="118"/>
      <c r="F493" s="414" t="s">
        <v>44</v>
      </c>
      <c r="G493" s="414"/>
      <c r="I493" s="414" t="s">
        <v>45</v>
      </c>
      <c r="J493" s="414"/>
      <c r="K493" s="414"/>
      <c r="L493" s="46"/>
      <c r="N493" s="71"/>
      <c r="O493" s="72" t="s">
        <v>47</v>
      </c>
      <c r="P493" s="72">
        <v>31</v>
      </c>
      <c r="Q493" s="72">
        <v>0</v>
      </c>
      <c r="R493" s="72">
        <v>0</v>
      </c>
      <c r="S493" s="63"/>
      <c r="T493" s="72" t="s">
        <v>47</v>
      </c>
      <c r="U493" s="105">
        <f>IF($J$1="February","",Y492)</f>
        <v>0</v>
      </c>
      <c r="V493" s="74"/>
      <c r="W493" s="105">
        <f t="shared" ref="W493:W502" si="103">IF(U493="","",U493+V493)</f>
        <v>0</v>
      </c>
      <c r="X493" s="74"/>
      <c r="Y493" s="105">
        <f t="shared" ref="Y493:Y502" si="104">IF(W493="","",W493-X493)</f>
        <v>0</v>
      </c>
      <c r="Z493" s="76"/>
    </row>
    <row r="494" spans="1:26" s="29" customFormat="1" ht="21" customHeight="1" x14ac:dyDescent="0.2">
      <c r="A494" s="30"/>
      <c r="H494" s="47"/>
      <c r="L494" s="34"/>
      <c r="N494" s="71"/>
      <c r="O494" s="72" t="s">
        <v>48</v>
      </c>
      <c r="P494" s="72">
        <v>30</v>
      </c>
      <c r="Q494" s="72">
        <v>0</v>
      </c>
      <c r="R494" s="72">
        <v>0</v>
      </c>
      <c r="S494" s="63"/>
      <c r="T494" s="72" t="s">
        <v>48</v>
      </c>
      <c r="U494" s="105">
        <f>IF($J$1="March","",Y493)</f>
        <v>0</v>
      </c>
      <c r="V494" s="74"/>
      <c r="W494" s="105">
        <f t="shared" si="103"/>
        <v>0</v>
      </c>
      <c r="X494" s="74"/>
      <c r="Y494" s="105">
        <f t="shared" si="104"/>
        <v>0</v>
      </c>
      <c r="Z494" s="76"/>
    </row>
    <row r="495" spans="1:26" s="29" customFormat="1" ht="21" customHeight="1" x14ac:dyDescent="0.2">
      <c r="A495" s="30"/>
      <c r="B495" s="392" t="s">
        <v>43</v>
      </c>
      <c r="C495" s="393"/>
      <c r="F495" s="48" t="s">
        <v>65</v>
      </c>
      <c r="G495" s="43">
        <f>IF($J$1="January",U491,IF($J$1="February",U492,IF($J$1="March",U493,IF($J$1="April",U494,IF($J$1="May",U495,IF($J$1="June",U496,IF($J$1="July",U497,IF($J$1="August",U498,IF($J$1="August",U498,IF($J$1="September",U499,IF($J$1="October",U500,IF($J$1="November",U501,IF($J$1="December",U502)))))))))))))</f>
        <v>0</v>
      </c>
      <c r="H495" s="47"/>
      <c r="I495" s="49">
        <f>IF(C499&gt;0,$K$2,C497)</f>
        <v>30</v>
      </c>
      <c r="J495" s="50" t="s">
        <v>62</v>
      </c>
      <c r="K495" s="51">
        <f>K491/$K$2*I495</f>
        <v>29500</v>
      </c>
      <c r="L495" s="52"/>
      <c r="N495" s="71"/>
      <c r="O495" s="72" t="s">
        <v>49</v>
      </c>
      <c r="P495" s="72"/>
      <c r="Q495" s="72"/>
      <c r="R495" s="72">
        <v>0</v>
      </c>
      <c r="S495" s="63"/>
      <c r="T495" s="72" t="s">
        <v>49</v>
      </c>
      <c r="U495" s="105" t="str">
        <f>IF($J$1="April","",Y494)</f>
        <v/>
      </c>
      <c r="V495" s="74"/>
      <c r="W495" s="105" t="str">
        <f t="shared" si="103"/>
        <v/>
      </c>
      <c r="X495" s="74"/>
      <c r="Y495" s="105" t="str">
        <f t="shared" si="104"/>
        <v/>
      </c>
      <c r="Z495" s="76"/>
    </row>
    <row r="496" spans="1:26" s="29" customFormat="1" ht="21" customHeight="1" x14ac:dyDescent="0.2">
      <c r="A496" s="30"/>
      <c r="B496" s="39"/>
      <c r="C496" s="39"/>
      <c r="F496" s="48" t="s">
        <v>21</v>
      </c>
      <c r="G496" s="43">
        <f>IF($J$1="January",V491,IF($J$1="February",V492,IF($J$1="March",V493,IF($J$1="April",V494,IF($J$1="May",V495,IF($J$1="June",V496,IF($J$1="July",V497,IF($J$1="August",V498,IF($J$1="August",V498,IF($J$1="September",V499,IF($J$1="October",V500,IF($J$1="November",V501,IF($J$1="December",V502)))))))))))))</f>
        <v>0</v>
      </c>
      <c r="H496" s="47"/>
      <c r="I496" s="84">
        <v>107</v>
      </c>
      <c r="J496" s="50" t="s">
        <v>63</v>
      </c>
      <c r="K496" s="53">
        <f>K491/$K$2/8*I496</f>
        <v>13152.083333333334</v>
      </c>
      <c r="L496" s="54"/>
      <c r="N496" s="71"/>
      <c r="O496" s="72" t="s">
        <v>50</v>
      </c>
      <c r="P496" s="72"/>
      <c r="Q496" s="72"/>
      <c r="R496" s="72">
        <v>0</v>
      </c>
      <c r="S496" s="63"/>
      <c r="T496" s="72" t="s">
        <v>50</v>
      </c>
      <c r="U496" s="105" t="str">
        <f>IF($J$1="May","",Y495)</f>
        <v/>
      </c>
      <c r="V496" s="74"/>
      <c r="W496" s="105" t="str">
        <f t="shared" si="103"/>
        <v/>
      </c>
      <c r="X496" s="74"/>
      <c r="Y496" s="105" t="str">
        <f t="shared" si="104"/>
        <v/>
      </c>
      <c r="Z496" s="76"/>
    </row>
    <row r="497" spans="1:27" s="29" customFormat="1" ht="21" customHeight="1" x14ac:dyDescent="0.2">
      <c r="A497" s="30"/>
      <c r="B497" s="48" t="s">
        <v>7</v>
      </c>
      <c r="C497" s="39">
        <f>IF($J$1="January",P491,IF($J$1="February",P492,IF($J$1="March",P493,IF($J$1="April",P494,IF($J$1="May",P495,IF($J$1="June",P496,IF($J$1="July",P497,IF($J$1="August",P498,IF($J$1="August",P498,IF($J$1="September",P499,IF($J$1="October",P500,IF($J$1="November",P501,IF($J$1="December",P502)))))))))))))</f>
        <v>30</v>
      </c>
      <c r="F497" s="48" t="s">
        <v>66</v>
      </c>
      <c r="G497" s="43">
        <f>IF($J$1="January",W491,IF($J$1="February",W492,IF($J$1="March",W493,IF($J$1="April",W494,IF($J$1="May",W495,IF($J$1="June",W496,IF($J$1="July",W497,IF($J$1="August",W498,IF($J$1="August",W498,IF($J$1="September",W499,IF($J$1="October",W500,IF($J$1="November",W501,IF($J$1="December",W502)))))))))))))</f>
        <v>0</v>
      </c>
      <c r="H497" s="47"/>
      <c r="I497" s="405" t="s">
        <v>70</v>
      </c>
      <c r="J497" s="406"/>
      <c r="K497" s="53">
        <f>K495+K496</f>
        <v>42652.083333333336</v>
      </c>
      <c r="L497" s="54"/>
      <c r="N497" s="71"/>
      <c r="O497" s="72" t="s">
        <v>51</v>
      </c>
      <c r="P497" s="72"/>
      <c r="Q497" s="72"/>
      <c r="R497" s="72">
        <v>0</v>
      </c>
      <c r="S497" s="63"/>
      <c r="T497" s="72" t="s">
        <v>51</v>
      </c>
      <c r="U497" s="105" t="str">
        <f>IF($J$1="June","",Y496)</f>
        <v/>
      </c>
      <c r="V497" s="74"/>
      <c r="W497" s="105" t="str">
        <f t="shared" si="103"/>
        <v/>
      </c>
      <c r="X497" s="74"/>
      <c r="Y497" s="105" t="str">
        <f t="shared" si="104"/>
        <v/>
      </c>
      <c r="Z497" s="76"/>
    </row>
    <row r="498" spans="1:27" s="29" customFormat="1" ht="21" customHeight="1" x14ac:dyDescent="0.2">
      <c r="A498" s="30"/>
      <c r="B498" s="48" t="s">
        <v>6</v>
      </c>
      <c r="C498" s="39">
        <f>IF($J$1="January",Q491,IF($J$1="February",Q492,IF($J$1="March",Q493,IF($J$1="April",Q494,IF($J$1="May",Q495,IF($J$1="June",Q496,IF($J$1="July",Q497,IF($J$1="August",Q498,IF($J$1="August",Q498,IF($J$1="September",Q499,IF($J$1="October",Q500,IF($J$1="November",Q501,IF($J$1="December",Q502)))))))))))))</f>
        <v>0</v>
      </c>
      <c r="F498" s="48" t="s">
        <v>22</v>
      </c>
      <c r="G498" s="43">
        <f>IF($J$1="January",X491,IF($J$1="February",X492,IF($J$1="March",X493,IF($J$1="April",X494,IF($J$1="May",X495,IF($J$1="June",X496,IF($J$1="July",X497,IF($J$1="August",X498,IF($J$1="August",X498,IF($J$1="September",X499,IF($J$1="October",X500,IF($J$1="November",X501,IF($J$1="December",X502)))))))))))))</f>
        <v>0</v>
      </c>
      <c r="H498" s="47"/>
      <c r="I498" s="405" t="s">
        <v>71</v>
      </c>
      <c r="J498" s="406"/>
      <c r="K498" s="43">
        <f>G498</f>
        <v>0</v>
      </c>
      <c r="L498" s="55"/>
      <c r="N498" s="71"/>
      <c r="O498" s="72" t="s">
        <v>52</v>
      </c>
      <c r="P498" s="72"/>
      <c r="Q498" s="72"/>
      <c r="R498" s="72">
        <v>0</v>
      </c>
      <c r="S498" s="63"/>
      <c r="T498" s="72" t="s">
        <v>52</v>
      </c>
      <c r="U498" s="105" t="str">
        <f>IF($J$1="July","",Y497)</f>
        <v/>
      </c>
      <c r="V498" s="74"/>
      <c r="W498" s="105" t="str">
        <f t="shared" si="103"/>
        <v/>
      </c>
      <c r="X498" s="74"/>
      <c r="Y498" s="105" t="str">
        <f t="shared" si="104"/>
        <v/>
      </c>
      <c r="Z498" s="76"/>
    </row>
    <row r="499" spans="1:27" s="29" customFormat="1" ht="21" customHeight="1" x14ac:dyDescent="0.2">
      <c r="A499" s="30"/>
      <c r="B499" s="56" t="s">
        <v>69</v>
      </c>
      <c r="C499" s="39">
        <f>IF($J$1="January",R491,IF($J$1="February",R492,IF($J$1="March",R493,IF($J$1="April",R494,IF($J$1="May",R495,IF($J$1="June",R496,IF($J$1="July",R497,IF($J$1="August",R498,IF($J$1="August",R498,IF($J$1="September",R499,IF($J$1="October",R500,IF($J$1="November",R501,IF($J$1="December",R502)))))))))))))</f>
        <v>0</v>
      </c>
      <c r="F499" s="48" t="s">
        <v>144</v>
      </c>
      <c r="G499" s="43">
        <f>IF($J$1="January",Y491,IF($J$1="February",Y492,IF($J$1="March",Y493,IF($J$1="April",Y494,IF($J$1="May",Y495,IF($J$1="June",Y496,IF($J$1="July",Y497,IF($J$1="August",Y498,IF($J$1="August",Y498,IF($J$1="September",Y499,IF($J$1="October",Y500,IF($J$1="November",Y501,IF($J$1="December",Y502)))))))))))))</f>
        <v>0</v>
      </c>
      <c r="I499" s="394" t="s">
        <v>64</v>
      </c>
      <c r="J499" s="396"/>
      <c r="K499" s="57">
        <f>K497-K498</f>
        <v>42652.083333333336</v>
      </c>
      <c r="L499" s="58"/>
      <c r="N499" s="71"/>
      <c r="O499" s="72" t="s">
        <v>57</v>
      </c>
      <c r="P499" s="72"/>
      <c r="Q499" s="72"/>
      <c r="R499" s="72">
        <v>0</v>
      </c>
      <c r="S499" s="63"/>
      <c r="T499" s="72" t="s">
        <v>57</v>
      </c>
      <c r="U499" s="105" t="str">
        <f>IF($J$1="July","",Y498)</f>
        <v/>
      </c>
      <c r="V499" s="74"/>
      <c r="W499" s="105" t="str">
        <f t="shared" ref="W499" si="105">IF(U499="","",U499+V499)</f>
        <v/>
      </c>
      <c r="X499" s="74"/>
      <c r="Y499" s="105" t="str">
        <f t="shared" ref="Y499" si="106">IF(W499="","",W499-X499)</f>
        <v/>
      </c>
      <c r="Z499" s="76"/>
    </row>
    <row r="500" spans="1:27" s="29" customFormat="1" ht="21" customHeight="1" x14ac:dyDescent="0.2">
      <c r="A500" s="30"/>
      <c r="K500" s="107"/>
      <c r="L500" s="46"/>
      <c r="N500" s="71"/>
      <c r="O500" s="72" t="s">
        <v>53</v>
      </c>
      <c r="P500" s="72"/>
      <c r="Q500" s="72"/>
      <c r="R500" s="72" t="str">
        <f>IF(Q500="","",R499-Q500)</f>
        <v/>
      </c>
      <c r="S500" s="63"/>
      <c r="T500" s="72" t="s">
        <v>53</v>
      </c>
      <c r="U500" s="105"/>
      <c r="V500" s="74"/>
      <c r="W500" s="105" t="str">
        <f t="shared" si="103"/>
        <v/>
      </c>
      <c r="X500" s="74"/>
      <c r="Y500" s="105" t="str">
        <f t="shared" si="104"/>
        <v/>
      </c>
      <c r="Z500" s="76"/>
    </row>
    <row r="501" spans="1:27" s="29" customFormat="1" ht="21" customHeight="1" x14ac:dyDescent="0.2">
      <c r="A501" s="30"/>
      <c r="B501" s="407" t="s">
        <v>87</v>
      </c>
      <c r="C501" s="407"/>
      <c r="D501" s="407"/>
      <c r="E501" s="407"/>
      <c r="F501" s="407"/>
      <c r="G501" s="407"/>
      <c r="H501" s="407"/>
      <c r="I501" s="407"/>
      <c r="J501" s="407"/>
      <c r="K501" s="407"/>
      <c r="L501" s="46"/>
      <c r="N501" s="71"/>
      <c r="O501" s="72" t="s">
        <v>58</v>
      </c>
      <c r="P501" s="72"/>
      <c r="Q501" s="72"/>
      <c r="R501" s="72">
        <v>0</v>
      </c>
      <c r="S501" s="63"/>
      <c r="T501" s="72" t="s">
        <v>58</v>
      </c>
      <c r="U501" s="105"/>
      <c r="V501" s="74"/>
      <c r="W501" s="105" t="str">
        <f t="shared" si="103"/>
        <v/>
      </c>
      <c r="X501" s="74"/>
      <c r="Y501" s="105" t="str">
        <f t="shared" si="104"/>
        <v/>
      </c>
      <c r="Z501" s="76"/>
    </row>
    <row r="502" spans="1:27" s="29" customFormat="1" ht="21" customHeight="1" x14ac:dyDescent="0.2">
      <c r="A502" s="30"/>
      <c r="B502" s="407"/>
      <c r="C502" s="407"/>
      <c r="D502" s="407"/>
      <c r="E502" s="407"/>
      <c r="F502" s="407"/>
      <c r="G502" s="407"/>
      <c r="H502" s="407"/>
      <c r="I502" s="407"/>
      <c r="J502" s="407"/>
      <c r="K502" s="407"/>
      <c r="L502" s="46"/>
      <c r="N502" s="71"/>
      <c r="O502" s="72" t="s">
        <v>59</v>
      </c>
      <c r="P502" s="72"/>
      <c r="Q502" s="72"/>
      <c r="R502" s="72">
        <v>0</v>
      </c>
      <c r="S502" s="63"/>
      <c r="T502" s="72" t="s">
        <v>59</v>
      </c>
      <c r="U502" s="105"/>
      <c r="V502" s="74"/>
      <c r="W502" s="105" t="str">
        <f t="shared" si="103"/>
        <v/>
      </c>
      <c r="X502" s="74"/>
      <c r="Y502" s="105" t="str">
        <f t="shared" si="104"/>
        <v/>
      </c>
      <c r="Z502" s="76"/>
    </row>
    <row r="503" spans="1:27" s="29" customFormat="1" ht="21" customHeight="1" thickBot="1" x14ac:dyDescent="0.25">
      <c r="A503" s="59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1"/>
      <c r="N503" s="77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9"/>
    </row>
    <row r="504" spans="1:27" s="29" customFormat="1" ht="21" customHeight="1" thickBot="1" x14ac:dyDescent="0.25"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 spans="1:27" s="29" customFormat="1" ht="21.4" customHeight="1" x14ac:dyDescent="0.2">
      <c r="A505" s="440" t="s">
        <v>41</v>
      </c>
      <c r="B505" s="441"/>
      <c r="C505" s="441"/>
      <c r="D505" s="441"/>
      <c r="E505" s="441"/>
      <c r="F505" s="441"/>
      <c r="G505" s="441"/>
      <c r="H505" s="441"/>
      <c r="I505" s="441"/>
      <c r="J505" s="441"/>
      <c r="K505" s="441"/>
      <c r="L505" s="442"/>
      <c r="M505" s="28"/>
      <c r="N505" s="64"/>
      <c r="O505" s="408" t="s">
        <v>43</v>
      </c>
      <c r="P505" s="409"/>
      <c r="Q505" s="409"/>
      <c r="R505" s="410"/>
      <c r="S505" s="65"/>
      <c r="T505" s="408" t="s">
        <v>44</v>
      </c>
      <c r="U505" s="409"/>
      <c r="V505" s="409"/>
      <c r="W505" s="409"/>
      <c r="X505" s="409"/>
      <c r="Y505" s="410"/>
      <c r="Z505" s="66"/>
      <c r="AA505" s="28"/>
    </row>
    <row r="506" spans="1:27" s="29" customFormat="1" ht="21.4" customHeight="1" x14ac:dyDescent="0.2">
      <c r="A506" s="30"/>
      <c r="C506" s="398" t="s">
        <v>85</v>
      </c>
      <c r="D506" s="398"/>
      <c r="E506" s="398"/>
      <c r="F506" s="398"/>
      <c r="G506" s="31" t="str">
        <f>$J$1</f>
        <v>April</v>
      </c>
      <c r="H506" s="397">
        <f>$K$1</f>
        <v>2023</v>
      </c>
      <c r="I506" s="397"/>
      <c r="K506" s="32"/>
      <c r="L506" s="33"/>
      <c r="M506" s="32"/>
      <c r="N506" s="67"/>
      <c r="O506" s="68" t="s">
        <v>54</v>
      </c>
      <c r="P506" s="68" t="s">
        <v>7</v>
      </c>
      <c r="Q506" s="68" t="s">
        <v>6</v>
      </c>
      <c r="R506" s="68" t="s">
        <v>55</v>
      </c>
      <c r="S506" s="69"/>
      <c r="T506" s="68" t="s">
        <v>54</v>
      </c>
      <c r="U506" s="68" t="s">
        <v>56</v>
      </c>
      <c r="V506" s="68" t="s">
        <v>21</v>
      </c>
      <c r="W506" s="68" t="s">
        <v>20</v>
      </c>
      <c r="X506" s="68" t="s">
        <v>22</v>
      </c>
      <c r="Y506" s="68" t="s">
        <v>60</v>
      </c>
      <c r="Z506" s="70"/>
      <c r="AA506" s="32"/>
    </row>
    <row r="507" spans="1:27" s="29" customFormat="1" ht="21.4" customHeight="1" x14ac:dyDescent="0.2">
      <c r="A507" s="30"/>
      <c r="D507" s="35"/>
      <c r="E507" s="35"/>
      <c r="F507" s="35"/>
      <c r="G507" s="35"/>
      <c r="H507" s="35"/>
      <c r="J507" s="36" t="s">
        <v>1</v>
      </c>
      <c r="K507" s="37">
        <f>22500+2500+2000</f>
        <v>27000</v>
      </c>
      <c r="L507" s="38"/>
      <c r="N507" s="71"/>
      <c r="O507" s="72" t="s">
        <v>46</v>
      </c>
      <c r="P507" s="72">
        <v>31</v>
      </c>
      <c r="Q507" s="72">
        <v>0</v>
      </c>
      <c r="R507" s="72">
        <v>0</v>
      </c>
      <c r="S507" s="73"/>
      <c r="T507" s="72" t="s">
        <v>46</v>
      </c>
      <c r="U507" s="74">
        <v>15000</v>
      </c>
      <c r="V507" s="74"/>
      <c r="W507" s="74">
        <f>V507+U507</f>
        <v>15000</v>
      </c>
      <c r="X507" s="74">
        <v>5000</v>
      </c>
      <c r="Y507" s="74">
        <f>W507-X507</f>
        <v>10000</v>
      </c>
      <c r="Z507" s="70"/>
    </row>
    <row r="508" spans="1:27" s="29" customFormat="1" ht="21.4" customHeight="1" x14ac:dyDescent="0.2">
      <c r="A508" s="30"/>
      <c r="B508" s="29" t="s">
        <v>0</v>
      </c>
      <c r="C508" s="40" t="s">
        <v>155</v>
      </c>
      <c r="H508" s="41"/>
      <c r="I508" s="35"/>
      <c r="L508" s="42"/>
      <c r="M508" s="28"/>
      <c r="N508" s="75"/>
      <c r="O508" s="72" t="s">
        <v>72</v>
      </c>
      <c r="P508" s="72">
        <v>28</v>
      </c>
      <c r="Q508" s="72">
        <v>0</v>
      </c>
      <c r="R508" s="72">
        <v>0</v>
      </c>
      <c r="S508" s="63"/>
      <c r="T508" s="72" t="s">
        <v>72</v>
      </c>
      <c r="U508" s="105">
        <f>IF($J$1="January","",Y507)</f>
        <v>10000</v>
      </c>
      <c r="V508" s="74"/>
      <c r="W508" s="105">
        <f>IF(U508="","",U508+V508)</f>
        <v>10000</v>
      </c>
      <c r="X508" s="74"/>
      <c r="Y508" s="105">
        <f>IF(W508="","",W508-X508)</f>
        <v>10000</v>
      </c>
      <c r="Z508" s="76"/>
      <c r="AA508" s="28"/>
    </row>
    <row r="509" spans="1:27" s="29" customFormat="1" ht="21.4" customHeight="1" x14ac:dyDescent="0.2">
      <c r="A509" s="30"/>
      <c r="B509" s="44" t="s">
        <v>42</v>
      </c>
      <c r="C509" s="62"/>
      <c r="F509" s="414" t="s">
        <v>44</v>
      </c>
      <c r="G509" s="414"/>
      <c r="I509" s="414" t="s">
        <v>45</v>
      </c>
      <c r="J509" s="414"/>
      <c r="K509" s="414"/>
      <c r="L509" s="46"/>
      <c r="N509" s="71"/>
      <c r="O509" s="72" t="s">
        <v>47</v>
      </c>
      <c r="P509" s="72">
        <v>31</v>
      </c>
      <c r="Q509" s="72">
        <v>0</v>
      </c>
      <c r="R509" s="72">
        <v>0</v>
      </c>
      <c r="S509" s="63"/>
      <c r="T509" s="72" t="s">
        <v>47</v>
      </c>
      <c r="U509" s="105">
        <f>IF($J$1="February","",Y508)</f>
        <v>10000</v>
      </c>
      <c r="V509" s="74"/>
      <c r="W509" s="105">
        <f t="shared" ref="W509:W518" si="107">IF(U509="","",U509+V509)</f>
        <v>10000</v>
      </c>
      <c r="X509" s="74">
        <v>5000</v>
      </c>
      <c r="Y509" s="105">
        <f t="shared" ref="Y509:Y518" si="108">IF(W509="","",W509-X509)</f>
        <v>5000</v>
      </c>
      <c r="Z509" s="76"/>
    </row>
    <row r="510" spans="1:27" s="29" customFormat="1" ht="21.4" customHeight="1" x14ac:dyDescent="0.2">
      <c r="A510" s="30"/>
      <c r="H510" s="47"/>
      <c r="L510" s="34"/>
      <c r="N510" s="71"/>
      <c r="O510" s="72" t="s">
        <v>48</v>
      </c>
      <c r="P510" s="72">
        <v>30</v>
      </c>
      <c r="Q510" s="72">
        <v>0</v>
      </c>
      <c r="R510" s="72">
        <v>0</v>
      </c>
      <c r="S510" s="63"/>
      <c r="T510" s="72" t="s">
        <v>48</v>
      </c>
      <c r="U510" s="105">
        <f>IF($J$1="March","",Y509)</f>
        <v>5000</v>
      </c>
      <c r="V510" s="74"/>
      <c r="W510" s="105">
        <f t="shared" si="107"/>
        <v>5000</v>
      </c>
      <c r="X510" s="74">
        <v>5000</v>
      </c>
      <c r="Y510" s="105">
        <f t="shared" si="108"/>
        <v>0</v>
      </c>
      <c r="Z510" s="76"/>
    </row>
    <row r="511" spans="1:27" s="29" customFormat="1" ht="21.4" customHeight="1" x14ac:dyDescent="0.2">
      <c r="A511" s="30"/>
      <c r="B511" s="392" t="s">
        <v>43</v>
      </c>
      <c r="C511" s="393"/>
      <c r="F511" s="48" t="s">
        <v>65</v>
      </c>
      <c r="G511" s="43">
        <f>IF($J$1="January",U507,IF($J$1="February",U508,IF($J$1="March",U509,IF($J$1="April",U510,IF($J$1="May",U511,IF($J$1="June",U512,IF($J$1="July",U513,IF($J$1="August",U514,IF($J$1="August",U514,IF($J$1="September",U515,IF($J$1="October",U516,IF($J$1="November",U517,IF($J$1="December",U518)))))))))))))</f>
        <v>5000</v>
      </c>
      <c r="H511" s="47"/>
      <c r="I511" s="49">
        <f>IF(C515&gt;0,$K$2,C513)</f>
        <v>30</v>
      </c>
      <c r="J511" s="50" t="s">
        <v>62</v>
      </c>
      <c r="K511" s="51">
        <f>K507/$K$2*I511</f>
        <v>27000</v>
      </c>
      <c r="L511" s="52"/>
      <c r="N511" s="71"/>
      <c r="O511" s="72" t="s">
        <v>49</v>
      </c>
      <c r="P511" s="72"/>
      <c r="Q511" s="72"/>
      <c r="R511" s="72">
        <v>0</v>
      </c>
      <c r="S511" s="63"/>
      <c r="T511" s="72" t="s">
        <v>49</v>
      </c>
      <c r="U511" s="105" t="str">
        <f>IF($J$1="April","",Y510)</f>
        <v/>
      </c>
      <c r="V511" s="74"/>
      <c r="W511" s="105" t="str">
        <f t="shared" si="107"/>
        <v/>
      </c>
      <c r="X511" s="74"/>
      <c r="Y511" s="105" t="str">
        <f t="shared" si="108"/>
        <v/>
      </c>
      <c r="Z511" s="76"/>
    </row>
    <row r="512" spans="1:27" s="29" customFormat="1" ht="21.4" customHeight="1" x14ac:dyDescent="0.2">
      <c r="A512" s="30"/>
      <c r="B512" s="39"/>
      <c r="C512" s="39"/>
      <c r="F512" s="48" t="s">
        <v>21</v>
      </c>
      <c r="G512" s="43">
        <f>IF($J$1="January",V507,IF($J$1="February",V508,IF($J$1="March",V509,IF($J$1="April",V510,IF($J$1="May",V511,IF($J$1="June",V512,IF($J$1="July",V513,IF($J$1="August",V514,IF($J$1="August",V514,IF($J$1="September",V515,IF($J$1="October",V516,IF($J$1="November",V517,IF($J$1="December",V518)))))))))))))</f>
        <v>0</v>
      </c>
      <c r="H512" s="47"/>
      <c r="I512" s="84">
        <v>62</v>
      </c>
      <c r="J512" s="50" t="s">
        <v>63</v>
      </c>
      <c r="K512" s="53">
        <f>K507/$K$2/8*I512</f>
        <v>6975</v>
      </c>
      <c r="L512" s="54"/>
      <c r="N512" s="71"/>
      <c r="O512" s="72" t="s">
        <v>50</v>
      </c>
      <c r="P512" s="72"/>
      <c r="Q512" s="72"/>
      <c r="R512" s="72">
        <v>0</v>
      </c>
      <c r="S512" s="63"/>
      <c r="T512" s="72" t="s">
        <v>50</v>
      </c>
      <c r="U512" s="105" t="str">
        <f t="shared" ref="U512:U513" si="109">Y511</f>
        <v/>
      </c>
      <c r="V512" s="74"/>
      <c r="W512" s="105" t="str">
        <f t="shared" si="107"/>
        <v/>
      </c>
      <c r="X512" s="74"/>
      <c r="Y512" s="105" t="str">
        <f t="shared" si="108"/>
        <v/>
      </c>
      <c r="Z512" s="76"/>
    </row>
    <row r="513" spans="1:27" s="29" customFormat="1" ht="21.4" customHeight="1" x14ac:dyDescent="0.2">
      <c r="A513" s="30"/>
      <c r="B513" s="48" t="s">
        <v>7</v>
      </c>
      <c r="C513" s="39">
        <f>IF($J$1="January",P507,IF($J$1="February",P508,IF($J$1="March",P509,IF($J$1="April",P510,IF($J$1="May",P511,IF($J$1="June",P512,IF($J$1="July",P513,IF($J$1="August",P514,IF($J$1="August",P514,IF($J$1="September",P515,IF($J$1="October",P516,IF($J$1="November",P517,IF($J$1="December",P518)))))))))))))</f>
        <v>30</v>
      </c>
      <c r="F513" s="48" t="s">
        <v>66</v>
      </c>
      <c r="G513" s="43">
        <f>IF($J$1="January",W507,IF($J$1="February",W508,IF($J$1="March",W509,IF($J$1="April",W510,IF($J$1="May",W511,IF($J$1="June",W512,IF($J$1="July",W513,IF($J$1="August",W514,IF($J$1="August",W514,IF($J$1="September",W515,IF($J$1="October",W516,IF($J$1="November",W517,IF($J$1="December",W518)))))))))))))</f>
        <v>5000</v>
      </c>
      <c r="H513" s="47"/>
      <c r="I513" s="405" t="s">
        <v>70</v>
      </c>
      <c r="J513" s="406"/>
      <c r="K513" s="53">
        <f>K511+K512</f>
        <v>33975</v>
      </c>
      <c r="L513" s="54"/>
      <c r="N513" s="71"/>
      <c r="O513" s="72" t="s">
        <v>51</v>
      </c>
      <c r="P513" s="72"/>
      <c r="Q513" s="72"/>
      <c r="R513" s="72">
        <v>0</v>
      </c>
      <c r="S513" s="63"/>
      <c r="T513" s="72" t="s">
        <v>51</v>
      </c>
      <c r="U513" s="105" t="str">
        <f t="shared" si="109"/>
        <v/>
      </c>
      <c r="V513" s="74"/>
      <c r="W513" s="105" t="str">
        <f t="shared" si="107"/>
        <v/>
      </c>
      <c r="X513" s="74"/>
      <c r="Y513" s="105" t="str">
        <f t="shared" si="108"/>
        <v/>
      </c>
      <c r="Z513" s="76"/>
    </row>
    <row r="514" spans="1:27" s="29" customFormat="1" ht="21.4" customHeight="1" x14ac:dyDescent="0.2">
      <c r="A514" s="30"/>
      <c r="B514" s="48" t="s">
        <v>6</v>
      </c>
      <c r="C514" s="39">
        <f>IF($J$1="January",Q507,IF($J$1="February",Q508,IF($J$1="March",Q509,IF($J$1="April",Q510,IF($J$1="May",Q511,IF($J$1="June",Q512,IF($J$1="July",Q513,IF($J$1="August",Q514,IF($J$1="August",Q514,IF($J$1="September",Q515,IF($J$1="October",Q516,IF($J$1="November",Q517,IF($J$1="December",Q518)))))))))))))</f>
        <v>0</v>
      </c>
      <c r="F514" s="48" t="s">
        <v>22</v>
      </c>
      <c r="G514" s="43">
        <f>IF($J$1="January",X507,IF($J$1="February",X508,IF($J$1="March",X509,IF($J$1="April",X510,IF($J$1="May",X511,IF($J$1="June",X512,IF($J$1="July",X513,IF($J$1="August",X514,IF($J$1="August",X514,IF($J$1="September",X515,IF($J$1="October",X516,IF($J$1="November",X517,IF($J$1="December",X518)))))))))))))</f>
        <v>5000</v>
      </c>
      <c r="H514" s="47"/>
      <c r="I514" s="405" t="s">
        <v>71</v>
      </c>
      <c r="J514" s="406"/>
      <c r="K514" s="43">
        <f>G514</f>
        <v>5000</v>
      </c>
      <c r="L514" s="55"/>
      <c r="N514" s="71"/>
      <c r="O514" s="72" t="s">
        <v>52</v>
      </c>
      <c r="P514" s="72"/>
      <c r="Q514" s="72"/>
      <c r="R514" s="72">
        <v>0</v>
      </c>
      <c r="S514" s="63"/>
      <c r="T514" s="72" t="s">
        <v>52</v>
      </c>
      <c r="U514" s="105" t="str">
        <f>Y513</f>
        <v/>
      </c>
      <c r="V514" s="74"/>
      <c r="W514" s="105" t="str">
        <f t="shared" si="107"/>
        <v/>
      </c>
      <c r="X514" s="74"/>
      <c r="Y514" s="105" t="str">
        <f t="shared" si="108"/>
        <v/>
      </c>
      <c r="Z514" s="76"/>
    </row>
    <row r="515" spans="1:27" s="29" customFormat="1" ht="21.4" customHeight="1" x14ac:dyDescent="0.2">
      <c r="A515" s="30"/>
      <c r="B515" s="56" t="s">
        <v>69</v>
      </c>
      <c r="C515" s="39">
        <f>IF($J$1="January",R507,IF($J$1="February",R508,IF($J$1="March",R509,IF($J$1="April",R510,IF($J$1="May",R511,IF($J$1="June",R512,IF($J$1="July",R513,IF($J$1="August",R514,IF($J$1="August",R514,IF($J$1="September",R515,IF($J$1="October",R516,IF($J$1="November",R517,IF($J$1="December",R518)))))))))))))</f>
        <v>0</v>
      </c>
      <c r="F515" s="48" t="s">
        <v>68</v>
      </c>
      <c r="G515" s="43">
        <f>IF($J$1="January",Y507,IF($J$1="February",Y508,IF($J$1="March",Y509,IF($J$1="April",Y510,IF($J$1="May",Y511,IF($J$1="June",Y512,IF($J$1="July",Y513,IF($J$1="August",Y514,IF($J$1="August",Y514,IF($J$1="September",Y515,IF($J$1="October",Y516,IF($J$1="November",Y517,IF($J$1="December",Y518)))))))))))))</f>
        <v>0</v>
      </c>
      <c r="I515" s="394" t="s">
        <v>64</v>
      </c>
      <c r="J515" s="396"/>
      <c r="K515" s="57">
        <f>K513-K514</f>
        <v>28975</v>
      </c>
      <c r="L515" s="58"/>
      <c r="N515" s="71"/>
      <c r="O515" s="72" t="s">
        <v>57</v>
      </c>
      <c r="P515" s="72"/>
      <c r="Q515" s="72"/>
      <c r="R515" s="72">
        <v>0</v>
      </c>
      <c r="S515" s="63"/>
      <c r="T515" s="72" t="s">
        <v>57</v>
      </c>
      <c r="U515" s="105" t="str">
        <f>Y514</f>
        <v/>
      </c>
      <c r="V515" s="74"/>
      <c r="W515" s="105" t="str">
        <f t="shared" si="107"/>
        <v/>
      </c>
      <c r="X515" s="74"/>
      <c r="Y515" s="105" t="str">
        <f t="shared" si="108"/>
        <v/>
      </c>
      <c r="Z515" s="76"/>
    </row>
    <row r="516" spans="1:27" s="29" customFormat="1" ht="21.4" customHeight="1" x14ac:dyDescent="0.2">
      <c r="A516" s="30"/>
      <c r="K516" s="107"/>
      <c r="L516" s="46"/>
      <c r="N516" s="71"/>
      <c r="O516" s="72" t="s">
        <v>53</v>
      </c>
      <c r="P516" s="72"/>
      <c r="Q516" s="72"/>
      <c r="R516" s="72">
        <v>0</v>
      </c>
      <c r="S516" s="63"/>
      <c r="T516" s="72" t="s">
        <v>53</v>
      </c>
      <c r="U516" s="105" t="str">
        <f>Y515</f>
        <v/>
      </c>
      <c r="V516" s="74"/>
      <c r="W516" s="105" t="str">
        <f t="shared" si="107"/>
        <v/>
      </c>
      <c r="X516" s="74"/>
      <c r="Y516" s="105" t="str">
        <f t="shared" si="108"/>
        <v/>
      </c>
      <c r="Z516" s="76"/>
    </row>
    <row r="517" spans="1:27" s="29" customFormat="1" ht="21.4" customHeight="1" x14ac:dyDescent="0.2">
      <c r="A517" s="30"/>
      <c r="B517" s="407" t="s">
        <v>87</v>
      </c>
      <c r="C517" s="407"/>
      <c r="D517" s="407"/>
      <c r="E517" s="407"/>
      <c r="F517" s="407"/>
      <c r="G517" s="407"/>
      <c r="H517" s="407"/>
      <c r="I517" s="407"/>
      <c r="J517" s="407"/>
      <c r="K517" s="407"/>
      <c r="L517" s="46"/>
      <c r="N517" s="71"/>
      <c r="O517" s="72" t="s">
        <v>58</v>
      </c>
      <c r="P517" s="72"/>
      <c r="Q517" s="72"/>
      <c r="R517" s="72">
        <v>0</v>
      </c>
      <c r="S517" s="63"/>
      <c r="T517" s="72" t="s">
        <v>58</v>
      </c>
      <c r="U517" s="105" t="str">
        <f>Y516</f>
        <v/>
      </c>
      <c r="V517" s="74"/>
      <c r="W517" s="105" t="str">
        <f t="shared" si="107"/>
        <v/>
      </c>
      <c r="X517" s="74"/>
      <c r="Y517" s="105" t="str">
        <f t="shared" si="108"/>
        <v/>
      </c>
      <c r="Z517" s="76"/>
    </row>
    <row r="518" spans="1:27" s="29" customFormat="1" ht="21.4" customHeight="1" x14ac:dyDescent="0.2">
      <c r="A518" s="30"/>
      <c r="B518" s="407"/>
      <c r="C518" s="407"/>
      <c r="D518" s="407"/>
      <c r="E518" s="407"/>
      <c r="F518" s="407"/>
      <c r="G518" s="407"/>
      <c r="H518" s="407"/>
      <c r="I518" s="407"/>
      <c r="J518" s="407"/>
      <c r="K518" s="407"/>
      <c r="L518" s="46"/>
      <c r="N518" s="71"/>
      <c r="O518" s="72" t="s">
        <v>59</v>
      </c>
      <c r="P518" s="72"/>
      <c r="Q518" s="72"/>
      <c r="R518" s="72">
        <v>0</v>
      </c>
      <c r="S518" s="63"/>
      <c r="T518" s="72" t="s">
        <v>59</v>
      </c>
      <c r="U518" s="105" t="str">
        <f>Y517</f>
        <v/>
      </c>
      <c r="V518" s="74"/>
      <c r="W518" s="105" t="str">
        <f t="shared" si="107"/>
        <v/>
      </c>
      <c r="X518" s="74"/>
      <c r="Y518" s="105" t="str">
        <f t="shared" si="108"/>
        <v/>
      </c>
      <c r="Z518" s="76"/>
    </row>
    <row r="519" spans="1:27" s="29" customFormat="1" ht="21.4" customHeight="1" thickBot="1" x14ac:dyDescent="0.25">
      <c r="A519" s="59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1"/>
      <c r="N519" s="77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9"/>
    </row>
    <row r="520" spans="1:27" s="29" customFormat="1" ht="21" customHeight="1" thickBot="1" x14ac:dyDescent="0.25"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 spans="1:27" s="29" customFormat="1" ht="21" customHeight="1" x14ac:dyDescent="0.2">
      <c r="A521" s="415" t="s">
        <v>41</v>
      </c>
      <c r="B521" s="416"/>
      <c r="C521" s="416"/>
      <c r="D521" s="416"/>
      <c r="E521" s="416"/>
      <c r="F521" s="416"/>
      <c r="G521" s="416"/>
      <c r="H521" s="416"/>
      <c r="I521" s="416"/>
      <c r="J521" s="416"/>
      <c r="K521" s="416"/>
      <c r="L521" s="417"/>
      <c r="M521" s="28"/>
      <c r="N521" s="64"/>
      <c r="O521" s="408" t="s">
        <v>43</v>
      </c>
      <c r="P521" s="409"/>
      <c r="Q521" s="409"/>
      <c r="R521" s="410"/>
      <c r="S521" s="65"/>
      <c r="T521" s="408" t="s">
        <v>44</v>
      </c>
      <c r="U521" s="409"/>
      <c r="V521" s="409"/>
      <c r="W521" s="409"/>
      <c r="X521" s="409"/>
      <c r="Y521" s="410"/>
      <c r="Z521" s="66"/>
      <c r="AA521" s="28"/>
    </row>
    <row r="522" spans="1:27" s="29" customFormat="1" ht="21" customHeight="1" x14ac:dyDescent="0.2">
      <c r="A522" s="30"/>
      <c r="C522" s="398" t="s">
        <v>85</v>
      </c>
      <c r="D522" s="398"/>
      <c r="E522" s="398"/>
      <c r="F522" s="398"/>
      <c r="G522" s="31" t="str">
        <f>$J$1</f>
        <v>April</v>
      </c>
      <c r="H522" s="397">
        <f>$K$1</f>
        <v>2023</v>
      </c>
      <c r="I522" s="397"/>
      <c r="K522" s="32"/>
      <c r="L522" s="33"/>
      <c r="M522" s="32"/>
      <c r="N522" s="67"/>
      <c r="O522" s="68" t="s">
        <v>54</v>
      </c>
      <c r="P522" s="68" t="s">
        <v>7</v>
      </c>
      <c r="Q522" s="68" t="s">
        <v>6</v>
      </c>
      <c r="R522" s="68" t="s">
        <v>55</v>
      </c>
      <c r="S522" s="69"/>
      <c r="T522" s="68" t="s">
        <v>54</v>
      </c>
      <c r="U522" s="68" t="s">
        <v>56</v>
      </c>
      <c r="V522" s="68" t="s">
        <v>21</v>
      </c>
      <c r="W522" s="68" t="s">
        <v>20</v>
      </c>
      <c r="X522" s="68" t="s">
        <v>22</v>
      </c>
      <c r="Y522" s="68" t="s">
        <v>60</v>
      </c>
      <c r="Z522" s="70"/>
      <c r="AA522" s="32"/>
    </row>
    <row r="523" spans="1:27" s="29" customFormat="1" ht="21" customHeight="1" x14ac:dyDescent="0.2">
      <c r="A523" s="30"/>
      <c r="D523" s="35"/>
      <c r="E523" s="35"/>
      <c r="F523" s="35"/>
      <c r="G523" s="35"/>
      <c r="H523" s="35"/>
      <c r="J523" s="36" t="s">
        <v>1</v>
      </c>
      <c r="K523" s="136">
        <f>32500+2000</f>
        <v>34500</v>
      </c>
      <c r="L523" s="38"/>
      <c r="N523" s="71"/>
      <c r="O523" s="72" t="s">
        <v>46</v>
      </c>
      <c r="P523" s="72">
        <v>31</v>
      </c>
      <c r="Q523" s="72">
        <v>0</v>
      </c>
      <c r="R523" s="72">
        <v>0</v>
      </c>
      <c r="S523" s="73"/>
      <c r="T523" s="72" t="s">
        <v>46</v>
      </c>
      <c r="U523" s="74"/>
      <c r="V523" s="74"/>
      <c r="W523" s="74">
        <f>V523+U523</f>
        <v>0</v>
      </c>
      <c r="X523" s="74"/>
      <c r="Y523" s="74">
        <f>W523-X523</f>
        <v>0</v>
      </c>
      <c r="Z523" s="70"/>
    </row>
    <row r="524" spans="1:27" s="29" customFormat="1" ht="21" customHeight="1" x14ac:dyDescent="0.2">
      <c r="A524" s="30"/>
      <c r="B524" s="29" t="s">
        <v>0</v>
      </c>
      <c r="C524" s="40" t="s">
        <v>170</v>
      </c>
      <c r="H524" s="41"/>
      <c r="I524" s="35"/>
      <c r="L524" s="42"/>
      <c r="M524" s="28"/>
      <c r="N524" s="75"/>
      <c r="O524" s="72" t="s">
        <v>72</v>
      </c>
      <c r="P524" s="72">
        <v>28</v>
      </c>
      <c r="Q524" s="72">
        <v>0</v>
      </c>
      <c r="R524" s="72">
        <v>0</v>
      </c>
      <c r="S524" s="63"/>
      <c r="T524" s="72" t="s">
        <v>72</v>
      </c>
      <c r="U524" s="105">
        <f>IF($J$1="January","",Y523)</f>
        <v>0</v>
      </c>
      <c r="V524" s="74"/>
      <c r="W524" s="105">
        <f>IF(U524="","",U524+V524)</f>
        <v>0</v>
      </c>
      <c r="X524" s="74"/>
      <c r="Y524" s="105">
        <f>IF(W524="","",W524-X524)</f>
        <v>0</v>
      </c>
      <c r="Z524" s="76"/>
      <c r="AA524" s="28"/>
    </row>
    <row r="525" spans="1:27" s="29" customFormat="1" ht="21" customHeight="1" x14ac:dyDescent="0.2">
      <c r="A525" s="30"/>
      <c r="B525" s="44" t="s">
        <v>42</v>
      </c>
      <c r="C525" s="45"/>
      <c r="F525" s="414" t="s">
        <v>44</v>
      </c>
      <c r="G525" s="414"/>
      <c r="I525" s="414" t="s">
        <v>45</v>
      </c>
      <c r="J525" s="414"/>
      <c r="K525" s="414"/>
      <c r="L525" s="46"/>
      <c r="N525" s="71"/>
      <c r="O525" s="72" t="s">
        <v>47</v>
      </c>
      <c r="P525" s="72">
        <v>31</v>
      </c>
      <c r="Q525" s="72">
        <v>0</v>
      </c>
      <c r="R525" s="72">
        <v>0</v>
      </c>
      <c r="S525" s="63"/>
      <c r="T525" s="72" t="s">
        <v>47</v>
      </c>
      <c r="U525" s="105">
        <f>IF($J$1="February","",Y524)</f>
        <v>0</v>
      </c>
      <c r="V525" s="74"/>
      <c r="W525" s="105">
        <f t="shared" ref="W525:W534" si="110">IF(U525="","",U525+V525)</f>
        <v>0</v>
      </c>
      <c r="X525" s="74"/>
      <c r="Y525" s="105">
        <f t="shared" ref="Y525:Y534" si="111">IF(W525="","",W525-X525)</f>
        <v>0</v>
      </c>
      <c r="Z525" s="76"/>
    </row>
    <row r="526" spans="1:27" s="29" customFormat="1" ht="21" customHeight="1" x14ac:dyDescent="0.2">
      <c r="A526" s="30"/>
      <c r="H526" s="47"/>
      <c r="L526" s="34"/>
      <c r="N526" s="71"/>
      <c r="O526" s="72" t="s">
        <v>48</v>
      </c>
      <c r="P526" s="72">
        <v>30</v>
      </c>
      <c r="Q526" s="72">
        <v>0</v>
      </c>
      <c r="R526" s="72">
        <v>0</v>
      </c>
      <c r="S526" s="63"/>
      <c r="T526" s="72" t="s">
        <v>48</v>
      </c>
      <c r="U526" s="105">
        <f>IF($J$1="March","",Y525)</f>
        <v>0</v>
      </c>
      <c r="V526" s="74"/>
      <c r="W526" s="105">
        <f t="shared" si="110"/>
        <v>0</v>
      </c>
      <c r="X526" s="74"/>
      <c r="Y526" s="105">
        <f t="shared" si="111"/>
        <v>0</v>
      </c>
      <c r="Z526" s="76"/>
    </row>
    <row r="527" spans="1:27" s="29" customFormat="1" ht="21" customHeight="1" x14ac:dyDescent="0.2">
      <c r="A527" s="30"/>
      <c r="B527" s="392" t="s">
        <v>43</v>
      </c>
      <c r="C527" s="393"/>
      <c r="F527" s="48" t="s">
        <v>65</v>
      </c>
      <c r="G527" s="43">
        <f>IF($J$1="January",U523,IF($J$1="February",U524,IF($J$1="March",U525,IF($J$1="April",U526,IF($J$1="May",U527,IF($J$1="June",U528,IF($J$1="July",U529,IF($J$1="August",U530,IF($J$1="August",U530,IF($J$1="September",U531,IF($J$1="October",U532,IF($J$1="November",U533,IF($J$1="December",U534)))))))))))))</f>
        <v>0</v>
      </c>
      <c r="H527" s="47"/>
      <c r="I527" s="49">
        <f>IF(C531&gt;0,$K$2,C529)</f>
        <v>30</v>
      </c>
      <c r="J527" s="50" t="s">
        <v>62</v>
      </c>
      <c r="K527" s="51">
        <f>K523/$K$2*I527</f>
        <v>34500</v>
      </c>
      <c r="L527" s="52"/>
      <c r="N527" s="71"/>
      <c r="O527" s="72" t="s">
        <v>49</v>
      </c>
      <c r="P527" s="72"/>
      <c r="Q527" s="72"/>
      <c r="R527" s="72">
        <v>0</v>
      </c>
      <c r="S527" s="63"/>
      <c r="T527" s="72" t="s">
        <v>49</v>
      </c>
      <c r="U527" s="105" t="str">
        <f>IF($J$1="April","",Y526)</f>
        <v/>
      </c>
      <c r="V527" s="74"/>
      <c r="W527" s="105" t="str">
        <f t="shared" si="110"/>
        <v/>
      </c>
      <c r="X527" s="74"/>
      <c r="Y527" s="105" t="str">
        <f t="shared" si="111"/>
        <v/>
      </c>
      <c r="Z527" s="76"/>
    </row>
    <row r="528" spans="1:27" s="29" customFormat="1" ht="21" customHeight="1" x14ac:dyDescent="0.2">
      <c r="A528" s="30"/>
      <c r="B528" s="39"/>
      <c r="C528" s="39"/>
      <c r="F528" s="48" t="s">
        <v>21</v>
      </c>
      <c r="G528" s="43">
        <f>IF($J$1="January",V523,IF($J$1="February",V524,IF($J$1="March",V525,IF($J$1="April",V526,IF($J$1="May",V527,IF($J$1="June",V528,IF($J$1="July",V529,IF($J$1="August",V530,IF($J$1="August",V530,IF($J$1="September",V531,IF($J$1="October",V532,IF($J$1="November",V533,IF($J$1="December",V534)))))))))))))</f>
        <v>0</v>
      </c>
      <c r="H528" s="47"/>
      <c r="I528" s="84">
        <v>27</v>
      </c>
      <c r="J528" s="50" t="s">
        <v>63</v>
      </c>
      <c r="K528" s="53">
        <f>K523/$K$2/8*I528</f>
        <v>3881.25</v>
      </c>
      <c r="L528" s="54"/>
      <c r="N528" s="71"/>
      <c r="O528" s="72" t="s">
        <v>50</v>
      </c>
      <c r="P528" s="72"/>
      <c r="Q528" s="72"/>
      <c r="R528" s="72">
        <v>0</v>
      </c>
      <c r="S528" s="63"/>
      <c r="T528" s="72" t="s">
        <v>50</v>
      </c>
      <c r="U528" s="105" t="str">
        <f>IF($J$1="May","",Y527)</f>
        <v/>
      </c>
      <c r="V528" s="74"/>
      <c r="W528" s="105" t="str">
        <f t="shared" si="110"/>
        <v/>
      </c>
      <c r="X528" s="74"/>
      <c r="Y528" s="105" t="str">
        <f t="shared" si="111"/>
        <v/>
      </c>
      <c r="Z528" s="76"/>
    </row>
    <row r="529" spans="1:26" s="29" customFormat="1" ht="21" customHeight="1" x14ac:dyDescent="0.2">
      <c r="A529" s="30"/>
      <c r="B529" s="48" t="s">
        <v>7</v>
      </c>
      <c r="C529" s="39">
        <f>IF($J$1="January",P523,IF($J$1="February",P524,IF($J$1="March",P525,IF($J$1="April",P526,IF($J$1="May",P527,IF($J$1="June",P528,IF($J$1="July",P529,IF($J$1="August",P530,IF($J$1="August",P530,IF($J$1="September",P531,IF($J$1="October",P532,IF($J$1="November",P533,IF($J$1="December",P534)))))))))))))</f>
        <v>30</v>
      </c>
      <c r="F529" s="48" t="s">
        <v>66</v>
      </c>
      <c r="G529" s="43">
        <f>IF($J$1="January",W523,IF($J$1="February",W524,IF($J$1="March",W525,IF($J$1="April",W526,IF($J$1="May",W527,IF($J$1="June",W528,IF($J$1="July",W529,IF($J$1="August",W530,IF($J$1="August",W530,IF($J$1="September",W531,IF($J$1="October",W532,IF($J$1="November",W533,IF($J$1="December",W534)))))))))))))</f>
        <v>0</v>
      </c>
      <c r="H529" s="47"/>
      <c r="I529" s="405" t="s">
        <v>70</v>
      </c>
      <c r="J529" s="406"/>
      <c r="K529" s="53">
        <f>K527+K528</f>
        <v>38381.25</v>
      </c>
      <c r="L529" s="54"/>
      <c r="N529" s="71"/>
      <c r="O529" s="72" t="s">
        <v>51</v>
      </c>
      <c r="P529" s="72"/>
      <c r="Q529" s="72"/>
      <c r="R529" s="72">
        <v>0</v>
      </c>
      <c r="S529" s="63"/>
      <c r="T529" s="72" t="s">
        <v>51</v>
      </c>
      <c r="U529" s="105" t="str">
        <f>IF($J$1="June","",Y528)</f>
        <v/>
      </c>
      <c r="V529" s="74"/>
      <c r="W529" s="105" t="str">
        <f t="shared" si="110"/>
        <v/>
      </c>
      <c r="X529" s="74"/>
      <c r="Y529" s="105" t="str">
        <f t="shared" si="111"/>
        <v/>
      </c>
      <c r="Z529" s="76"/>
    </row>
    <row r="530" spans="1:26" s="29" customFormat="1" ht="21" customHeight="1" x14ac:dyDescent="0.2">
      <c r="A530" s="30"/>
      <c r="B530" s="48" t="s">
        <v>6</v>
      </c>
      <c r="C530" s="39">
        <f>IF($J$1="January",Q523,IF($J$1="February",Q524,IF($J$1="March",Q525,IF($J$1="April",Q526,IF($J$1="May",Q527,IF($J$1="June",Q528,IF($J$1="July",Q529,IF($J$1="August",Q530,IF($J$1="August",Q530,IF($J$1="September",Q531,IF($J$1="October",Q532,IF($J$1="November",Q533,IF($J$1="December",Q534)))))))))))))</f>
        <v>0</v>
      </c>
      <c r="F530" s="48" t="s">
        <v>22</v>
      </c>
      <c r="G530" s="43">
        <f>IF($J$1="January",X523,IF($J$1="February",X524,IF($J$1="March",X525,IF($J$1="April",X526,IF($J$1="May",X527,IF($J$1="June",X528,IF($J$1="July",X529,IF($J$1="August",X530,IF($J$1="August",X530,IF($J$1="September",X531,IF($J$1="October",X532,IF($J$1="November",X533,IF($J$1="December",X534)))))))))))))</f>
        <v>0</v>
      </c>
      <c r="H530" s="47"/>
      <c r="I530" s="405" t="s">
        <v>71</v>
      </c>
      <c r="J530" s="406"/>
      <c r="K530" s="43">
        <f>G530</f>
        <v>0</v>
      </c>
      <c r="L530" s="55"/>
      <c r="N530" s="71"/>
      <c r="O530" s="72" t="s">
        <v>52</v>
      </c>
      <c r="P530" s="72"/>
      <c r="Q530" s="72"/>
      <c r="R530" s="72">
        <v>0</v>
      </c>
      <c r="S530" s="63"/>
      <c r="T530" s="72" t="s">
        <v>52</v>
      </c>
      <c r="U530" s="105" t="str">
        <f>IF($J$1="July","",Y529)</f>
        <v/>
      </c>
      <c r="V530" s="74"/>
      <c r="W530" s="105" t="str">
        <f t="shared" si="110"/>
        <v/>
      </c>
      <c r="X530" s="74"/>
      <c r="Y530" s="105" t="str">
        <f t="shared" si="111"/>
        <v/>
      </c>
      <c r="Z530" s="76"/>
    </row>
    <row r="531" spans="1:26" s="29" customFormat="1" ht="21" customHeight="1" x14ac:dyDescent="0.2">
      <c r="A531" s="30"/>
      <c r="B531" s="56" t="s">
        <v>69</v>
      </c>
      <c r="C531" s="39">
        <f>IF($J$1="January",R523,IF($J$1="February",R524,IF($J$1="March",R525,IF($J$1="April",R526,IF($J$1="May",R527,IF($J$1="June",R528,IF($J$1="July",R529,IF($J$1="August",R530,IF($J$1="August",R530,IF($J$1="September",R531,IF($J$1="October",R532,IF($J$1="November",R533,IF($J$1="December",R534)))))))))))))</f>
        <v>0</v>
      </c>
      <c r="F531" s="48" t="s">
        <v>68</v>
      </c>
      <c r="G531" s="43">
        <f>IF($J$1="January",Y523,IF($J$1="February",Y524,IF($J$1="March",Y525,IF($J$1="April",Y526,IF($J$1="May",Y527,IF($J$1="June",Y528,IF($J$1="July",Y529,IF($J$1="August",Y530,IF($J$1="August",Y530,IF($J$1="September",Y531,IF($J$1="October",Y532,IF($J$1="November",Y533,IF($J$1="December",Y534)))))))))))))</f>
        <v>0</v>
      </c>
      <c r="I531" s="394" t="s">
        <v>64</v>
      </c>
      <c r="J531" s="396"/>
      <c r="K531" s="57">
        <f>K529-K530</f>
        <v>38381.25</v>
      </c>
      <c r="L531" s="58"/>
      <c r="N531" s="71"/>
      <c r="O531" s="72" t="s">
        <v>57</v>
      </c>
      <c r="P531" s="72"/>
      <c r="Q531" s="72"/>
      <c r="R531" s="72">
        <v>0</v>
      </c>
      <c r="S531" s="63"/>
      <c r="T531" s="72" t="s">
        <v>57</v>
      </c>
      <c r="U531" s="105" t="str">
        <f>IF($J$1="August","",Y530)</f>
        <v/>
      </c>
      <c r="V531" s="74"/>
      <c r="W531" s="105" t="str">
        <f t="shared" si="110"/>
        <v/>
      </c>
      <c r="X531" s="74"/>
      <c r="Y531" s="105" t="str">
        <f t="shared" si="111"/>
        <v/>
      </c>
      <c r="Z531" s="76"/>
    </row>
    <row r="532" spans="1:26" s="29" customFormat="1" ht="21" customHeight="1" x14ac:dyDescent="0.2">
      <c r="A532" s="30"/>
      <c r="K532" s="107"/>
      <c r="L532" s="46"/>
      <c r="N532" s="71"/>
      <c r="O532" s="72" t="s">
        <v>53</v>
      </c>
      <c r="P532" s="72"/>
      <c r="Q532" s="72"/>
      <c r="R532" s="72">
        <v>0</v>
      </c>
      <c r="S532" s="63"/>
      <c r="T532" s="72" t="s">
        <v>53</v>
      </c>
      <c r="U532" s="105" t="str">
        <f>IF($J$1="September","",Y531)</f>
        <v/>
      </c>
      <c r="V532" s="74"/>
      <c r="W532" s="105" t="str">
        <f t="shared" si="110"/>
        <v/>
      </c>
      <c r="X532" s="74"/>
      <c r="Y532" s="105" t="str">
        <f t="shared" si="111"/>
        <v/>
      </c>
      <c r="Z532" s="76"/>
    </row>
    <row r="533" spans="1:26" s="29" customFormat="1" ht="21" customHeight="1" x14ac:dyDescent="0.2">
      <c r="A533" s="30"/>
      <c r="B533" s="407" t="s">
        <v>87</v>
      </c>
      <c r="C533" s="407"/>
      <c r="D533" s="407"/>
      <c r="E533" s="407"/>
      <c r="F533" s="407"/>
      <c r="G533" s="407"/>
      <c r="H533" s="407"/>
      <c r="I533" s="407"/>
      <c r="J533" s="407"/>
      <c r="K533" s="407"/>
      <c r="L533" s="46"/>
      <c r="N533" s="71"/>
      <c r="O533" s="72" t="s">
        <v>58</v>
      </c>
      <c r="P533" s="72"/>
      <c r="Q533" s="72"/>
      <c r="R533" s="72">
        <v>0</v>
      </c>
      <c r="S533" s="63"/>
      <c r="T533" s="72" t="s">
        <v>58</v>
      </c>
      <c r="U533" s="105" t="str">
        <f>IF($J$1="October","",Y532)</f>
        <v/>
      </c>
      <c r="V533" s="74"/>
      <c r="W533" s="105" t="str">
        <f t="shared" si="110"/>
        <v/>
      </c>
      <c r="X533" s="74"/>
      <c r="Y533" s="105" t="str">
        <f t="shared" si="111"/>
        <v/>
      </c>
      <c r="Z533" s="76"/>
    </row>
    <row r="534" spans="1:26" s="29" customFormat="1" ht="21" customHeight="1" x14ac:dyDescent="0.2">
      <c r="A534" s="30"/>
      <c r="B534" s="407"/>
      <c r="C534" s="407"/>
      <c r="D534" s="407"/>
      <c r="E534" s="407"/>
      <c r="F534" s="407"/>
      <c r="G534" s="407"/>
      <c r="H534" s="407"/>
      <c r="I534" s="407"/>
      <c r="J534" s="407"/>
      <c r="K534" s="407"/>
      <c r="L534" s="46"/>
      <c r="N534" s="71"/>
      <c r="O534" s="72" t="s">
        <v>59</v>
      </c>
      <c r="P534" s="72"/>
      <c r="Q534" s="72"/>
      <c r="R534" s="72">
        <v>0</v>
      </c>
      <c r="S534" s="63"/>
      <c r="T534" s="72" t="s">
        <v>59</v>
      </c>
      <c r="U534" s="105" t="str">
        <f>IF($J$1="November","",Y533)</f>
        <v/>
      </c>
      <c r="V534" s="74"/>
      <c r="W534" s="105" t="str">
        <f t="shared" si="110"/>
        <v/>
      </c>
      <c r="X534" s="74"/>
      <c r="Y534" s="105" t="str">
        <f t="shared" si="111"/>
        <v/>
      </c>
      <c r="Z534" s="76"/>
    </row>
    <row r="535" spans="1:26" s="29" customFormat="1" ht="21" customHeight="1" thickBot="1" x14ac:dyDescent="0.25">
      <c r="A535" s="59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1"/>
      <c r="N535" s="77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9"/>
    </row>
    <row r="536" spans="1:26" s="29" customFormat="1" ht="21" customHeight="1" thickBot="1" x14ac:dyDescent="0.25"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 spans="1:26" s="29" customFormat="1" ht="21" customHeight="1" x14ac:dyDescent="0.2">
      <c r="A537" s="411" t="s">
        <v>41</v>
      </c>
      <c r="B537" s="412"/>
      <c r="C537" s="412"/>
      <c r="D537" s="412"/>
      <c r="E537" s="412"/>
      <c r="F537" s="412"/>
      <c r="G537" s="412"/>
      <c r="H537" s="412"/>
      <c r="I537" s="412"/>
      <c r="J537" s="412"/>
      <c r="K537" s="412"/>
      <c r="L537" s="413"/>
      <c r="M537" s="28"/>
      <c r="N537" s="64"/>
      <c r="O537" s="408" t="s">
        <v>43</v>
      </c>
      <c r="P537" s="409"/>
      <c r="Q537" s="409"/>
      <c r="R537" s="410"/>
      <c r="S537" s="65"/>
      <c r="T537" s="408" t="s">
        <v>44</v>
      </c>
      <c r="U537" s="409"/>
      <c r="V537" s="409"/>
      <c r="W537" s="409"/>
      <c r="X537" s="409"/>
      <c r="Y537" s="410"/>
      <c r="Z537" s="66"/>
    </row>
    <row r="538" spans="1:26" s="29" customFormat="1" ht="21" customHeight="1" x14ac:dyDescent="0.2">
      <c r="A538" s="30"/>
      <c r="C538" s="398" t="s">
        <v>85</v>
      </c>
      <c r="D538" s="398"/>
      <c r="E538" s="398"/>
      <c r="F538" s="398"/>
      <c r="G538" s="31" t="str">
        <f>$J$1</f>
        <v>April</v>
      </c>
      <c r="H538" s="397">
        <f>$K$1</f>
        <v>2023</v>
      </c>
      <c r="I538" s="397"/>
      <c r="K538" s="32"/>
      <c r="L538" s="33"/>
      <c r="M538" s="32"/>
      <c r="N538" s="67"/>
      <c r="O538" s="68" t="s">
        <v>54</v>
      </c>
      <c r="P538" s="68" t="s">
        <v>7</v>
      </c>
      <c r="Q538" s="68" t="s">
        <v>6</v>
      </c>
      <c r="R538" s="68" t="s">
        <v>55</v>
      </c>
      <c r="S538" s="69"/>
      <c r="T538" s="68" t="s">
        <v>54</v>
      </c>
      <c r="U538" s="68" t="s">
        <v>56</v>
      </c>
      <c r="V538" s="68" t="s">
        <v>21</v>
      </c>
      <c r="W538" s="68" t="s">
        <v>20</v>
      </c>
      <c r="X538" s="68" t="s">
        <v>22</v>
      </c>
      <c r="Y538" s="68" t="s">
        <v>60</v>
      </c>
      <c r="Z538" s="70"/>
    </row>
    <row r="539" spans="1:26" s="29" customFormat="1" ht="21" customHeight="1" x14ac:dyDescent="0.2">
      <c r="A539" s="30"/>
      <c r="D539" s="35"/>
      <c r="E539" s="35"/>
      <c r="F539" s="35"/>
      <c r="G539" s="35"/>
      <c r="H539" s="35"/>
      <c r="J539" s="36" t="s">
        <v>1</v>
      </c>
      <c r="K539" s="37">
        <f>24500+2000</f>
        <v>26500</v>
      </c>
      <c r="L539" s="38"/>
      <c r="N539" s="71"/>
      <c r="O539" s="72" t="s">
        <v>46</v>
      </c>
      <c r="P539" s="72">
        <v>31</v>
      </c>
      <c r="Q539" s="72">
        <v>0</v>
      </c>
      <c r="R539" s="72"/>
      <c r="S539" s="73"/>
      <c r="T539" s="72" t="s">
        <v>46</v>
      </c>
      <c r="U539" s="74"/>
      <c r="V539" s="74"/>
      <c r="W539" s="74">
        <f>V539+U539</f>
        <v>0</v>
      </c>
      <c r="X539" s="74"/>
      <c r="Y539" s="74">
        <f>W539-X539</f>
        <v>0</v>
      </c>
      <c r="Z539" s="70"/>
    </row>
    <row r="540" spans="1:26" s="29" customFormat="1" ht="21" customHeight="1" x14ac:dyDescent="0.2">
      <c r="A540" s="30"/>
      <c r="B540" s="29" t="s">
        <v>0</v>
      </c>
      <c r="C540" s="40" t="s">
        <v>138</v>
      </c>
      <c r="H540" s="41"/>
      <c r="I540" s="35"/>
      <c r="L540" s="42"/>
      <c r="M540" s="28"/>
      <c r="N540" s="75"/>
      <c r="O540" s="72" t="s">
        <v>72</v>
      </c>
      <c r="P540" s="72">
        <v>28</v>
      </c>
      <c r="Q540" s="72">
        <v>0</v>
      </c>
      <c r="R540" s="72"/>
      <c r="S540" s="63"/>
      <c r="T540" s="72" t="s">
        <v>72</v>
      </c>
      <c r="U540" s="105">
        <f>Y539</f>
        <v>0</v>
      </c>
      <c r="V540" s="74">
        <v>15000</v>
      </c>
      <c r="W540" s="105">
        <f>IF(U540="","",U540+V540)</f>
        <v>15000</v>
      </c>
      <c r="X540" s="74">
        <v>5000</v>
      </c>
      <c r="Y540" s="105">
        <f>IF(W540="","",W540-X540)</f>
        <v>10000</v>
      </c>
      <c r="Z540" s="76"/>
    </row>
    <row r="541" spans="1:26" s="29" customFormat="1" ht="21" customHeight="1" x14ac:dyDescent="0.2">
      <c r="A541" s="30"/>
      <c r="B541" s="44" t="s">
        <v>42</v>
      </c>
      <c r="C541" s="40"/>
      <c r="F541" s="414" t="s">
        <v>44</v>
      </c>
      <c r="G541" s="414"/>
      <c r="I541" s="414" t="s">
        <v>45</v>
      </c>
      <c r="J541" s="414"/>
      <c r="K541" s="414"/>
      <c r="L541" s="46"/>
      <c r="N541" s="71"/>
      <c r="O541" s="72" t="s">
        <v>47</v>
      </c>
      <c r="P541" s="72">
        <v>31</v>
      </c>
      <c r="Q541" s="72">
        <v>0</v>
      </c>
      <c r="R541" s="72">
        <v>0</v>
      </c>
      <c r="S541" s="63"/>
      <c r="T541" s="72" t="s">
        <v>47</v>
      </c>
      <c r="U541" s="105">
        <f>IF($J$1="February","",Y540)</f>
        <v>10000</v>
      </c>
      <c r="V541" s="74"/>
      <c r="W541" s="105">
        <f t="shared" ref="W541:W550" si="112">IF(U541="","",U541+V541)</f>
        <v>10000</v>
      </c>
      <c r="X541" s="74"/>
      <c r="Y541" s="105">
        <f t="shared" ref="Y541:Y550" si="113">IF(W541="","",W541-X541)</f>
        <v>10000</v>
      </c>
      <c r="Z541" s="76"/>
    </row>
    <row r="542" spans="1:26" s="29" customFormat="1" ht="21" customHeight="1" x14ac:dyDescent="0.2">
      <c r="A542" s="30"/>
      <c r="H542" s="47"/>
      <c r="L542" s="34"/>
      <c r="N542" s="71"/>
      <c r="O542" s="72" t="s">
        <v>48</v>
      </c>
      <c r="P542" s="72">
        <v>30</v>
      </c>
      <c r="Q542" s="72">
        <v>0</v>
      </c>
      <c r="R542" s="72">
        <v>0</v>
      </c>
      <c r="S542" s="63"/>
      <c r="T542" s="72" t="s">
        <v>48</v>
      </c>
      <c r="U542" s="105">
        <f>IF($J$1="March","",Y541)</f>
        <v>10000</v>
      </c>
      <c r="V542" s="74"/>
      <c r="W542" s="105">
        <f t="shared" si="112"/>
        <v>10000</v>
      </c>
      <c r="X542" s="74">
        <v>5000</v>
      </c>
      <c r="Y542" s="105">
        <f t="shared" si="113"/>
        <v>5000</v>
      </c>
      <c r="Z542" s="76"/>
    </row>
    <row r="543" spans="1:26" s="29" customFormat="1" ht="21" customHeight="1" x14ac:dyDescent="0.2">
      <c r="A543" s="30"/>
      <c r="B543" s="392" t="s">
        <v>43</v>
      </c>
      <c r="C543" s="393"/>
      <c r="F543" s="48" t="s">
        <v>65</v>
      </c>
      <c r="G543" s="43">
        <f>IF($J$1="January",U539,IF($J$1="February",U540,IF($J$1="March",U541,IF($J$1="April",U542,IF($J$1="May",U543,IF($J$1="June",U544,IF($J$1="July",U545,IF($J$1="August",U546,IF($J$1="August",U546,IF($J$1="September",U547,IF($J$1="October",U548,IF($J$1="November",U549,IF($J$1="December",U550)))))))))))))</f>
        <v>10000</v>
      </c>
      <c r="H543" s="47"/>
      <c r="I543" s="49">
        <f>IF(C547&gt;0,$K$2,C545)</f>
        <v>30</v>
      </c>
      <c r="J543" s="50" t="s">
        <v>62</v>
      </c>
      <c r="K543" s="51">
        <f>K539/$K$2*I543</f>
        <v>26500</v>
      </c>
      <c r="L543" s="52"/>
      <c r="N543" s="71"/>
      <c r="O543" s="72" t="s">
        <v>49</v>
      </c>
      <c r="P543" s="72"/>
      <c r="Q543" s="72"/>
      <c r="R543" s="72">
        <v>0</v>
      </c>
      <c r="S543" s="63"/>
      <c r="T543" s="72" t="s">
        <v>49</v>
      </c>
      <c r="U543" s="105" t="str">
        <f>IF($J$1="April","",Y542)</f>
        <v/>
      </c>
      <c r="V543" s="74"/>
      <c r="W543" s="105" t="str">
        <f t="shared" si="112"/>
        <v/>
      </c>
      <c r="X543" s="74"/>
      <c r="Y543" s="105" t="str">
        <f t="shared" si="113"/>
        <v/>
      </c>
      <c r="Z543" s="76"/>
    </row>
    <row r="544" spans="1:26" s="29" customFormat="1" ht="21" customHeight="1" x14ac:dyDescent="0.2">
      <c r="A544" s="30"/>
      <c r="B544" s="39"/>
      <c r="C544" s="39"/>
      <c r="F544" s="48" t="s">
        <v>21</v>
      </c>
      <c r="G544" s="43">
        <f>IF($J$1="January",V539,IF($J$1="February",V540,IF($J$1="March",V541,IF($J$1="April",V542,IF($J$1="May",V543,IF($J$1="June",V544,IF($J$1="July",V545,IF($J$1="August",V546,IF($J$1="August",V546,IF($J$1="September",V547,IF($J$1="October",V548,IF($J$1="November",V549,IF($J$1="December",V550)))))))))))))</f>
        <v>0</v>
      </c>
      <c r="H544" s="47"/>
      <c r="I544" s="84">
        <v>110</v>
      </c>
      <c r="J544" s="50" t="s">
        <v>63</v>
      </c>
      <c r="K544" s="53">
        <f>K539/$K$2/8*I544</f>
        <v>12145.833333333334</v>
      </c>
      <c r="L544" s="54"/>
      <c r="N544" s="71"/>
      <c r="O544" s="72" t="s">
        <v>50</v>
      </c>
      <c r="P544" s="72"/>
      <c r="Q544" s="72"/>
      <c r="R544" s="72">
        <v>0</v>
      </c>
      <c r="S544" s="63"/>
      <c r="T544" s="72" t="s">
        <v>50</v>
      </c>
      <c r="U544" s="105"/>
      <c r="V544" s="74"/>
      <c r="W544" s="105" t="str">
        <f t="shared" si="112"/>
        <v/>
      </c>
      <c r="X544" s="74"/>
      <c r="Y544" s="105" t="str">
        <f t="shared" si="113"/>
        <v/>
      </c>
      <c r="Z544" s="76"/>
    </row>
    <row r="545" spans="1:27" s="29" customFormat="1" ht="21" customHeight="1" x14ac:dyDescent="0.2">
      <c r="A545" s="30"/>
      <c r="B545" s="48" t="s">
        <v>7</v>
      </c>
      <c r="C545" s="39">
        <f>IF($J$1="January",P539,IF($J$1="February",P540,IF($J$1="March",P541,IF($J$1="April",P542,IF($J$1="May",P543,IF($J$1="June",P544,IF($J$1="July",P545,IF($J$1="August",P546,IF($J$1="August",P546,IF($J$1="September",P547,IF($J$1="October",P548,IF($J$1="November",P549,IF($J$1="December",P550)))))))))))))</f>
        <v>30</v>
      </c>
      <c r="F545" s="48" t="s">
        <v>66</v>
      </c>
      <c r="G545" s="43">
        <f>IF($J$1="January",W539,IF($J$1="February",W540,IF($J$1="March",W541,IF($J$1="April",W542,IF($J$1="May",W543,IF($J$1="June",W544,IF($J$1="July",W545,IF($J$1="August",W546,IF($J$1="August",W546,IF($J$1="September",W547,IF($J$1="October",W548,IF($J$1="November",W549,IF($J$1="December",W550)))))))))))))</f>
        <v>10000</v>
      </c>
      <c r="H545" s="47"/>
      <c r="I545" s="405" t="s">
        <v>70</v>
      </c>
      <c r="J545" s="406"/>
      <c r="K545" s="53">
        <f>K543+K544</f>
        <v>38645.833333333336</v>
      </c>
      <c r="L545" s="54"/>
      <c r="N545" s="71"/>
      <c r="O545" s="72" t="s">
        <v>51</v>
      </c>
      <c r="P545" s="72"/>
      <c r="Q545" s="72"/>
      <c r="R545" s="72">
        <v>0</v>
      </c>
      <c r="S545" s="63"/>
      <c r="T545" s="72" t="s">
        <v>51</v>
      </c>
      <c r="U545" s="105"/>
      <c r="V545" s="74"/>
      <c r="W545" s="105" t="str">
        <f t="shared" si="112"/>
        <v/>
      </c>
      <c r="X545" s="74"/>
      <c r="Y545" s="105" t="str">
        <f t="shared" si="113"/>
        <v/>
      </c>
      <c r="Z545" s="76"/>
    </row>
    <row r="546" spans="1:27" s="29" customFormat="1" ht="21" customHeight="1" x14ac:dyDescent="0.2">
      <c r="A546" s="30"/>
      <c r="B546" s="48" t="s">
        <v>6</v>
      </c>
      <c r="C546" s="39">
        <f>IF($J$1="January",Q539,IF($J$1="February",Q540,IF($J$1="March",Q541,IF($J$1="April",Q542,IF($J$1="May",Q543,IF($J$1="June",Q544,IF($J$1="July",Q545,IF($J$1="August",Q546,IF($J$1="August",Q546,IF($J$1="September",Q547,IF($J$1="October",Q548,IF($J$1="November",Q549,IF($J$1="December",Q550)))))))))))))</f>
        <v>0</v>
      </c>
      <c r="F546" s="48" t="s">
        <v>22</v>
      </c>
      <c r="G546" s="43">
        <f>IF($J$1="January",X539,IF($J$1="February",X540,IF($J$1="March",X541,IF($J$1="April",X542,IF($J$1="May",X543,IF($J$1="June",X544,IF($J$1="July",X545,IF($J$1="August",X546,IF($J$1="August",X546,IF($J$1="September",X547,IF($J$1="October",X548,IF($J$1="November",X549,IF($J$1="December",X550)))))))))))))</f>
        <v>5000</v>
      </c>
      <c r="H546" s="47"/>
      <c r="I546" s="405" t="s">
        <v>71</v>
      </c>
      <c r="J546" s="406"/>
      <c r="K546" s="43">
        <f>G546</f>
        <v>5000</v>
      </c>
      <c r="L546" s="55"/>
      <c r="N546" s="71"/>
      <c r="O546" s="72" t="s">
        <v>52</v>
      </c>
      <c r="P546" s="72"/>
      <c r="Q546" s="72"/>
      <c r="R546" s="72">
        <v>0</v>
      </c>
      <c r="S546" s="63"/>
      <c r="T546" s="72" t="s">
        <v>52</v>
      </c>
      <c r="U546" s="105"/>
      <c r="V546" s="74"/>
      <c r="W546" s="105" t="str">
        <f t="shared" si="112"/>
        <v/>
      </c>
      <c r="X546" s="74"/>
      <c r="Y546" s="105" t="str">
        <f t="shared" si="113"/>
        <v/>
      </c>
      <c r="Z546" s="76"/>
    </row>
    <row r="547" spans="1:27" s="29" customFormat="1" ht="21" customHeight="1" x14ac:dyDescent="0.2">
      <c r="A547" s="30"/>
      <c r="B547" s="56" t="s">
        <v>69</v>
      </c>
      <c r="C547" s="39">
        <f>IF($J$1="January",R539,IF($J$1="February",R540,IF($J$1="March",R541,IF($J$1="April",R542,IF($J$1="May",R543,IF($J$1="June",R544,IF($J$1="July",R545,IF($J$1="August",R546,IF($J$1="August",R546,IF($J$1="September",R547,IF($J$1="October",R548,IF($J$1="November",R549,IF($J$1="December",R550)))))))))))))</f>
        <v>0</v>
      </c>
      <c r="F547" s="48" t="s">
        <v>144</v>
      </c>
      <c r="G547" s="43">
        <f>IF($J$1="January",Y539,IF($J$1="February",Y540,IF($J$1="March",Y541,IF($J$1="April",Y542,IF($J$1="May",Y543,IF($J$1="June",Y544,IF($J$1="July",Y545,IF($J$1="August",Y546,IF($J$1="August",Y546,IF($J$1="September",Y547,IF($J$1="October",Y548,IF($J$1="November",Y549,IF($J$1="December",Y550)))))))))))))</f>
        <v>5000</v>
      </c>
      <c r="I547" s="394" t="s">
        <v>64</v>
      </c>
      <c r="J547" s="396"/>
      <c r="K547" s="57">
        <f>K545-K546</f>
        <v>33645.833333333336</v>
      </c>
      <c r="L547" s="58"/>
      <c r="N547" s="71"/>
      <c r="O547" s="72" t="s">
        <v>57</v>
      </c>
      <c r="P547" s="72"/>
      <c r="Q547" s="72"/>
      <c r="R547" s="72">
        <v>0</v>
      </c>
      <c r="S547" s="63"/>
      <c r="T547" s="72" t="s">
        <v>57</v>
      </c>
      <c r="U547" s="105"/>
      <c r="V547" s="74"/>
      <c r="W547" s="105" t="str">
        <f t="shared" si="112"/>
        <v/>
      </c>
      <c r="X547" s="74"/>
      <c r="Y547" s="105" t="str">
        <f t="shared" si="113"/>
        <v/>
      </c>
      <c r="Z547" s="76"/>
    </row>
    <row r="548" spans="1:27" s="29" customFormat="1" ht="21" customHeight="1" x14ac:dyDescent="0.2">
      <c r="A548" s="30"/>
      <c r="K548" s="107"/>
      <c r="L548" s="46"/>
      <c r="N548" s="71"/>
      <c r="O548" s="72" t="s">
        <v>53</v>
      </c>
      <c r="P548" s="72"/>
      <c r="Q548" s="72"/>
      <c r="R548" s="72">
        <v>0</v>
      </c>
      <c r="S548" s="63"/>
      <c r="T548" s="72" t="s">
        <v>53</v>
      </c>
      <c r="U548" s="105"/>
      <c r="V548" s="74"/>
      <c r="W548" s="105" t="str">
        <f t="shared" si="112"/>
        <v/>
      </c>
      <c r="X548" s="74"/>
      <c r="Y548" s="105" t="str">
        <f t="shared" si="113"/>
        <v/>
      </c>
      <c r="Z548" s="76"/>
    </row>
    <row r="549" spans="1:27" s="29" customFormat="1" ht="21" customHeight="1" x14ac:dyDescent="0.2">
      <c r="A549" s="30"/>
      <c r="B549" s="407" t="s">
        <v>87</v>
      </c>
      <c r="C549" s="407"/>
      <c r="D549" s="407"/>
      <c r="E549" s="407"/>
      <c r="F549" s="407"/>
      <c r="G549" s="407"/>
      <c r="H549" s="407"/>
      <c r="I549" s="407"/>
      <c r="J549" s="407"/>
      <c r="K549" s="407"/>
      <c r="L549" s="46"/>
      <c r="N549" s="71"/>
      <c r="O549" s="72" t="s">
        <v>58</v>
      </c>
      <c r="P549" s="72"/>
      <c r="Q549" s="72"/>
      <c r="R549" s="72">
        <v>0</v>
      </c>
      <c r="S549" s="63"/>
      <c r="T549" s="72" t="s">
        <v>58</v>
      </c>
      <c r="U549" s="105"/>
      <c r="V549" s="74"/>
      <c r="W549" s="105" t="str">
        <f t="shared" si="112"/>
        <v/>
      </c>
      <c r="X549" s="74"/>
      <c r="Y549" s="105" t="str">
        <f t="shared" si="113"/>
        <v/>
      </c>
      <c r="Z549" s="76"/>
    </row>
    <row r="550" spans="1:27" s="29" customFormat="1" ht="21" customHeight="1" x14ac:dyDescent="0.2">
      <c r="A550" s="30"/>
      <c r="B550" s="407"/>
      <c r="C550" s="407"/>
      <c r="D550" s="407"/>
      <c r="E550" s="407"/>
      <c r="F550" s="407"/>
      <c r="G550" s="407"/>
      <c r="H550" s="407"/>
      <c r="I550" s="407"/>
      <c r="J550" s="407"/>
      <c r="K550" s="407"/>
      <c r="L550" s="46"/>
      <c r="N550" s="71"/>
      <c r="O550" s="72" t="s">
        <v>59</v>
      </c>
      <c r="P550" s="72"/>
      <c r="Q550" s="72"/>
      <c r="R550" s="72">
        <v>0</v>
      </c>
      <c r="S550" s="63"/>
      <c r="T550" s="72" t="s">
        <v>59</v>
      </c>
      <c r="U550" s="105">
        <v>0</v>
      </c>
      <c r="V550" s="74"/>
      <c r="W550" s="105">
        <f t="shared" si="112"/>
        <v>0</v>
      </c>
      <c r="X550" s="74"/>
      <c r="Y550" s="105">
        <f t="shared" si="113"/>
        <v>0</v>
      </c>
      <c r="Z550" s="76"/>
    </row>
    <row r="551" spans="1:27" s="29" customFormat="1" ht="21" customHeight="1" thickBot="1" x14ac:dyDescent="0.25">
      <c r="A551" s="59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1"/>
      <c r="N551" s="77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9"/>
    </row>
    <row r="552" spans="1:27" s="29" customFormat="1" ht="21" customHeight="1" thickBot="1" x14ac:dyDescent="0.25"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 spans="1:27" s="29" customFormat="1" ht="21.4" customHeight="1" x14ac:dyDescent="0.2">
      <c r="A553" s="411" t="s">
        <v>41</v>
      </c>
      <c r="B553" s="412"/>
      <c r="C553" s="412"/>
      <c r="D553" s="412"/>
      <c r="E553" s="412"/>
      <c r="F553" s="412"/>
      <c r="G553" s="412"/>
      <c r="H553" s="412"/>
      <c r="I553" s="412"/>
      <c r="J553" s="412"/>
      <c r="K553" s="412"/>
      <c r="L553" s="413"/>
      <c r="M553" s="28"/>
      <c r="N553" s="64"/>
      <c r="O553" s="408" t="s">
        <v>43</v>
      </c>
      <c r="P553" s="409"/>
      <c r="Q553" s="409"/>
      <c r="R553" s="410"/>
      <c r="S553" s="65"/>
      <c r="T553" s="408" t="s">
        <v>44</v>
      </c>
      <c r="U553" s="409"/>
      <c r="V553" s="409"/>
      <c r="W553" s="409"/>
      <c r="X553" s="409"/>
      <c r="Y553" s="410"/>
      <c r="Z553" s="66"/>
      <c r="AA553" s="28"/>
    </row>
    <row r="554" spans="1:27" s="29" customFormat="1" ht="21.4" customHeight="1" x14ac:dyDescent="0.2">
      <c r="A554" s="30"/>
      <c r="C554" s="398" t="s">
        <v>85</v>
      </c>
      <c r="D554" s="398"/>
      <c r="E554" s="398"/>
      <c r="F554" s="398"/>
      <c r="G554" s="31" t="str">
        <f>$J$1</f>
        <v>April</v>
      </c>
      <c r="H554" s="397">
        <f>$K$1</f>
        <v>2023</v>
      </c>
      <c r="I554" s="397"/>
      <c r="K554" s="32"/>
      <c r="L554" s="33"/>
      <c r="M554" s="32"/>
      <c r="N554" s="67"/>
      <c r="O554" s="68" t="s">
        <v>54</v>
      </c>
      <c r="P554" s="68" t="s">
        <v>7</v>
      </c>
      <c r="Q554" s="68" t="s">
        <v>6</v>
      </c>
      <c r="R554" s="68" t="s">
        <v>55</v>
      </c>
      <c r="S554" s="69"/>
      <c r="T554" s="68" t="s">
        <v>54</v>
      </c>
      <c r="U554" s="68" t="s">
        <v>56</v>
      </c>
      <c r="V554" s="68" t="s">
        <v>21</v>
      </c>
      <c r="W554" s="68" t="s">
        <v>20</v>
      </c>
      <c r="X554" s="68" t="s">
        <v>22</v>
      </c>
      <c r="Y554" s="68" t="s">
        <v>60</v>
      </c>
      <c r="Z554" s="70"/>
      <c r="AA554" s="32"/>
    </row>
    <row r="555" spans="1:27" s="29" customFormat="1" ht="21.4" customHeight="1" x14ac:dyDescent="0.2">
      <c r="A555" s="30"/>
      <c r="D555" s="35"/>
      <c r="E555" s="35"/>
      <c r="F555" s="35"/>
      <c r="G555" s="35"/>
      <c r="H555" s="35"/>
      <c r="J555" s="36" t="s">
        <v>1</v>
      </c>
      <c r="K555" s="37">
        <f>18000+3000+1000</f>
        <v>22000</v>
      </c>
      <c r="L555" s="38"/>
      <c r="N555" s="71"/>
      <c r="O555" s="72" t="s">
        <v>46</v>
      </c>
      <c r="P555" s="72">
        <v>31</v>
      </c>
      <c r="Q555" s="72">
        <v>0</v>
      </c>
      <c r="R555" s="72">
        <v>0</v>
      </c>
      <c r="S555" s="73"/>
      <c r="T555" s="72" t="s">
        <v>46</v>
      </c>
      <c r="U555" s="74"/>
      <c r="V555" s="74"/>
      <c r="W555" s="74">
        <f>V555+U555</f>
        <v>0</v>
      </c>
      <c r="X555" s="74"/>
      <c r="Y555" s="74">
        <f>W555-X555</f>
        <v>0</v>
      </c>
      <c r="Z555" s="70"/>
    </row>
    <row r="556" spans="1:27" s="29" customFormat="1" ht="21.4" customHeight="1" x14ac:dyDescent="0.2">
      <c r="A556" s="30"/>
      <c r="B556" s="29" t="s">
        <v>0</v>
      </c>
      <c r="C556" s="40" t="s">
        <v>193</v>
      </c>
      <c r="H556" s="41"/>
      <c r="I556" s="35"/>
      <c r="L556" s="42"/>
      <c r="M556" s="28"/>
      <c r="N556" s="75"/>
      <c r="O556" s="72" t="s">
        <v>72</v>
      </c>
      <c r="P556" s="72">
        <v>27</v>
      </c>
      <c r="Q556" s="72">
        <v>1</v>
      </c>
      <c r="R556" s="72">
        <v>0</v>
      </c>
      <c r="S556" s="63"/>
      <c r="T556" s="72" t="s">
        <v>72</v>
      </c>
      <c r="U556" s="105">
        <f>IF($J$1="January","",Y555)</f>
        <v>0</v>
      </c>
      <c r="V556" s="74"/>
      <c r="W556" s="105">
        <f>IF(U556="","",U556+V556)</f>
        <v>0</v>
      </c>
      <c r="X556" s="74"/>
      <c r="Y556" s="105">
        <f>IF(W556="","",W556-X556)</f>
        <v>0</v>
      </c>
      <c r="Z556" s="76"/>
      <c r="AA556" s="28"/>
    </row>
    <row r="557" spans="1:27" s="29" customFormat="1" ht="21.4" customHeight="1" x14ac:dyDescent="0.2">
      <c r="A557" s="30"/>
      <c r="B557" s="44" t="s">
        <v>42</v>
      </c>
      <c r="C557" s="45"/>
      <c r="F557" s="414" t="s">
        <v>44</v>
      </c>
      <c r="G557" s="414"/>
      <c r="I557" s="414" t="s">
        <v>45</v>
      </c>
      <c r="J557" s="414"/>
      <c r="K557" s="414"/>
      <c r="L557" s="46"/>
      <c r="N557" s="71"/>
      <c r="O557" s="72" t="s">
        <v>47</v>
      </c>
      <c r="P557" s="72">
        <v>31</v>
      </c>
      <c r="Q557" s="72">
        <v>0</v>
      </c>
      <c r="R557" s="72">
        <f t="shared" ref="R557" si="114">IF(Q557="","",R556-Q557)</f>
        <v>0</v>
      </c>
      <c r="S557" s="63"/>
      <c r="T557" s="72" t="s">
        <v>47</v>
      </c>
      <c r="U557" s="105">
        <f>IF($J$1="February","",Y556)</f>
        <v>0</v>
      </c>
      <c r="V557" s="74"/>
      <c r="W557" s="105">
        <f t="shared" ref="W557:W566" si="115">IF(U557="","",U557+V557)</f>
        <v>0</v>
      </c>
      <c r="X557" s="74"/>
      <c r="Y557" s="105">
        <f t="shared" ref="Y557:Y566" si="116">IF(W557="","",W557-X557)</f>
        <v>0</v>
      </c>
      <c r="Z557" s="76"/>
    </row>
    <row r="558" spans="1:27" s="29" customFormat="1" ht="21.4" customHeight="1" x14ac:dyDescent="0.2">
      <c r="A558" s="30"/>
      <c r="H558" s="47"/>
      <c r="L558" s="34"/>
      <c r="N558" s="71"/>
      <c r="O558" s="72" t="s">
        <v>48</v>
      </c>
      <c r="P558" s="72">
        <v>30</v>
      </c>
      <c r="Q558" s="72">
        <v>0</v>
      </c>
      <c r="R558" s="72">
        <v>0</v>
      </c>
      <c r="S558" s="63"/>
      <c r="T558" s="72" t="s">
        <v>48</v>
      </c>
      <c r="U558" s="105">
        <f>IF($J$1="March","",Y557)</f>
        <v>0</v>
      </c>
      <c r="V558" s="74">
        <v>50000</v>
      </c>
      <c r="W558" s="105">
        <f t="shared" si="115"/>
        <v>50000</v>
      </c>
      <c r="X558" s="74">
        <v>5000</v>
      </c>
      <c r="Y558" s="105">
        <f t="shared" si="116"/>
        <v>45000</v>
      </c>
      <c r="Z558" s="76"/>
    </row>
    <row r="559" spans="1:27" s="29" customFormat="1" ht="21.4" customHeight="1" x14ac:dyDescent="0.2">
      <c r="A559" s="30"/>
      <c r="B559" s="392" t="s">
        <v>43</v>
      </c>
      <c r="C559" s="393"/>
      <c r="F559" s="48" t="s">
        <v>65</v>
      </c>
      <c r="G559" s="43">
        <f>IF($J$1="January",U555,IF($J$1="February",U556,IF($J$1="March",U557,IF($J$1="April",U558,IF($J$1="May",U559,IF($J$1="June",U560,IF($J$1="July",U561,IF($J$1="August",U562,IF($J$1="August",U562,IF($J$1="September",U563,IF($J$1="October",U564,IF($J$1="November",U565,IF($J$1="December",U566)))))))))))))</f>
        <v>0</v>
      </c>
      <c r="H559" s="47"/>
      <c r="I559" s="49">
        <f>IF(C563&gt;0,$K$2,C561)</f>
        <v>30</v>
      </c>
      <c r="J559" s="50" t="s">
        <v>62</v>
      </c>
      <c r="K559" s="51">
        <f>K555/$K$2*I559</f>
        <v>22000</v>
      </c>
      <c r="L559" s="52"/>
      <c r="N559" s="71"/>
      <c r="O559" s="72" t="s">
        <v>49</v>
      </c>
      <c r="P559" s="72"/>
      <c r="Q559" s="72"/>
      <c r="R559" s="72">
        <v>0</v>
      </c>
      <c r="S559" s="63"/>
      <c r="T559" s="72" t="s">
        <v>49</v>
      </c>
      <c r="U559" s="105" t="str">
        <f>IF($J$1="April","",Y558)</f>
        <v/>
      </c>
      <c r="V559" s="74"/>
      <c r="W559" s="105" t="str">
        <f t="shared" si="115"/>
        <v/>
      </c>
      <c r="X559" s="74"/>
      <c r="Y559" s="105" t="str">
        <f t="shared" si="116"/>
        <v/>
      </c>
      <c r="Z559" s="76"/>
    </row>
    <row r="560" spans="1:27" s="29" customFormat="1" ht="21.4" customHeight="1" x14ac:dyDescent="0.2">
      <c r="A560" s="30"/>
      <c r="B560" s="39"/>
      <c r="C560" s="39"/>
      <c r="F560" s="48" t="s">
        <v>21</v>
      </c>
      <c r="G560" s="43">
        <f>IF($J$1="January",V555,IF($J$1="February",V556,IF($J$1="March",V557,IF($J$1="April",V558,IF($J$1="May",V559,IF($J$1="June",V560,IF($J$1="July",V561,IF($J$1="August",V562,IF($J$1="August",V562,IF($J$1="September",V563,IF($J$1="October",V564,IF($J$1="November",V565,IF($J$1="December",V566)))))))))))))</f>
        <v>50000</v>
      </c>
      <c r="H560" s="47"/>
      <c r="I560" s="84">
        <v>90</v>
      </c>
      <c r="J560" s="50" t="s">
        <v>63</v>
      </c>
      <c r="K560" s="53">
        <f>K555/$K$2/8*I560</f>
        <v>8250</v>
      </c>
      <c r="L560" s="54"/>
      <c r="N560" s="71"/>
      <c r="O560" s="72" t="s">
        <v>50</v>
      </c>
      <c r="P560" s="72"/>
      <c r="Q560" s="72"/>
      <c r="R560" s="72">
        <v>0</v>
      </c>
      <c r="S560" s="63"/>
      <c r="T560" s="72" t="s">
        <v>50</v>
      </c>
      <c r="U560" s="105" t="str">
        <f>IF($J$1="May","",Y559)</f>
        <v/>
      </c>
      <c r="V560" s="74"/>
      <c r="W560" s="105" t="str">
        <f t="shared" si="115"/>
        <v/>
      </c>
      <c r="X560" s="74"/>
      <c r="Y560" s="105" t="str">
        <f t="shared" si="116"/>
        <v/>
      </c>
      <c r="Z560" s="76"/>
    </row>
    <row r="561" spans="1:27" s="29" customFormat="1" ht="21.4" customHeight="1" x14ac:dyDescent="0.2">
      <c r="A561" s="30"/>
      <c r="B561" s="48" t="s">
        <v>7</v>
      </c>
      <c r="C561" s="39">
        <f>IF($J$1="January",P555,IF($J$1="February",P556,IF($J$1="March",P557,IF($J$1="April",P558,IF($J$1="May",P559,IF($J$1="June",P560,IF($J$1="July",P561,IF($J$1="August",P562,IF($J$1="August",P562,IF($J$1="September",P563,IF($J$1="October",P564,IF($J$1="November",P565,IF($J$1="December",P566)))))))))))))</f>
        <v>30</v>
      </c>
      <c r="F561" s="48" t="s">
        <v>66</v>
      </c>
      <c r="G561" s="43">
        <f>IF($J$1="January",W555,IF($J$1="February",W556,IF($J$1="March",W557,IF($J$1="April",W558,IF($J$1="May",W559,IF($J$1="June",W560,IF($J$1="July",W561,IF($J$1="August",W562,IF($J$1="August",W562,IF($J$1="September",W563,IF($J$1="October",W564,IF($J$1="November",W565,IF($J$1="December",W566)))))))))))))</f>
        <v>50000</v>
      </c>
      <c r="H561" s="47"/>
      <c r="I561" s="405" t="s">
        <v>70</v>
      </c>
      <c r="J561" s="406"/>
      <c r="K561" s="53">
        <f>K559+K560</f>
        <v>30250</v>
      </c>
      <c r="L561" s="54"/>
      <c r="N561" s="71"/>
      <c r="O561" s="72" t="s">
        <v>51</v>
      </c>
      <c r="P561" s="72"/>
      <c r="Q561" s="72"/>
      <c r="R561" s="72">
        <v>0</v>
      </c>
      <c r="S561" s="63"/>
      <c r="T561" s="72" t="s">
        <v>51</v>
      </c>
      <c r="U561" s="105" t="str">
        <f>IF($J$1="June","",Y560)</f>
        <v/>
      </c>
      <c r="V561" s="74"/>
      <c r="W561" s="105" t="str">
        <f t="shared" si="115"/>
        <v/>
      </c>
      <c r="X561" s="74"/>
      <c r="Y561" s="105" t="str">
        <f t="shared" si="116"/>
        <v/>
      </c>
      <c r="Z561" s="76"/>
    </row>
    <row r="562" spans="1:27" s="29" customFormat="1" ht="21.4" customHeight="1" x14ac:dyDescent="0.2">
      <c r="A562" s="30"/>
      <c r="B562" s="48" t="s">
        <v>6</v>
      </c>
      <c r="C562" s="39">
        <f>IF($J$1="January",Q555,IF($J$1="February",Q556,IF($J$1="March",Q557,IF($J$1="April",Q558,IF($J$1="May",Q559,IF($J$1="June",Q560,IF($J$1="July",Q561,IF($J$1="August",Q562,IF($J$1="August",Q562,IF($J$1="September",Q563,IF($J$1="October",Q564,IF($J$1="November",Q565,IF($J$1="December",Q566)))))))))))))</f>
        <v>0</v>
      </c>
      <c r="F562" s="48" t="s">
        <v>22</v>
      </c>
      <c r="G562" s="43">
        <f>IF($J$1="January",X555,IF($J$1="February",X556,IF($J$1="March",X557,IF($J$1="April",X558,IF($J$1="May",X559,IF($J$1="June",X560,IF($J$1="July",X561,IF($J$1="August",X562,IF($J$1="August",X562,IF($J$1="September",X563,IF($J$1="October",X564,IF($J$1="November",X565,IF($J$1="December",X566)))))))))))))</f>
        <v>5000</v>
      </c>
      <c r="H562" s="47"/>
      <c r="I562" s="405" t="s">
        <v>71</v>
      </c>
      <c r="J562" s="406"/>
      <c r="K562" s="43">
        <f>G562</f>
        <v>5000</v>
      </c>
      <c r="L562" s="55"/>
      <c r="N562" s="71"/>
      <c r="O562" s="72" t="s">
        <v>52</v>
      </c>
      <c r="P562" s="72"/>
      <c r="Q562" s="72"/>
      <c r="R562" s="72">
        <v>0</v>
      </c>
      <c r="S562" s="63"/>
      <c r="T562" s="72" t="s">
        <v>52</v>
      </c>
      <c r="U562" s="105" t="str">
        <f>IF($J$1="July","",Y561)</f>
        <v/>
      </c>
      <c r="V562" s="74"/>
      <c r="W562" s="105" t="str">
        <f t="shared" si="115"/>
        <v/>
      </c>
      <c r="X562" s="74"/>
      <c r="Y562" s="105" t="str">
        <f t="shared" si="116"/>
        <v/>
      </c>
      <c r="Z562" s="76"/>
    </row>
    <row r="563" spans="1:27" s="29" customFormat="1" ht="21.4" customHeight="1" x14ac:dyDescent="0.2">
      <c r="A563" s="30"/>
      <c r="B563" s="56" t="s">
        <v>69</v>
      </c>
      <c r="C563" s="39">
        <f>IF($J$1="January",R555,IF($J$1="February",R556,IF($J$1="March",R557,IF($J$1="April",R558,IF($J$1="May",R559,IF($J$1="June",R560,IF($J$1="July",R561,IF($J$1="August",R562,IF($J$1="August",R562,IF($J$1="September",R563,IF($J$1="October",R564,IF($J$1="November",R565,IF($J$1="December",R566)))))))))))))</f>
        <v>0</v>
      </c>
      <c r="F563" s="48" t="s">
        <v>68</v>
      </c>
      <c r="G563" s="43">
        <f>IF($J$1="January",Y555,IF($J$1="February",Y556,IF($J$1="March",Y557,IF($J$1="April",Y558,IF($J$1="May",Y559,IF($J$1="June",Y560,IF($J$1="July",Y561,IF($J$1="August",Y562,IF($J$1="August",Y562,IF($J$1="September",Y563,IF($J$1="October",Y564,IF($J$1="November",Y565,IF($J$1="December",Y566)))))))))))))</f>
        <v>45000</v>
      </c>
      <c r="I563" s="394" t="s">
        <v>64</v>
      </c>
      <c r="J563" s="396"/>
      <c r="K563" s="57">
        <f>K561-K562</f>
        <v>25250</v>
      </c>
      <c r="L563" s="58"/>
      <c r="N563" s="71"/>
      <c r="O563" s="72" t="s">
        <v>57</v>
      </c>
      <c r="P563" s="72"/>
      <c r="Q563" s="72"/>
      <c r="R563" s="72">
        <f>R562-Q563</f>
        <v>0</v>
      </c>
      <c r="S563" s="63"/>
      <c r="T563" s="72" t="s">
        <v>57</v>
      </c>
      <c r="U563" s="105" t="str">
        <f>IF($J$1="August","",Y562)</f>
        <v/>
      </c>
      <c r="V563" s="74"/>
      <c r="W563" s="105" t="str">
        <f t="shared" si="115"/>
        <v/>
      </c>
      <c r="X563" s="74"/>
      <c r="Y563" s="105" t="str">
        <f t="shared" si="116"/>
        <v/>
      </c>
      <c r="Z563" s="76"/>
    </row>
    <row r="564" spans="1:27" s="29" customFormat="1" ht="21.4" customHeight="1" x14ac:dyDescent="0.2">
      <c r="A564" s="30"/>
      <c r="J564" s="47"/>
      <c r="K564" s="107"/>
      <c r="L564" s="46"/>
      <c r="N564" s="71"/>
      <c r="O564" s="72" t="s">
        <v>53</v>
      </c>
      <c r="P564" s="72"/>
      <c r="Q564" s="72"/>
      <c r="R564" s="72">
        <v>0</v>
      </c>
      <c r="S564" s="63"/>
      <c r="T564" s="72" t="s">
        <v>53</v>
      </c>
      <c r="U564" s="105" t="str">
        <f>IF($J$1="September","",Y563)</f>
        <v/>
      </c>
      <c r="V564" s="74"/>
      <c r="W564" s="105" t="str">
        <f t="shared" si="115"/>
        <v/>
      </c>
      <c r="X564" s="74"/>
      <c r="Y564" s="105" t="str">
        <f t="shared" si="116"/>
        <v/>
      </c>
      <c r="Z564" s="76"/>
    </row>
    <row r="565" spans="1:27" s="29" customFormat="1" ht="21.4" customHeight="1" x14ac:dyDescent="0.2">
      <c r="A565" s="30"/>
      <c r="B565" s="407" t="s">
        <v>87</v>
      </c>
      <c r="C565" s="407"/>
      <c r="D565" s="407"/>
      <c r="E565" s="407"/>
      <c r="F565" s="407"/>
      <c r="G565" s="407"/>
      <c r="H565" s="407"/>
      <c r="I565" s="407"/>
      <c r="J565" s="407"/>
      <c r="K565" s="407"/>
      <c r="L565" s="46"/>
      <c r="N565" s="71"/>
      <c r="O565" s="72" t="s">
        <v>58</v>
      </c>
      <c r="P565" s="72"/>
      <c r="Q565" s="72"/>
      <c r="R565" s="72">
        <v>0</v>
      </c>
      <c r="S565" s="63"/>
      <c r="T565" s="72" t="s">
        <v>58</v>
      </c>
      <c r="U565" s="105" t="str">
        <f>IF($J$1="October","",Y564)</f>
        <v/>
      </c>
      <c r="V565" s="74"/>
      <c r="W565" s="105" t="str">
        <f t="shared" si="115"/>
        <v/>
      </c>
      <c r="X565" s="74"/>
      <c r="Y565" s="105" t="str">
        <f t="shared" si="116"/>
        <v/>
      </c>
      <c r="Z565" s="76"/>
    </row>
    <row r="566" spans="1:27" s="29" customFormat="1" ht="21.4" customHeight="1" x14ac:dyDescent="0.2">
      <c r="A566" s="30"/>
      <c r="B566" s="407"/>
      <c r="C566" s="407"/>
      <c r="D566" s="407"/>
      <c r="E566" s="407"/>
      <c r="F566" s="407"/>
      <c r="G566" s="407"/>
      <c r="H566" s="407"/>
      <c r="I566" s="407"/>
      <c r="J566" s="407"/>
      <c r="K566" s="407"/>
      <c r="L566" s="46"/>
      <c r="N566" s="71"/>
      <c r="O566" s="72" t="s">
        <v>59</v>
      </c>
      <c r="P566" s="72"/>
      <c r="Q566" s="72"/>
      <c r="R566" s="72">
        <v>0</v>
      </c>
      <c r="S566" s="63"/>
      <c r="T566" s="72" t="s">
        <v>59</v>
      </c>
      <c r="U566" s="105" t="str">
        <f>IF($J$1="November","",Y565)</f>
        <v/>
      </c>
      <c r="V566" s="74"/>
      <c r="W566" s="105" t="str">
        <f t="shared" si="115"/>
        <v/>
      </c>
      <c r="X566" s="74"/>
      <c r="Y566" s="105" t="str">
        <f t="shared" si="116"/>
        <v/>
      </c>
      <c r="Z566" s="76"/>
    </row>
    <row r="567" spans="1:27" s="29" customFormat="1" ht="21.4" customHeight="1" thickBot="1" x14ac:dyDescent="0.25">
      <c r="A567" s="59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1"/>
      <c r="N567" s="77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9"/>
    </row>
    <row r="568" spans="1:27" s="29" customFormat="1" ht="21.4" customHeight="1" thickBot="1" x14ac:dyDescent="0.25">
      <c r="A568" s="30"/>
      <c r="L568" s="46"/>
      <c r="N568" s="71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85"/>
    </row>
    <row r="569" spans="1:27" s="29" customFormat="1" ht="21.4" customHeight="1" x14ac:dyDescent="0.2">
      <c r="A569" s="411" t="s">
        <v>41</v>
      </c>
      <c r="B569" s="412"/>
      <c r="C569" s="412"/>
      <c r="D569" s="412"/>
      <c r="E569" s="412"/>
      <c r="F569" s="412"/>
      <c r="G569" s="412"/>
      <c r="H569" s="412"/>
      <c r="I569" s="412"/>
      <c r="J569" s="412"/>
      <c r="K569" s="412"/>
      <c r="L569" s="413"/>
      <c r="M569" s="28"/>
      <c r="N569" s="64"/>
      <c r="O569" s="408" t="s">
        <v>43</v>
      </c>
      <c r="P569" s="409"/>
      <c r="Q569" s="409"/>
      <c r="R569" s="410"/>
      <c r="S569" s="65"/>
      <c r="T569" s="408" t="s">
        <v>44</v>
      </c>
      <c r="U569" s="409"/>
      <c r="V569" s="409"/>
      <c r="W569" s="409"/>
      <c r="X569" s="409"/>
      <c r="Y569" s="410"/>
      <c r="Z569" s="66"/>
      <c r="AA569" s="28"/>
    </row>
    <row r="570" spans="1:27" s="29" customFormat="1" ht="21.4" customHeight="1" x14ac:dyDescent="0.2">
      <c r="A570" s="30"/>
      <c r="C570" s="398" t="s">
        <v>85</v>
      </c>
      <c r="D570" s="398"/>
      <c r="E570" s="398"/>
      <c r="F570" s="398"/>
      <c r="G570" s="31" t="str">
        <f>$J$1</f>
        <v>April</v>
      </c>
      <c r="H570" s="397">
        <f>$K$1</f>
        <v>2023</v>
      </c>
      <c r="I570" s="397"/>
      <c r="K570" s="32"/>
      <c r="L570" s="33"/>
      <c r="M570" s="32"/>
      <c r="N570" s="67"/>
      <c r="O570" s="68" t="s">
        <v>54</v>
      </c>
      <c r="P570" s="68" t="s">
        <v>7</v>
      </c>
      <c r="Q570" s="68" t="s">
        <v>6</v>
      </c>
      <c r="R570" s="68" t="s">
        <v>55</v>
      </c>
      <c r="S570" s="69"/>
      <c r="T570" s="68" t="s">
        <v>54</v>
      </c>
      <c r="U570" s="68" t="s">
        <v>56</v>
      </c>
      <c r="V570" s="68" t="s">
        <v>21</v>
      </c>
      <c r="W570" s="68" t="s">
        <v>20</v>
      </c>
      <c r="X570" s="68" t="s">
        <v>22</v>
      </c>
      <c r="Y570" s="68" t="s">
        <v>60</v>
      </c>
      <c r="Z570" s="70"/>
      <c r="AA570" s="32"/>
    </row>
    <row r="571" spans="1:27" s="29" customFormat="1" ht="21.4" customHeight="1" x14ac:dyDescent="0.2">
      <c r="A571" s="30"/>
      <c r="D571" s="35"/>
      <c r="E571" s="35"/>
      <c r="F571" s="35"/>
      <c r="G571" s="35"/>
      <c r="H571" s="35"/>
      <c r="J571" s="36" t="s">
        <v>1</v>
      </c>
      <c r="K571" s="37">
        <f>30000</f>
        <v>30000</v>
      </c>
      <c r="L571" s="38"/>
      <c r="N571" s="71"/>
      <c r="O571" s="72" t="s">
        <v>46</v>
      </c>
      <c r="P571" s="72">
        <v>31</v>
      </c>
      <c r="Q571" s="72">
        <v>0</v>
      </c>
      <c r="R571" s="72">
        <v>0</v>
      </c>
      <c r="S571" s="73"/>
      <c r="T571" s="72" t="s">
        <v>46</v>
      </c>
      <c r="U571" s="74">
        <v>26000</v>
      </c>
      <c r="V571" s="74"/>
      <c r="W571" s="74">
        <f>V571+U571</f>
        <v>26000</v>
      </c>
      <c r="X571" s="74">
        <v>5000</v>
      </c>
      <c r="Y571" s="74">
        <f>W571-X571</f>
        <v>21000</v>
      </c>
      <c r="Z571" s="70"/>
    </row>
    <row r="572" spans="1:27" s="29" customFormat="1" ht="21.4" customHeight="1" x14ac:dyDescent="0.2">
      <c r="A572" s="30"/>
      <c r="B572" s="29" t="s">
        <v>0</v>
      </c>
      <c r="C572" s="40" t="s">
        <v>195</v>
      </c>
      <c r="H572" s="41"/>
      <c r="I572" s="35"/>
      <c r="L572" s="42"/>
      <c r="M572" s="28"/>
      <c r="N572" s="75"/>
      <c r="O572" s="72" t="s">
        <v>72</v>
      </c>
      <c r="P572" s="72">
        <v>26</v>
      </c>
      <c r="Q572" s="72">
        <v>2</v>
      </c>
      <c r="R572" s="72">
        <v>0</v>
      </c>
      <c r="S572" s="63"/>
      <c r="T572" s="72" t="s">
        <v>72</v>
      </c>
      <c r="U572" s="105">
        <f>IF($J$1="January","",Y571)</f>
        <v>21000</v>
      </c>
      <c r="V572" s="74"/>
      <c r="W572" s="105">
        <f>IF(U572="","",U572+V572)</f>
        <v>21000</v>
      </c>
      <c r="X572" s="74">
        <v>5000</v>
      </c>
      <c r="Y572" s="105">
        <f>IF(W572="","",W572-X572)</f>
        <v>16000</v>
      </c>
      <c r="Z572" s="76"/>
      <c r="AA572" s="28"/>
    </row>
    <row r="573" spans="1:27" s="29" customFormat="1" ht="21.4" customHeight="1" x14ac:dyDescent="0.2">
      <c r="A573" s="30"/>
      <c r="B573" s="44" t="s">
        <v>42</v>
      </c>
      <c r="C573" s="45"/>
      <c r="F573" s="414" t="s">
        <v>44</v>
      </c>
      <c r="G573" s="414"/>
      <c r="I573" s="414" t="s">
        <v>45</v>
      </c>
      <c r="J573" s="414"/>
      <c r="K573" s="414"/>
      <c r="L573" s="46"/>
      <c r="N573" s="71"/>
      <c r="O573" s="72" t="s">
        <v>47</v>
      </c>
      <c r="P573" s="72">
        <v>28</v>
      </c>
      <c r="Q573" s="72">
        <v>3</v>
      </c>
      <c r="R573" s="72">
        <v>0</v>
      </c>
      <c r="S573" s="63"/>
      <c r="T573" s="72" t="s">
        <v>47</v>
      </c>
      <c r="U573" s="105">
        <f>IF($J$1="February","",Y572)</f>
        <v>16000</v>
      </c>
      <c r="V573" s="74">
        <v>40000</v>
      </c>
      <c r="W573" s="105">
        <f t="shared" ref="W573:W582" si="117">IF(U573="","",U573+V573)</f>
        <v>56000</v>
      </c>
      <c r="X573" s="74">
        <v>5000</v>
      </c>
      <c r="Y573" s="105">
        <f t="shared" ref="Y573:Y582" si="118">IF(W573="","",W573-X573)</f>
        <v>51000</v>
      </c>
      <c r="Z573" s="76"/>
    </row>
    <row r="574" spans="1:27" s="29" customFormat="1" ht="21.4" customHeight="1" x14ac:dyDescent="0.2">
      <c r="A574" s="30"/>
      <c r="H574" s="47"/>
      <c r="L574" s="34"/>
      <c r="N574" s="71"/>
      <c r="O574" s="72" t="s">
        <v>48</v>
      </c>
      <c r="P574" s="72">
        <v>29</v>
      </c>
      <c r="Q574" s="72">
        <v>1</v>
      </c>
      <c r="R574" s="72">
        <f t="shared" ref="R574:R582" si="119">IF(Q574="","",R573-Q574)</f>
        <v>-1</v>
      </c>
      <c r="S574" s="63"/>
      <c r="T574" s="72" t="s">
        <v>48</v>
      </c>
      <c r="U574" s="105">
        <f>IF($J$1="March","",Y573)</f>
        <v>51000</v>
      </c>
      <c r="V574" s="74"/>
      <c r="W574" s="105">
        <f t="shared" si="117"/>
        <v>51000</v>
      </c>
      <c r="X574" s="74">
        <v>5000</v>
      </c>
      <c r="Y574" s="105">
        <f t="shared" si="118"/>
        <v>46000</v>
      </c>
      <c r="Z574" s="76"/>
    </row>
    <row r="575" spans="1:27" s="29" customFormat="1" ht="21.4" customHeight="1" x14ac:dyDescent="0.2">
      <c r="A575" s="30"/>
      <c r="B575" s="392" t="s">
        <v>43</v>
      </c>
      <c r="C575" s="393"/>
      <c r="F575" s="48" t="s">
        <v>65</v>
      </c>
      <c r="G575" s="43">
        <f>IF($J$1="January",U571,IF($J$1="February",U572,IF($J$1="March",U573,IF($J$1="April",U574,IF($J$1="May",U575,IF($J$1="June",U576,IF($J$1="July",U577,IF($J$1="August",U578,IF($J$1="August",U578,IF($J$1="September",U579,IF($J$1="October",U580,IF($J$1="November",U581,IF($J$1="December",U582)))))))))))))</f>
        <v>51000</v>
      </c>
      <c r="H575" s="47"/>
      <c r="I575" s="49">
        <f>IF(C579&gt;0,$K$2,C577)</f>
        <v>29</v>
      </c>
      <c r="J575" s="50" t="s">
        <v>62</v>
      </c>
      <c r="K575" s="51">
        <f>K571/$K$2*I575</f>
        <v>29000</v>
      </c>
      <c r="L575" s="52"/>
      <c r="N575" s="71"/>
      <c r="O575" s="72" t="s">
        <v>49</v>
      </c>
      <c r="P575" s="72"/>
      <c r="Q575" s="72"/>
      <c r="R575" s="72">
        <v>0</v>
      </c>
      <c r="S575" s="63"/>
      <c r="T575" s="72" t="s">
        <v>49</v>
      </c>
      <c r="U575" s="105" t="str">
        <f>IF($J$1="April","",Y574)</f>
        <v/>
      </c>
      <c r="V575" s="74"/>
      <c r="W575" s="105" t="str">
        <f t="shared" si="117"/>
        <v/>
      </c>
      <c r="X575" s="74">
        <v>10000</v>
      </c>
      <c r="Y575" s="105" t="str">
        <f t="shared" si="118"/>
        <v/>
      </c>
      <c r="Z575" s="76"/>
    </row>
    <row r="576" spans="1:27" s="29" customFormat="1" ht="21.4" customHeight="1" x14ac:dyDescent="0.2">
      <c r="A576" s="30"/>
      <c r="B576" s="39"/>
      <c r="C576" s="39"/>
      <c r="F576" s="48" t="s">
        <v>21</v>
      </c>
      <c r="G576" s="43">
        <f>IF($J$1="January",V571,IF($J$1="February",V572,IF($J$1="March",V573,IF($J$1="April",V574,IF($J$1="May",V575,IF($J$1="June",V576,IF($J$1="July",V577,IF($J$1="August",V578,IF($J$1="August",V578,IF($J$1="September",V579,IF($J$1="October",V580,IF($J$1="November",V581,IF($J$1="December",V582)))))))))))))</f>
        <v>0</v>
      </c>
      <c r="H576" s="47"/>
      <c r="I576" s="84">
        <v>46</v>
      </c>
      <c r="J576" s="50" t="s">
        <v>63</v>
      </c>
      <c r="K576" s="53">
        <f>K571/$K$2/8*I576</f>
        <v>5750</v>
      </c>
      <c r="L576" s="54"/>
      <c r="N576" s="71"/>
      <c r="O576" s="72" t="s">
        <v>50</v>
      </c>
      <c r="P576" s="72"/>
      <c r="Q576" s="72"/>
      <c r="R576" s="72" t="str">
        <f t="shared" si="119"/>
        <v/>
      </c>
      <c r="S576" s="63"/>
      <c r="T576" s="72" t="s">
        <v>50</v>
      </c>
      <c r="U576" s="105" t="str">
        <f>IF($J$1="May","",Y575)</f>
        <v/>
      </c>
      <c r="V576" s="74"/>
      <c r="W576" s="105" t="str">
        <f t="shared" si="117"/>
        <v/>
      </c>
      <c r="X576" s="74"/>
      <c r="Y576" s="105" t="str">
        <f t="shared" si="118"/>
        <v/>
      </c>
      <c r="Z576" s="76"/>
    </row>
    <row r="577" spans="1:27" s="29" customFormat="1" ht="21.4" customHeight="1" x14ac:dyDescent="0.2">
      <c r="A577" s="30"/>
      <c r="B577" s="48" t="s">
        <v>7</v>
      </c>
      <c r="C577" s="39">
        <f>IF($J$1="January",P571,IF($J$1="February",P572,IF($J$1="March",P573,IF($J$1="April",P574,IF($J$1="May",P575,IF($J$1="June",P576,IF($J$1="July",P577,IF($J$1="August",P578,IF($J$1="August",P578,IF($J$1="September",P579,IF($J$1="October",P580,IF($J$1="November",P581,IF($J$1="December",P582)))))))))))))</f>
        <v>29</v>
      </c>
      <c r="F577" s="48" t="s">
        <v>66</v>
      </c>
      <c r="G577" s="43">
        <f>IF($J$1="January",W571,IF($J$1="February",W572,IF($J$1="March",W573,IF($J$1="April",W574,IF($J$1="May",W575,IF($J$1="June",W576,IF($J$1="July",W577,IF($J$1="August",W578,IF($J$1="August",W578,IF($J$1="September",W579,IF($J$1="October",W580,IF($J$1="November",W581,IF($J$1="December",W582)))))))))))))</f>
        <v>51000</v>
      </c>
      <c r="H577" s="47"/>
      <c r="I577" s="405" t="s">
        <v>70</v>
      </c>
      <c r="J577" s="406"/>
      <c r="K577" s="53">
        <f>K575+K576</f>
        <v>34750</v>
      </c>
      <c r="L577" s="54"/>
      <c r="N577" s="71"/>
      <c r="O577" s="72" t="s">
        <v>51</v>
      </c>
      <c r="P577" s="72"/>
      <c r="Q577" s="72"/>
      <c r="R577" s="72" t="str">
        <f t="shared" si="119"/>
        <v/>
      </c>
      <c r="S577" s="63"/>
      <c r="T577" s="72" t="s">
        <v>51</v>
      </c>
      <c r="U577" s="105" t="str">
        <f>IF($J$1="June","",Y576)</f>
        <v/>
      </c>
      <c r="V577" s="74"/>
      <c r="W577" s="105" t="str">
        <f t="shared" si="117"/>
        <v/>
      </c>
      <c r="X577" s="74"/>
      <c r="Y577" s="105" t="str">
        <f t="shared" si="118"/>
        <v/>
      </c>
      <c r="Z577" s="76"/>
    </row>
    <row r="578" spans="1:27" s="29" customFormat="1" ht="21.4" customHeight="1" x14ac:dyDescent="0.2">
      <c r="A578" s="30"/>
      <c r="B578" s="48" t="s">
        <v>6</v>
      </c>
      <c r="C578" s="39">
        <f>IF($J$1="January",Q571,IF($J$1="February",Q572,IF($J$1="March",Q573,IF($J$1="April",Q574,IF($J$1="May",Q575,IF($J$1="June",Q576,IF($J$1="July",Q577,IF($J$1="August",Q578,IF($J$1="August",Q578,IF($J$1="September",Q579,IF($J$1="October",Q580,IF($J$1="November",Q581,IF($J$1="December",Q582)))))))))))))</f>
        <v>1</v>
      </c>
      <c r="F578" s="48" t="s">
        <v>22</v>
      </c>
      <c r="G578" s="43">
        <f>IF($J$1="January",X571,IF($J$1="February",X572,IF($J$1="March",X573,IF($J$1="April",X574,IF($J$1="May",X575,IF($J$1="June",X576,IF($J$1="July",X577,IF($J$1="August",X578,IF($J$1="August",X578,IF($J$1="September",X579,IF($J$1="October",X580,IF($J$1="November",X581,IF($J$1="December",X582)))))))))))))</f>
        <v>5000</v>
      </c>
      <c r="H578" s="47"/>
      <c r="I578" s="405" t="s">
        <v>71</v>
      </c>
      <c r="J578" s="406"/>
      <c r="K578" s="43">
        <f>G578</f>
        <v>5000</v>
      </c>
      <c r="L578" s="55"/>
      <c r="N578" s="71"/>
      <c r="O578" s="72" t="s">
        <v>52</v>
      </c>
      <c r="P578" s="72"/>
      <c r="Q578" s="72"/>
      <c r="R578" s="72">
        <v>0</v>
      </c>
      <c r="S578" s="63"/>
      <c r="T578" s="72" t="s">
        <v>52</v>
      </c>
      <c r="U578" s="105" t="str">
        <f>IF($J$1="July","",Y577)</f>
        <v/>
      </c>
      <c r="V578" s="74"/>
      <c r="W578" s="105" t="str">
        <f t="shared" si="117"/>
        <v/>
      </c>
      <c r="X578" s="74"/>
      <c r="Y578" s="105" t="str">
        <f t="shared" si="118"/>
        <v/>
      </c>
      <c r="Z578" s="76"/>
    </row>
    <row r="579" spans="1:27" s="29" customFormat="1" ht="21.4" customHeight="1" x14ac:dyDescent="0.2">
      <c r="A579" s="30"/>
      <c r="B579" s="56" t="s">
        <v>69</v>
      </c>
      <c r="C579" s="39">
        <f>IF($J$1="January",R571,IF($J$1="February",R572,IF($J$1="March",R573,IF($J$1="April",R574,IF($J$1="May",R575,IF($J$1="June",R576,IF($J$1="July",R577,IF($J$1="August",R578,IF($J$1="August",R578,IF($J$1="September",R579,IF($J$1="October",R580,IF($J$1="November",R581,IF($J$1="December",R582)))))))))))))</f>
        <v>-1</v>
      </c>
      <c r="F579" s="48" t="s">
        <v>68</v>
      </c>
      <c r="G579" s="43">
        <f>IF($J$1="January",Y571,IF($J$1="February",Y572,IF($J$1="March",Y573,IF($J$1="April",Y574,IF($J$1="May",Y575,IF($J$1="June",Y576,IF($J$1="July",Y577,IF($J$1="August",Y578,IF($J$1="August",Y578,IF($J$1="September",Y579,IF($J$1="October",Y580,IF($J$1="November",Y581,IF($J$1="December",Y582)))))))))))))</f>
        <v>46000</v>
      </c>
      <c r="I579" s="394" t="s">
        <v>64</v>
      </c>
      <c r="J579" s="396"/>
      <c r="K579" s="57">
        <f>K577-K578</f>
        <v>29750</v>
      </c>
      <c r="L579" s="58"/>
      <c r="N579" s="71"/>
      <c r="O579" s="72" t="s">
        <v>57</v>
      </c>
      <c r="P579" s="72"/>
      <c r="Q579" s="72"/>
      <c r="R579" s="72" t="str">
        <f t="shared" si="119"/>
        <v/>
      </c>
      <c r="S579" s="63"/>
      <c r="T579" s="72" t="s">
        <v>57</v>
      </c>
      <c r="U579" s="105" t="str">
        <f>IF($J$1="August","",Y578)</f>
        <v/>
      </c>
      <c r="V579" s="74"/>
      <c r="W579" s="105" t="str">
        <f t="shared" si="117"/>
        <v/>
      </c>
      <c r="X579" s="74"/>
      <c r="Y579" s="105" t="str">
        <f t="shared" si="118"/>
        <v/>
      </c>
      <c r="Z579" s="76"/>
    </row>
    <row r="580" spans="1:27" s="29" customFormat="1" ht="21.4" customHeight="1" x14ac:dyDescent="0.2">
      <c r="A580" s="30"/>
      <c r="L580" s="46"/>
      <c r="N580" s="71"/>
      <c r="O580" s="72" t="s">
        <v>53</v>
      </c>
      <c r="P580" s="72"/>
      <c r="Q580" s="72"/>
      <c r="R580" s="72" t="str">
        <f t="shared" si="119"/>
        <v/>
      </c>
      <c r="S580" s="63"/>
      <c r="T580" s="72" t="s">
        <v>53</v>
      </c>
      <c r="U580" s="105" t="str">
        <f>IF($J$1="September","",Y579)</f>
        <v/>
      </c>
      <c r="V580" s="74"/>
      <c r="W580" s="105" t="str">
        <f t="shared" si="117"/>
        <v/>
      </c>
      <c r="X580" s="74"/>
      <c r="Y580" s="105" t="str">
        <f t="shared" si="118"/>
        <v/>
      </c>
      <c r="Z580" s="76"/>
    </row>
    <row r="581" spans="1:27" s="29" customFormat="1" ht="21.4" customHeight="1" x14ac:dyDescent="0.2">
      <c r="A581" s="30"/>
      <c r="B581" s="407" t="s">
        <v>87</v>
      </c>
      <c r="C581" s="407"/>
      <c r="D581" s="407"/>
      <c r="E581" s="407"/>
      <c r="F581" s="407"/>
      <c r="G581" s="407"/>
      <c r="H581" s="407"/>
      <c r="I581" s="407"/>
      <c r="J581" s="407"/>
      <c r="K581" s="407"/>
      <c r="L581" s="46"/>
      <c r="N581" s="71"/>
      <c r="O581" s="72" t="s">
        <v>58</v>
      </c>
      <c r="P581" s="72"/>
      <c r="Q581" s="72"/>
      <c r="R581" s="72">
        <v>0</v>
      </c>
      <c r="S581" s="63"/>
      <c r="T581" s="72" t="s">
        <v>58</v>
      </c>
      <c r="U581" s="105" t="str">
        <f>IF($J$1="October","",Y580)</f>
        <v/>
      </c>
      <c r="V581" s="74"/>
      <c r="W581" s="105" t="str">
        <f t="shared" si="117"/>
        <v/>
      </c>
      <c r="X581" s="74"/>
      <c r="Y581" s="105" t="str">
        <f t="shared" si="118"/>
        <v/>
      </c>
      <c r="Z581" s="76"/>
    </row>
    <row r="582" spans="1:27" s="29" customFormat="1" ht="21.4" customHeight="1" x14ac:dyDescent="0.2">
      <c r="A582" s="30"/>
      <c r="B582" s="407"/>
      <c r="C582" s="407"/>
      <c r="D582" s="407"/>
      <c r="E582" s="407"/>
      <c r="F582" s="407"/>
      <c r="G582" s="407"/>
      <c r="H582" s="407"/>
      <c r="I582" s="407"/>
      <c r="J582" s="407"/>
      <c r="K582" s="407"/>
      <c r="L582" s="46"/>
      <c r="N582" s="71"/>
      <c r="O582" s="72" t="s">
        <v>59</v>
      </c>
      <c r="P582" s="72"/>
      <c r="Q582" s="72"/>
      <c r="R582" s="72" t="str">
        <f t="shared" si="119"/>
        <v/>
      </c>
      <c r="S582" s="63"/>
      <c r="T582" s="72" t="s">
        <v>59</v>
      </c>
      <c r="U582" s="105" t="str">
        <f>IF($J$1="November","",Y581)</f>
        <v/>
      </c>
      <c r="V582" s="74"/>
      <c r="W582" s="105" t="str">
        <f t="shared" si="117"/>
        <v/>
      </c>
      <c r="X582" s="74"/>
      <c r="Y582" s="105" t="str">
        <f t="shared" si="118"/>
        <v/>
      </c>
      <c r="Z582" s="76"/>
    </row>
    <row r="583" spans="1:27" s="29" customFormat="1" ht="21.4" customHeight="1" thickBot="1" x14ac:dyDescent="0.25">
      <c r="A583" s="59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1"/>
      <c r="N583" s="77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9"/>
    </row>
    <row r="584" spans="1:27" s="29" customFormat="1" ht="21.4" customHeight="1" thickBot="1" x14ac:dyDescent="0.25"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 spans="1:27" s="29" customFormat="1" ht="21" customHeight="1" x14ac:dyDescent="0.2">
      <c r="A585" s="446" t="s">
        <v>41</v>
      </c>
      <c r="B585" s="447"/>
      <c r="C585" s="447"/>
      <c r="D585" s="447"/>
      <c r="E585" s="447"/>
      <c r="F585" s="447"/>
      <c r="G585" s="447"/>
      <c r="H585" s="447"/>
      <c r="I585" s="447"/>
      <c r="J585" s="447"/>
      <c r="K585" s="447"/>
      <c r="L585" s="448"/>
      <c r="M585" s="28"/>
      <c r="N585" s="64"/>
      <c r="O585" s="408" t="s">
        <v>43</v>
      </c>
      <c r="P585" s="409"/>
      <c r="Q585" s="409"/>
      <c r="R585" s="410"/>
      <c r="S585" s="65"/>
      <c r="T585" s="408" t="s">
        <v>44</v>
      </c>
      <c r="U585" s="409"/>
      <c r="V585" s="409"/>
      <c r="W585" s="409"/>
      <c r="X585" s="409"/>
      <c r="Y585" s="410"/>
      <c r="Z585" s="66"/>
      <c r="AA585" s="28"/>
    </row>
    <row r="586" spans="1:27" s="29" customFormat="1" ht="21" customHeight="1" x14ac:dyDescent="0.2">
      <c r="A586" s="292"/>
      <c r="C586" s="398" t="s">
        <v>85</v>
      </c>
      <c r="D586" s="398"/>
      <c r="E586" s="398"/>
      <c r="F586" s="398"/>
      <c r="G586" s="31" t="str">
        <f>$J$1</f>
        <v>April</v>
      </c>
      <c r="H586" s="397">
        <f>$K$1</f>
        <v>2023</v>
      </c>
      <c r="I586" s="397"/>
      <c r="K586" s="32"/>
      <c r="L586" s="293"/>
      <c r="M586" s="32"/>
      <c r="N586" s="67"/>
      <c r="O586" s="68" t="s">
        <v>54</v>
      </c>
      <c r="P586" s="68" t="s">
        <v>7</v>
      </c>
      <c r="Q586" s="68" t="s">
        <v>6</v>
      </c>
      <c r="R586" s="68" t="s">
        <v>55</v>
      </c>
      <c r="S586" s="69"/>
      <c r="T586" s="68" t="s">
        <v>54</v>
      </c>
      <c r="U586" s="68" t="s">
        <v>56</v>
      </c>
      <c r="V586" s="68" t="s">
        <v>21</v>
      </c>
      <c r="W586" s="68" t="s">
        <v>20</v>
      </c>
      <c r="X586" s="68" t="s">
        <v>22</v>
      </c>
      <c r="Y586" s="68" t="s">
        <v>60</v>
      </c>
      <c r="Z586" s="70"/>
      <c r="AA586" s="32"/>
    </row>
    <row r="587" spans="1:27" s="29" customFormat="1" ht="21" customHeight="1" x14ac:dyDescent="0.2">
      <c r="A587" s="292"/>
      <c r="D587" s="35"/>
      <c r="E587" s="35"/>
      <c r="F587" s="35"/>
      <c r="G587" s="35"/>
      <c r="H587" s="35"/>
      <c r="J587" s="36" t="s">
        <v>1</v>
      </c>
      <c r="K587" s="37">
        <v>28000</v>
      </c>
      <c r="L587" s="294"/>
      <c r="N587" s="71"/>
      <c r="O587" s="72" t="s">
        <v>46</v>
      </c>
      <c r="P587" s="72">
        <v>31</v>
      </c>
      <c r="Q587" s="72">
        <v>0</v>
      </c>
      <c r="R587" s="72"/>
      <c r="S587" s="73"/>
      <c r="T587" s="72" t="s">
        <v>46</v>
      </c>
      <c r="U587" s="74"/>
      <c r="V587" s="74"/>
      <c r="W587" s="74">
        <f>V587+U587</f>
        <v>0</v>
      </c>
      <c r="X587" s="74"/>
      <c r="Y587" s="74">
        <f>W587-X587</f>
        <v>0</v>
      </c>
      <c r="Z587" s="70"/>
    </row>
    <row r="588" spans="1:27" s="29" customFormat="1" ht="21" customHeight="1" x14ac:dyDescent="0.2">
      <c r="A588" s="292"/>
      <c r="B588" s="29" t="s">
        <v>0</v>
      </c>
      <c r="C588" s="40" t="s">
        <v>108</v>
      </c>
      <c r="H588" s="41"/>
      <c r="I588" s="35"/>
      <c r="L588" s="295"/>
      <c r="M588" s="28"/>
      <c r="N588" s="75"/>
      <c r="O588" s="72" t="s">
        <v>72</v>
      </c>
      <c r="P588" s="72">
        <v>28</v>
      </c>
      <c r="Q588" s="72">
        <v>0</v>
      </c>
      <c r="R588" s="72">
        <f t="shared" ref="R588:R598" si="120">IF(Q588="","",R587-Q588)</f>
        <v>0</v>
      </c>
      <c r="S588" s="63"/>
      <c r="T588" s="72" t="s">
        <v>72</v>
      </c>
      <c r="U588" s="105"/>
      <c r="V588" s="74"/>
      <c r="W588" s="105" t="str">
        <f>IF(U588="","",U588+V588)</f>
        <v/>
      </c>
      <c r="X588" s="74"/>
      <c r="Y588" s="105" t="str">
        <f>IF(W588="","",W588-X588)</f>
        <v/>
      </c>
      <c r="Z588" s="76"/>
      <c r="AA588" s="28"/>
    </row>
    <row r="589" spans="1:27" s="29" customFormat="1" ht="21" customHeight="1" x14ac:dyDescent="0.2">
      <c r="A589" s="292"/>
      <c r="B589" s="44" t="s">
        <v>42</v>
      </c>
      <c r="C589" s="45"/>
      <c r="F589" s="414" t="s">
        <v>44</v>
      </c>
      <c r="G589" s="414"/>
      <c r="I589" s="414" t="s">
        <v>45</v>
      </c>
      <c r="J589" s="414"/>
      <c r="K589" s="414"/>
      <c r="L589" s="296"/>
      <c r="N589" s="71"/>
      <c r="O589" s="72" t="s">
        <v>47</v>
      </c>
      <c r="P589" s="72">
        <v>31</v>
      </c>
      <c r="Q589" s="72">
        <v>0</v>
      </c>
      <c r="R589" s="72">
        <f t="shared" si="120"/>
        <v>0</v>
      </c>
      <c r="S589" s="63"/>
      <c r="T589" s="72" t="s">
        <v>47</v>
      </c>
      <c r="U589" s="105"/>
      <c r="V589" s="74"/>
      <c r="W589" s="105" t="str">
        <f t="shared" ref="W589:W598" si="121">IF(U589="","",U589+V589)</f>
        <v/>
      </c>
      <c r="X589" s="74"/>
      <c r="Y589" s="105" t="str">
        <f t="shared" ref="Y589:Y598" si="122">IF(W589="","",W589-X589)</f>
        <v/>
      </c>
      <c r="Z589" s="76"/>
    </row>
    <row r="590" spans="1:27" s="29" customFormat="1" ht="21" customHeight="1" x14ac:dyDescent="0.2">
      <c r="A590" s="292"/>
      <c r="H590" s="47"/>
      <c r="L590" s="297"/>
      <c r="N590" s="71"/>
      <c r="O590" s="72" t="s">
        <v>48</v>
      </c>
      <c r="P590" s="72">
        <v>30</v>
      </c>
      <c r="Q590" s="72"/>
      <c r="R590" s="72"/>
      <c r="S590" s="63"/>
      <c r="T590" s="72" t="s">
        <v>48</v>
      </c>
      <c r="U590" s="105"/>
      <c r="V590" s="74"/>
      <c r="W590" s="105" t="str">
        <f t="shared" si="121"/>
        <v/>
      </c>
      <c r="X590" s="74"/>
      <c r="Y590" s="105" t="str">
        <f t="shared" si="122"/>
        <v/>
      </c>
      <c r="Z590" s="76"/>
    </row>
    <row r="591" spans="1:27" s="29" customFormat="1" ht="21" customHeight="1" x14ac:dyDescent="0.2">
      <c r="A591" s="292"/>
      <c r="B591" s="392" t="s">
        <v>43</v>
      </c>
      <c r="C591" s="393"/>
      <c r="F591" s="48" t="s">
        <v>65</v>
      </c>
      <c r="G591" s="43">
        <f>IF($J$1="January",U587,IF($J$1="February",U588,IF($J$1="March",U589,IF($J$1="April",U590,IF($J$1="May",U591,IF($J$1="June",U592,IF($J$1="July",U593,IF($J$1="August",U594,IF($J$1="August",U594,IF($J$1="September",U595,IF($J$1="October",U596,IF($J$1="November",U597,IF($J$1="December",U598)))))))))))))</f>
        <v>0</v>
      </c>
      <c r="H591" s="47"/>
      <c r="I591" s="49">
        <f>IF(C595&gt;0,$K$2,C593)</f>
        <v>30</v>
      </c>
      <c r="J591" s="50" t="s">
        <v>62</v>
      </c>
      <c r="K591" s="51">
        <f>K587/$K$2*I591</f>
        <v>28000</v>
      </c>
      <c r="L591" s="298"/>
      <c r="N591" s="71"/>
      <c r="O591" s="72" t="s">
        <v>49</v>
      </c>
      <c r="P591" s="72"/>
      <c r="Q591" s="72"/>
      <c r="R591" s="72" t="str">
        <f t="shared" si="120"/>
        <v/>
      </c>
      <c r="S591" s="63"/>
      <c r="T591" s="72" t="s">
        <v>49</v>
      </c>
      <c r="U591" s="105"/>
      <c r="V591" s="74"/>
      <c r="W591" s="105" t="str">
        <f t="shared" si="121"/>
        <v/>
      </c>
      <c r="X591" s="74"/>
      <c r="Y591" s="105" t="str">
        <f t="shared" si="122"/>
        <v/>
      </c>
      <c r="Z591" s="76"/>
    </row>
    <row r="592" spans="1:27" s="29" customFormat="1" ht="21" customHeight="1" x14ac:dyDescent="0.2">
      <c r="A592" s="292"/>
      <c r="B592" s="39"/>
      <c r="C592" s="39"/>
      <c r="F592" s="48" t="s">
        <v>21</v>
      </c>
      <c r="G592" s="43">
        <f>IF($J$1="January",V587,IF($J$1="February",V588,IF($J$1="March",V589,IF($J$1="April",V590,IF($J$1="May",V591,IF($J$1="June",V592,IF($J$1="July",V593,IF($J$1="August",V594,IF($J$1="August",V594,IF($J$1="September",V595,IF($J$1="October",V596,IF($J$1="November",V597,IF($J$1="December",V598)))))))))))))</f>
        <v>0</v>
      </c>
      <c r="H592" s="47"/>
      <c r="I592" s="49"/>
      <c r="J592" s="50" t="s">
        <v>63</v>
      </c>
      <c r="K592" s="93">
        <f>K587/$K$2/8*I592</f>
        <v>0</v>
      </c>
      <c r="L592" s="299"/>
      <c r="N592" s="71"/>
      <c r="O592" s="72" t="s">
        <v>50</v>
      </c>
      <c r="P592" s="72"/>
      <c r="Q592" s="72"/>
      <c r="R592" s="72" t="str">
        <f t="shared" si="120"/>
        <v/>
      </c>
      <c r="S592" s="63"/>
      <c r="T592" s="72" t="s">
        <v>50</v>
      </c>
      <c r="U592" s="105"/>
      <c r="V592" s="74"/>
      <c r="W592" s="105" t="str">
        <f t="shared" si="121"/>
        <v/>
      </c>
      <c r="X592" s="74"/>
      <c r="Y592" s="105" t="str">
        <f t="shared" si="122"/>
        <v/>
      </c>
      <c r="Z592" s="76"/>
    </row>
    <row r="593" spans="1:27" s="29" customFormat="1" ht="21" customHeight="1" x14ac:dyDescent="0.2">
      <c r="A593" s="292"/>
      <c r="B593" s="48" t="s">
        <v>7</v>
      </c>
      <c r="C593" s="39">
        <f>IF($J$1="January",P587,IF($J$1="February",P588,IF($J$1="March",P589,IF($J$1="April",P590,IF($J$1="May",P591,IF($J$1="June",P592,IF($J$1="July",P593,IF($J$1="August",P594,IF($J$1="August",P594,IF($J$1="September",P595,IF($J$1="October",P596,IF($J$1="November",P597,IF($J$1="December",P598)))))))))))))</f>
        <v>30</v>
      </c>
      <c r="F593" s="48" t="s">
        <v>66</v>
      </c>
      <c r="G593" s="43" t="str">
        <f>IF($J$1="January",W587,IF($J$1="February",W588,IF($J$1="March",W589,IF($J$1="April",W590,IF($J$1="May",W591,IF($J$1="June",W592,IF($J$1="July",W593,IF($J$1="August",W594,IF($J$1="August",W594,IF($J$1="September",W595,IF($J$1="October",W596,IF($J$1="November",W597,IF($J$1="December",W598)))))))))))))</f>
        <v/>
      </c>
      <c r="H593" s="47"/>
      <c r="I593" s="405" t="s">
        <v>70</v>
      </c>
      <c r="J593" s="406"/>
      <c r="K593" s="53">
        <f>K591+K592</f>
        <v>28000</v>
      </c>
      <c r="L593" s="299"/>
      <c r="N593" s="71"/>
      <c r="O593" s="72" t="s">
        <v>51</v>
      </c>
      <c r="P593" s="72"/>
      <c r="Q593" s="72"/>
      <c r="R593" s="72" t="str">
        <f t="shared" si="120"/>
        <v/>
      </c>
      <c r="S593" s="63"/>
      <c r="T593" s="72" t="s">
        <v>51</v>
      </c>
      <c r="U593" s="105"/>
      <c r="V593" s="74"/>
      <c r="W593" s="105">
        <f>V593+U593</f>
        <v>0</v>
      </c>
      <c r="X593" s="74"/>
      <c r="Y593" s="105">
        <f t="shared" si="122"/>
        <v>0</v>
      </c>
      <c r="Z593" s="76"/>
    </row>
    <row r="594" spans="1:27" s="29" customFormat="1" ht="21" customHeight="1" x14ac:dyDescent="0.2">
      <c r="A594" s="292"/>
      <c r="B594" s="48" t="s">
        <v>6</v>
      </c>
      <c r="C594" s="39">
        <f>IF($J$1="January",Q587,IF($J$1="February",Q588,IF($J$1="March",Q589,IF($J$1="April",Q590,IF($J$1="May",Q591,IF($J$1="June",Q592,IF($J$1="July",Q593,IF($J$1="August",Q594,IF($J$1="August",Q594,IF($J$1="September",Q595,IF($J$1="October",Q596,IF($J$1="November",Q597,IF($J$1="December",Q598)))))))))))))</f>
        <v>0</v>
      </c>
      <c r="F594" s="48" t="s">
        <v>22</v>
      </c>
      <c r="G594" s="43">
        <f>IF($J$1="January",X587,IF($J$1="February",X588,IF($J$1="March",X589,IF($J$1="April",X590,IF($J$1="May",X591,IF($J$1="June",X592,IF($J$1="July",X593,IF($J$1="August",X594,IF($J$1="August",X594,IF($J$1="September",X595,IF($J$1="October",X596,IF($J$1="November",X597,IF($J$1="December",X598)))))))))))))</f>
        <v>0</v>
      </c>
      <c r="H594" s="47"/>
      <c r="I594" s="405" t="s">
        <v>71</v>
      </c>
      <c r="J594" s="406"/>
      <c r="K594" s="43">
        <f>G594</f>
        <v>0</v>
      </c>
      <c r="L594" s="300"/>
      <c r="N594" s="71"/>
      <c r="O594" s="72" t="s">
        <v>52</v>
      </c>
      <c r="P594" s="72"/>
      <c r="Q594" s="72"/>
      <c r="R594" s="72" t="str">
        <f t="shared" si="120"/>
        <v/>
      </c>
      <c r="S594" s="63"/>
      <c r="T594" s="72" t="s">
        <v>52</v>
      </c>
      <c r="U594" s="105">
        <f>Y593</f>
        <v>0</v>
      </c>
      <c r="V594" s="74"/>
      <c r="W594" s="105">
        <f t="shared" si="121"/>
        <v>0</v>
      </c>
      <c r="X594" s="74"/>
      <c r="Y594" s="105">
        <f t="shared" si="122"/>
        <v>0</v>
      </c>
      <c r="Z594" s="76"/>
    </row>
    <row r="595" spans="1:27" s="29" customFormat="1" ht="21" customHeight="1" x14ac:dyDescent="0.2">
      <c r="A595" s="292"/>
      <c r="B595" s="56" t="s">
        <v>69</v>
      </c>
      <c r="C595" s="39">
        <f>IF($J$1="January",R587,IF($J$1="February",R588,IF($J$1="March",R589,IF($J$1="April",R590,IF($J$1="May",R591,IF($J$1="June",R592,IF($J$1="July",R593,IF($J$1="August",R594,IF($J$1="August",R594,IF($J$1="September",R595,IF($J$1="October",R596,IF($J$1="November",R597,IF($J$1="December",R598)))))))))))))</f>
        <v>0</v>
      </c>
      <c r="F595" s="48" t="s">
        <v>68</v>
      </c>
      <c r="G595" s="43" t="str">
        <f>IF($J$1="January",Y587,IF($J$1="February",Y588,IF($J$1="March",Y589,IF($J$1="April",Y590,IF($J$1="May",Y591,IF($J$1="June",Y592,IF($J$1="July",Y593,IF($J$1="August",Y594,IF($J$1="August",Y594,IF($J$1="September",Y595,IF($J$1="October",Y596,IF($J$1="November",Y597,IF($J$1="December",Y598)))))))))))))</f>
        <v/>
      </c>
      <c r="I595" s="394" t="s">
        <v>64</v>
      </c>
      <c r="J595" s="396"/>
      <c r="K595" s="57">
        <f>K593-K594</f>
        <v>28000</v>
      </c>
      <c r="L595" s="301"/>
      <c r="N595" s="71"/>
      <c r="O595" s="72" t="s">
        <v>57</v>
      </c>
      <c r="P595" s="72"/>
      <c r="Q595" s="72"/>
      <c r="R595" s="72" t="str">
        <f t="shared" si="120"/>
        <v/>
      </c>
      <c r="S595" s="63"/>
      <c r="T595" s="72" t="s">
        <v>57</v>
      </c>
      <c r="U595" s="105">
        <f>Y594</f>
        <v>0</v>
      </c>
      <c r="V595" s="74"/>
      <c r="W595" s="105">
        <f t="shared" si="121"/>
        <v>0</v>
      </c>
      <c r="X595" s="74"/>
      <c r="Y595" s="105">
        <f t="shared" si="122"/>
        <v>0</v>
      </c>
      <c r="Z595" s="76"/>
    </row>
    <row r="596" spans="1:27" s="29" customFormat="1" ht="21" customHeight="1" x14ac:dyDescent="0.2">
      <c r="A596" s="292"/>
      <c r="K596" s="107"/>
      <c r="L596" s="296"/>
      <c r="N596" s="71"/>
      <c r="O596" s="72" t="s">
        <v>53</v>
      </c>
      <c r="P596" s="72"/>
      <c r="Q596" s="72"/>
      <c r="R596" s="72" t="str">
        <f t="shared" si="120"/>
        <v/>
      </c>
      <c r="S596" s="63"/>
      <c r="T596" s="72" t="s">
        <v>53</v>
      </c>
      <c r="U596" s="105">
        <f>Y595</f>
        <v>0</v>
      </c>
      <c r="V596" s="74"/>
      <c r="W596" s="105">
        <f t="shared" si="121"/>
        <v>0</v>
      </c>
      <c r="X596" s="74"/>
      <c r="Y596" s="105">
        <f t="shared" si="122"/>
        <v>0</v>
      </c>
      <c r="Z596" s="76"/>
    </row>
    <row r="597" spans="1:27" s="29" customFormat="1" ht="21" customHeight="1" x14ac:dyDescent="0.2">
      <c r="A597" s="292"/>
      <c r="B597" s="407" t="s">
        <v>87</v>
      </c>
      <c r="C597" s="407"/>
      <c r="D597" s="407"/>
      <c r="E597" s="407"/>
      <c r="F597" s="407"/>
      <c r="G597" s="407"/>
      <c r="H597" s="407"/>
      <c r="I597" s="407"/>
      <c r="J597" s="407"/>
      <c r="K597" s="407"/>
      <c r="L597" s="296"/>
      <c r="N597" s="71"/>
      <c r="O597" s="72" t="s">
        <v>58</v>
      </c>
      <c r="P597" s="72"/>
      <c r="Q597" s="72"/>
      <c r="R597" s="72" t="str">
        <f t="shared" si="120"/>
        <v/>
      </c>
      <c r="S597" s="63"/>
      <c r="T597" s="72" t="s">
        <v>58</v>
      </c>
      <c r="U597" s="105">
        <f>Y596</f>
        <v>0</v>
      </c>
      <c r="V597" s="74"/>
      <c r="W597" s="105">
        <f t="shared" si="121"/>
        <v>0</v>
      </c>
      <c r="X597" s="74"/>
      <c r="Y597" s="105">
        <f t="shared" si="122"/>
        <v>0</v>
      </c>
      <c r="Z597" s="76"/>
    </row>
    <row r="598" spans="1:27" s="29" customFormat="1" ht="21" customHeight="1" x14ac:dyDescent="0.2">
      <c r="A598" s="292"/>
      <c r="B598" s="407"/>
      <c r="C598" s="407"/>
      <c r="D598" s="407"/>
      <c r="E598" s="407"/>
      <c r="F598" s="407"/>
      <c r="G598" s="407"/>
      <c r="H598" s="407"/>
      <c r="I598" s="407"/>
      <c r="J598" s="407"/>
      <c r="K598" s="407"/>
      <c r="L598" s="296"/>
      <c r="N598" s="71"/>
      <c r="O598" s="72" t="s">
        <v>59</v>
      </c>
      <c r="P598" s="72"/>
      <c r="Q598" s="72"/>
      <c r="R598" s="72" t="str">
        <f t="shared" si="120"/>
        <v/>
      </c>
      <c r="S598" s="63"/>
      <c r="T598" s="72" t="s">
        <v>59</v>
      </c>
      <c r="U598" s="105">
        <f>Y597</f>
        <v>0</v>
      </c>
      <c r="V598" s="74"/>
      <c r="W598" s="105">
        <f t="shared" si="121"/>
        <v>0</v>
      </c>
      <c r="X598" s="74"/>
      <c r="Y598" s="105">
        <f t="shared" si="122"/>
        <v>0</v>
      </c>
      <c r="Z598" s="76"/>
    </row>
    <row r="599" spans="1:27" s="29" customFormat="1" ht="21" customHeight="1" thickBot="1" x14ac:dyDescent="0.25">
      <c r="A599" s="302"/>
      <c r="B599" s="96"/>
      <c r="C599" s="96"/>
      <c r="D599" s="96"/>
      <c r="E599" s="96"/>
      <c r="F599" s="96"/>
      <c r="G599" s="96"/>
      <c r="H599" s="96"/>
      <c r="I599" s="96"/>
      <c r="J599" s="96"/>
      <c r="K599" s="96"/>
      <c r="L599" s="303"/>
      <c r="N599" s="77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9"/>
    </row>
    <row r="600" spans="1:27" s="29" customFormat="1" ht="21" customHeight="1" x14ac:dyDescent="0.2">
      <c r="A600" s="411" t="s">
        <v>41</v>
      </c>
      <c r="B600" s="412"/>
      <c r="C600" s="412"/>
      <c r="D600" s="412"/>
      <c r="E600" s="412"/>
      <c r="F600" s="412"/>
      <c r="G600" s="412"/>
      <c r="H600" s="412"/>
      <c r="I600" s="412"/>
      <c r="J600" s="412"/>
      <c r="K600" s="412"/>
      <c r="L600" s="413"/>
      <c r="M600" s="28"/>
      <c r="N600" s="64"/>
      <c r="O600" s="408" t="s">
        <v>43</v>
      </c>
      <c r="P600" s="409"/>
      <c r="Q600" s="409"/>
      <c r="R600" s="410"/>
      <c r="S600" s="65"/>
      <c r="T600" s="408" t="s">
        <v>44</v>
      </c>
      <c r="U600" s="409"/>
      <c r="V600" s="409"/>
      <c r="W600" s="409"/>
      <c r="X600" s="409"/>
      <c r="Y600" s="410"/>
      <c r="Z600" s="66"/>
      <c r="AA600" s="28"/>
    </row>
    <row r="601" spans="1:27" s="29" customFormat="1" ht="21" customHeight="1" x14ac:dyDescent="0.2">
      <c r="A601" s="30"/>
      <c r="C601" s="398" t="s">
        <v>85</v>
      </c>
      <c r="D601" s="398"/>
      <c r="E601" s="398"/>
      <c r="F601" s="398"/>
      <c r="G601" s="31" t="str">
        <f>$J$1</f>
        <v>April</v>
      </c>
      <c r="H601" s="397">
        <f>$K$1</f>
        <v>2023</v>
      </c>
      <c r="I601" s="397"/>
      <c r="K601" s="32"/>
      <c r="L601" s="33"/>
      <c r="M601" s="32"/>
      <c r="N601" s="67"/>
      <c r="O601" s="68" t="s">
        <v>54</v>
      </c>
      <c r="P601" s="68" t="s">
        <v>7</v>
      </c>
      <c r="Q601" s="68" t="s">
        <v>6</v>
      </c>
      <c r="R601" s="68" t="s">
        <v>55</v>
      </c>
      <c r="S601" s="69"/>
      <c r="T601" s="68" t="s">
        <v>54</v>
      </c>
      <c r="U601" s="68" t="s">
        <v>56</v>
      </c>
      <c r="V601" s="68" t="s">
        <v>21</v>
      </c>
      <c r="W601" s="68" t="s">
        <v>20</v>
      </c>
      <c r="X601" s="68" t="s">
        <v>22</v>
      </c>
      <c r="Y601" s="68" t="s">
        <v>60</v>
      </c>
      <c r="Z601" s="70"/>
      <c r="AA601" s="32"/>
    </row>
    <row r="602" spans="1:27" s="29" customFormat="1" ht="21" customHeight="1" x14ac:dyDescent="0.2">
      <c r="A602" s="30"/>
      <c r="D602" s="35"/>
      <c r="E602" s="35"/>
      <c r="F602" s="35"/>
      <c r="G602" s="35"/>
      <c r="H602" s="35"/>
      <c r="J602" s="36" t="s">
        <v>1</v>
      </c>
      <c r="K602" s="37">
        <f>30000+5000</f>
        <v>35000</v>
      </c>
      <c r="L602" s="38"/>
      <c r="N602" s="71"/>
      <c r="O602" s="72" t="s">
        <v>46</v>
      </c>
      <c r="P602" s="72">
        <v>31</v>
      </c>
      <c r="Q602" s="72">
        <v>0</v>
      </c>
      <c r="R602" s="72">
        <f>15-Q602+5</f>
        <v>20</v>
      </c>
      <c r="S602" s="73"/>
      <c r="T602" s="72" t="s">
        <v>46</v>
      </c>
      <c r="U602" s="74">
        <v>20000</v>
      </c>
      <c r="V602" s="74">
        <v>10000</v>
      </c>
      <c r="W602" s="74">
        <f>V602+U602</f>
        <v>30000</v>
      </c>
      <c r="X602" s="74">
        <v>5000</v>
      </c>
      <c r="Y602" s="74">
        <f>W602-X602</f>
        <v>25000</v>
      </c>
      <c r="Z602" s="70"/>
    </row>
    <row r="603" spans="1:27" s="29" customFormat="1" ht="21" customHeight="1" x14ac:dyDescent="0.2">
      <c r="A603" s="30"/>
      <c r="B603" s="29" t="s">
        <v>0</v>
      </c>
      <c r="C603" s="40" t="s">
        <v>80</v>
      </c>
      <c r="H603" s="41"/>
      <c r="I603" s="35"/>
      <c r="L603" s="42"/>
      <c r="M603" s="28"/>
      <c r="N603" s="75"/>
      <c r="O603" s="72" t="s">
        <v>72</v>
      </c>
      <c r="P603" s="72">
        <v>28</v>
      </c>
      <c r="Q603" s="72">
        <v>0</v>
      </c>
      <c r="R603" s="72">
        <f t="shared" ref="R603:R613" si="123">IF(Q603="","",R602-Q603)</f>
        <v>20</v>
      </c>
      <c r="S603" s="63"/>
      <c r="T603" s="72" t="s">
        <v>72</v>
      </c>
      <c r="U603" s="105">
        <f>Y602</f>
        <v>25000</v>
      </c>
      <c r="V603" s="74">
        <v>5000</v>
      </c>
      <c r="W603" s="105">
        <f>IF(U603="","",U603+V603)</f>
        <v>30000</v>
      </c>
      <c r="X603" s="74">
        <v>5000</v>
      </c>
      <c r="Y603" s="105">
        <f>IF(W603="","",W603-X603)</f>
        <v>25000</v>
      </c>
      <c r="Z603" s="76"/>
      <c r="AA603" s="28"/>
    </row>
    <row r="604" spans="1:27" s="29" customFormat="1" ht="21" customHeight="1" x14ac:dyDescent="0.2">
      <c r="A604" s="30"/>
      <c r="B604" s="44" t="s">
        <v>42</v>
      </c>
      <c r="C604" s="45"/>
      <c r="F604" s="414" t="s">
        <v>44</v>
      </c>
      <c r="G604" s="414"/>
      <c r="I604" s="414" t="s">
        <v>45</v>
      </c>
      <c r="J604" s="414"/>
      <c r="K604" s="414"/>
      <c r="L604" s="46"/>
      <c r="N604" s="71"/>
      <c r="O604" s="72" t="s">
        <v>47</v>
      </c>
      <c r="P604" s="72">
        <v>31</v>
      </c>
      <c r="Q604" s="72">
        <v>0</v>
      </c>
      <c r="R604" s="72">
        <f t="shared" si="123"/>
        <v>20</v>
      </c>
      <c r="S604" s="63"/>
      <c r="T604" s="72" t="s">
        <v>47</v>
      </c>
      <c r="U604" s="105">
        <f>Y603</f>
        <v>25000</v>
      </c>
      <c r="V604" s="74"/>
      <c r="W604" s="105">
        <f t="shared" ref="W604:W613" si="124">IF(U604="","",U604+V604)</f>
        <v>25000</v>
      </c>
      <c r="X604" s="74"/>
      <c r="Y604" s="105">
        <f t="shared" ref="Y604:Y613" si="125">IF(W604="","",W604-X604)</f>
        <v>25000</v>
      </c>
      <c r="Z604" s="76"/>
    </row>
    <row r="605" spans="1:27" s="29" customFormat="1" ht="21" customHeight="1" x14ac:dyDescent="0.2">
      <c r="A605" s="30"/>
      <c r="H605" s="47"/>
      <c r="L605" s="34"/>
      <c r="N605" s="71"/>
      <c r="O605" s="72" t="s">
        <v>48</v>
      </c>
      <c r="P605" s="72">
        <v>30</v>
      </c>
      <c r="Q605" s="72">
        <v>0</v>
      </c>
      <c r="R605" s="72">
        <f t="shared" si="123"/>
        <v>20</v>
      </c>
      <c r="S605" s="63"/>
      <c r="T605" s="72" t="s">
        <v>48</v>
      </c>
      <c r="U605" s="105">
        <f>Y604</f>
        <v>25000</v>
      </c>
      <c r="V605" s="74"/>
      <c r="W605" s="105">
        <f t="shared" si="124"/>
        <v>25000</v>
      </c>
      <c r="X605" s="74">
        <v>5000</v>
      </c>
      <c r="Y605" s="105">
        <f t="shared" si="125"/>
        <v>20000</v>
      </c>
      <c r="Z605" s="76"/>
    </row>
    <row r="606" spans="1:27" s="29" customFormat="1" ht="21" customHeight="1" x14ac:dyDescent="0.2">
      <c r="A606" s="30"/>
      <c r="B606" s="392" t="s">
        <v>43</v>
      </c>
      <c r="C606" s="393"/>
      <c r="F606" s="48" t="s">
        <v>65</v>
      </c>
      <c r="G606" s="43">
        <f>IF($J$1="January",U602,IF($J$1="February",U603,IF($J$1="March",U604,IF($J$1="April",U605,IF($J$1="May",U606,IF($J$1="June",U607,IF($J$1="July",U608,IF($J$1="August",U609,IF($J$1="August",U609,IF($J$1="September",U610,IF($J$1="October",U611,IF($J$1="November",U612,IF($J$1="December",U613)))))))))))))</f>
        <v>25000</v>
      </c>
      <c r="H606" s="47"/>
      <c r="I606" s="49">
        <f>IF(C610&gt;0,$K$2,C608)</f>
        <v>30</v>
      </c>
      <c r="J606" s="50" t="s">
        <v>62</v>
      </c>
      <c r="K606" s="51">
        <f>K602/$K$2*I606</f>
        <v>35000</v>
      </c>
      <c r="L606" s="52"/>
      <c r="N606" s="71"/>
      <c r="O606" s="72" t="s">
        <v>49</v>
      </c>
      <c r="P606" s="72"/>
      <c r="Q606" s="72"/>
      <c r="R606" s="72" t="str">
        <f t="shared" si="123"/>
        <v/>
      </c>
      <c r="S606" s="63"/>
      <c r="T606" s="72" t="s">
        <v>49</v>
      </c>
      <c r="U606" s="105">
        <v>0</v>
      </c>
      <c r="V606" s="74"/>
      <c r="W606" s="105">
        <f t="shared" si="124"/>
        <v>0</v>
      </c>
      <c r="X606" s="74"/>
      <c r="Y606" s="105">
        <f t="shared" si="125"/>
        <v>0</v>
      </c>
      <c r="Z606" s="76"/>
    </row>
    <row r="607" spans="1:27" s="29" customFormat="1" ht="21" customHeight="1" x14ac:dyDescent="0.2">
      <c r="A607" s="30"/>
      <c r="B607" s="39"/>
      <c r="C607" s="39"/>
      <c r="F607" s="48" t="s">
        <v>21</v>
      </c>
      <c r="G607" s="43">
        <f>IF($J$1="January",V602,IF($J$1="February",V603,IF($J$1="March",V604,IF($J$1="April",V605,IF($J$1="May",V606,IF($J$1="June",V607,IF($J$1="July",V608,IF($J$1="August",V609,IF($J$1="August",V609,IF($J$1="September",V610,IF($J$1="October",V611,IF($J$1="November",V612,IF($J$1="December",V613)))))))))))))</f>
        <v>0</v>
      </c>
      <c r="H607" s="47"/>
      <c r="I607" s="84">
        <v>63</v>
      </c>
      <c r="J607" s="50" t="s">
        <v>63</v>
      </c>
      <c r="K607" s="53">
        <f>K602/$K$2/8*I607</f>
        <v>9187.5</v>
      </c>
      <c r="L607" s="54"/>
      <c r="N607" s="71"/>
      <c r="O607" s="72" t="s">
        <v>50</v>
      </c>
      <c r="P607" s="72"/>
      <c r="Q607" s="72"/>
      <c r="R607" s="72" t="str">
        <f t="shared" si="123"/>
        <v/>
      </c>
      <c r="S607" s="63"/>
      <c r="T607" s="72" t="s">
        <v>50</v>
      </c>
      <c r="U607" s="105">
        <f t="shared" ref="U607:U608" si="126">Y606</f>
        <v>0</v>
      </c>
      <c r="V607" s="74"/>
      <c r="W607" s="105">
        <f t="shared" si="124"/>
        <v>0</v>
      </c>
      <c r="X607" s="74"/>
      <c r="Y607" s="105">
        <f t="shared" si="125"/>
        <v>0</v>
      </c>
      <c r="Z607" s="76"/>
    </row>
    <row r="608" spans="1:27" s="29" customFormat="1" ht="21" customHeight="1" x14ac:dyDescent="0.2">
      <c r="A608" s="30"/>
      <c r="B608" s="48" t="s">
        <v>7</v>
      </c>
      <c r="C608" s="39">
        <f>IF($J$1="January",P602,IF($J$1="February",P603,IF($J$1="March",P604,IF($J$1="April",P605,IF($J$1="May",P606,IF($J$1="June",P607,IF($J$1="July",P608,IF($J$1="August",P609,IF($J$1="August",P609,IF($J$1="September",P610,IF($J$1="October",P611,IF($J$1="November",P612,IF($J$1="December",P613)))))))))))))</f>
        <v>30</v>
      </c>
      <c r="F608" s="48" t="s">
        <v>66</v>
      </c>
      <c r="G608" s="43">
        <f>IF($J$1="January",W602,IF($J$1="February",W603,IF($J$1="March",W604,IF($J$1="April",W605,IF($J$1="May",W606,IF($J$1="June",W607,IF($J$1="July",W608,IF($J$1="August",W609,IF($J$1="August",W609,IF($J$1="September",W610,IF($J$1="October",W611,IF($J$1="November",W612,IF($J$1="December",W613)))))))))))))</f>
        <v>25000</v>
      </c>
      <c r="H608" s="47"/>
      <c r="I608" s="405" t="s">
        <v>70</v>
      </c>
      <c r="J608" s="406"/>
      <c r="K608" s="53">
        <f>K606+K607</f>
        <v>44187.5</v>
      </c>
      <c r="L608" s="54"/>
      <c r="N608" s="71"/>
      <c r="O608" s="72" t="s">
        <v>51</v>
      </c>
      <c r="P608" s="72"/>
      <c r="Q608" s="72"/>
      <c r="R608" s="72" t="str">
        <f t="shared" si="123"/>
        <v/>
      </c>
      <c r="S608" s="63"/>
      <c r="T608" s="72" t="s">
        <v>51</v>
      </c>
      <c r="U608" s="105">
        <f t="shared" si="126"/>
        <v>0</v>
      </c>
      <c r="V608" s="74"/>
      <c r="W608" s="105">
        <f t="shared" si="124"/>
        <v>0</v>
      </c>
      <c r="X608" s="74"/>
      <c r="Y608" s="105">
        <f t="shared" si="125"/>
        <v>0</v>
      </c>
      <c r="Z608" s="76"/>
    </row>
    <row r="609" spans="1:27" s="29" customFormat="1" ht="21" customHeight="1" x14ac:dyDescent="0.2">
      <c r="A609" s="30"/>
      <c r="B609" s="48" t="s">
        <v>6</v>
      </c>
      <c r="C609" s="39">
        <f>IF($J$1="January",Q602,IF($J$1="February",Q603,IF($J$1="March",Q604,IF($J$1="April",Q605,IF($J$1="May",Q606,IF($J$1="June",Q607,IF($J$1="July",Q608,IF($J$1="August",Q609,IF($J$1="August",Q609,IF($J$1="September",Q610,IF($J$1="October",Q611,IF($J$1="November",Q612,IF($J$1="December",Q613)))))))))))))</f>
        <v>0</v>
      </c>
      <c r="F609" s="48" t="s">
        <v>22</v>
      </c>
      <c r="G609" s="43">
        <f>IF($J$1="January",X602,IF($J$1="February",X603,IF($J$1="March",X604,IF($J$1="April",X605,IF($J$1="May",X606,IF($J$1="June",X607,IF($J$1="July",X608,IF($J$1="August",X609,IF($J$1="August",X609,IF($J$1="September",X610,IF($J$1="October",X611,IF($J$1="November",X612,IF($J$1="December",X613)))))))))))))</f>
        <v>5000</v>
      </c>
      <c r="H609" s="47"/>
      <c r="I609" s="405" t="s">
        <v>71</v>
      </c>
      <c r="J609" s="406"/>
      <c r="K609" s="43">
        <f>G609</f>
        <v>5000</v>
      </c>
      <c r="L609" s="55"/>
      <c r="N609" s="71"/>
      <c r="O609" s="72" t="s">
        <v>52</v>
      </c>
      <c r="P609" s="72"/>
      <c r="Q609" s="72"/>
      <c r="R609" s="72" t="str">
        <f t="shared" si="123"/>
        <v/>
      </c>
      <c r="S609" s="63"/>
      <c r="T609" s="72" t="s">
        <v>52</v>
      </c>
      <c r="U609" s="105">
        <f>Y608</f>
        <v>0</v>
      </c>
      <c r="V609" s="74"/>
      <c r="W609" s="105">
        <f t="shared" si="124"/>
        <v>0</v>
      </c>
      <c r="X609" s="74"/>
      <c r="Y609" s="105">
        <f t="shared" si="125"/>
        <v>0</v>
      </c>
      <c r="Z609" s="76"/>
    </row>
    <row r="610" spans="1:27" s="29" customFormat="1" ht="21" customHeight="1" x14ac:dyDescent="0.2">
      <c r="A610" s="30"/>
      <c r="B610" s="56" t="s">
        <v>69</v>
      </c>
      <c r="C610" s="39">
        <f>IF($J$1="January",R602,IF($J$1="February",R603,IF($J$1="March",R604,IF($J$1="April",R605,IF($J$1="May",R606,IF($J$1="June",R607,IF($J$1="July",R608,IF($J$1="August",R609,IF($J$1="August",R609,IF($J$1="September",R610,IF($J$1="October",R611,IF($J$1="November",R612,IF($J$1="December",R613)))))))))))))</f>
        <v>20</v>
      </c>
      <c r="F610" s="48" t="s">
        <v>68</v>
      </c>
      <c r="G610" s="43">
        <f>IF($J$1="January",Y602,IF($J$1="February",Y603,IF($J$1="March",Y604,IF($J$1="April",Y605,IF($J$1="May",Y606,IF($J$1="June",Y607,IF($J$1="July",Y608,IF($J$1="August",Y609,IF($J$1="August",Y609,IF($J$1="September",Y610,IF($J$1="October",Y611,IF($J$1="November",Y612,IF($J$1="December",Y613)))))))))))))</f>
        <v>20000</v>
      </c>
      <c r="I610" s="394" t="s">
        <v>64</v>
      </c>
      <c r="J610" s="396"/>
      <c r="K610" s="57">
        <f>K608-K609</f>
        <v>39187.5</v>
      </c>
      <c r="L610" s="58"/>
      <c r="N610" s="71"/>
      <c r="O610" s="72" t="s">
        <v>57</v>
      </c>
      <c r="P610" s="72"/>
      <c r="Q610" s="72"/>
      <c r="R610" s="72" t="str">
        <f t="shared" si="123"/>
        <v/>
      </c>
      <c r="S610" s="63"/>
      <c r="T610" s="72" t="s">
        <v>57</v>
      </c>
      <c r="U610" s="105">
        <f>Y609</f>
        <v>0</v>
      </c>
      <c r="V610" s="74"/>
      <c r="W610" s="105">
        <f t="shared" si="124"/>
        <v>0</v>
      </c>
      <c r="X610" s="74"/>
      <c r="Y610" s="105">
        <f t="shared" si="125"/>
        <v>0</v>
      </c>
      <c r="Z610" s="76"/>
    </row>
    <row r="611" spans="1:27" s="29" customFormat="1" ht="21" customHeight="1" x14ac:dyDescent="0.2">
      <c r="A611" s="30"/>
      <c r="K611" s="107"/>
      <c r="L611" s="46"/>
      <c r="N611" s="71"/>
      <c r="O611" s="72" t="s">
        <v>53</v>
      </c>
      <c r="P611" s="72"/>
      <c r="Q611" s="72"/>
      <c r="R611" s="72" t="str">
        <f t="shared" si="123"/>
        <v/>
      </c>
      <c r="S611" s="63"/>
      <c r="T611" s="72" t="s">
        <v>53</v>
      </c>
      <c r="U611" s="105">
        <f>Y610</f>
        <v>0</v>
      </c>
      <c r="V611" s="74"/>
      <c r="W611" s="105">
        <f t="shared" si="124"/>
        <v>0</v>
      </c>
      <c r="X611" s="74"/>
      <c r="Y611" s="105">
        <f t="shared" si="125"/>
        <v>0</v>
      </c>
      <c r="Z611" s="76"/>
    </row>
    <row r="612" spans="1:27" s="29" customFormat="1" ht="21" customHeight="1" x14ac:dyDescent="0.2">
      <c r="A612" s="30"/>
      <c r="B612" s="407" t="s">
        <v>87</v>
      </c>
      <c r="C612" s="407"/>
      <c r="D612" s="407"/>
      <c r="E612" s="407"/>
      <c r="F612" s="407"/>
      <c r="G612" s="407"/>
      <c r="H612" s="407"/>
      <c r="I612" s="407"/>
      <c r="J612" s="407"/>
      <c r="K612" s="407"/>
      <c r="L612" s="46"/>
      <c r="N612" s="71"/>
      <c r="O612" s="72" t="s">
        <v>58</v>
      </c>
      <c r="P612" s="72"/>
      <c r="Q612" s="72"/>
      <c r="R612" s="72" t="str">
        <f t="shared" si="123"/>
        <v/>
      </c>
      <c r="S612" s="63"/>
      <c r="T612" s="72" t="s">
        <v>58</v>
      </c>
      <c r="U612" s="105">
        <f>Y611</f>
        <v>0</v>
      </c>
      <c r="V612" s="74"/>
      <c r="W612" s="105">
        <f t="shared" si="124"/>
        <v>0</v>
      </c>
      <c r="X612" s="74"/>
      <c r="Y612" s="105">
        <f t="shared" si="125"/>
        <v>0</v>
      </c>
      <c r="Z612" s="76"/>
    </row>
    <row r="613" spans="1:27" s="29" customFormat="1" ht="21" customHeight="1" x14ac:dyDescent="0.2">
      <c r="A613" s="30"/>
      <c r="B613" s="407"/>
      <c r="C613" s="407"/>
      <c r="D613" s="407"/>
      <c r="E613" s="407"/>
      <c r="F613" s="407"/>
      <c r="G613" s="407"/>
      <c r="H613" s="407"/>
      <c r="I613" s="407"/>
      <c r="J613" s="407"/>
      <c r="K613" s="407"/>
      <c r="L613" s="46"/>
      <c r="N613" s="71"/>
      <c r="O613" s="72" t="s">
        <v>59</v>
      </c>
      <c r="P613" s="72"/>
      <c r="Q613" s="72"/>
      <c r="R613" s="72" t="str">
        <f t="shared" si="123"/>
        <v/>
      </c>
      <c r="S613" s="63"/>
      <c r="T613" s="72" t="s">
        <v>59</v>
      </c>
      <c r="U613" s="105">
        <f>Y612</f>
        <v>0</v>
      </c>
      <c r="V613" s="74"/>
      <c r="W613" s="105">
        <f t="shared" si="124"/>
        <v>0</v>
      </c>
      <c r="X613" s="74"/>
      <c r="Y613" s="105">
        <f t="shared" si="125"/>
        <v>0</v>
      </c>
      <c r="Z613" s="76"/>
    </row>
    <row r="614" spans="1:27" s="29" customFormat="1" ht="21" customHeight="1" thickBot="1" x14ac:dyDescent="0.25">
      <c r="A614" s="59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1"/>
      <c r="N614" s="77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9"/>
    </row>
    <row r="615" spans="1:27" s="29" customFormat="1" ht="21" customHeight="1" x14ac:dyDescent="0.2"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 spans="1:27" s="29" customFormat="1" ht="21" customHeight="1" thickBot="1" x14ac:dyDescent="0.25">
      <c r="N616" s="71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85"/>
    </row>
    <row r="617" spans="1:27" s="29" customFormat="1" ht="21" customHeight="1" x14ac:dyDescent="0.2">
      <c r="A617" s="415" t="s">
        <v>41</v>
      </c>
      <c r="B617" s="416"/>
      <c r="C617" s="416"/>
      <c r="D617" s="416"/>
      <c r="E617" s="416"/>
      <c r="F617" s="416"/>
      <c r="G617" s="416"/>
      <c r="H617" s="416"/>
      <c r="I617" s="416"/>
      <c r="J617" s="416"/>
      <c r="K617" s="416"/>
      <c r="L617" s="417"/>
      <c r="M617" s="28"/>
      <c r="N617" s="64"/>
      <c r="O617" s="408" t="s">
        <v>43</v>
      </c>
      <c r="P617" s="409"/>
      <c r="Q617" s="409"/>
      <c r="R617" s="410"/>
      <c r="S617" s="65"/>
      <c r="T617" s="408" t="s">
        <v>44</v>
      </c>
      <c r="U617" s="409"/>
      <c r="V617" s="409"/>
      <c r="W617" s="409"/>
      <c r="X617" s="409"/>
      <c r="Y617" s="410"/>
      <c r="Z617" s="66"/>
      <c r="AA617" s="28"/>
    </row>
    <row r="618" spans="1:27" s="29" customFormat="1" ht="21" customHeight="1" x14ac:dyDescent="0.2">
      <c r="A618" s="30"/>
      <c r="C618" s="398" t="s">
        <v>85</v>
      </c>
      <c r="D618" s="398"/>
      <c r="E618" s="398"/>
      <c r="F618" s="398"/>
      <c r="G618" s="31" t="str">
        <f>$J$1</f>
        <v>April</v>
      </c>
      <c r="H618" s="397">
        <f>$K$1</f>
        <v>2023</v>
      </c>
      <c r="I618" s="397"/>
      <c r="K618" s="32"/>
      <c r="L618" s="33"/>
      <c r="M618" s="32"/>
      <c r="N618" s="67"/>
      <c r="O618" s="68" t="s">
        <v>54</v>
      </c>
      <c r="P618" s="68" t="s">
        <v>7</v>
      </c>
      <c r="Q618" s="68" t="s">
        <v>6</v>
      </c>
      <c r="R618" s="68" t="s">
        <v>55</v>
      </c>
      <c r="S618" s="69"/>
      <c r="T618" s="68" t="s">
        <v>54</v>
      </c>
      <c r="U618" s="68" t="s">
        <v>56</v>
      </c>
      <c r="V618" s="68" t="s">
        <v>21</v>
      </c>
      <c r="W618" s="68" t="s">
        <v>20</v>
      </c>
      <c r="X618" s="68" t="s">
        <v>22</v>
      </c>
      <c r="Y618" s="68" t="s">
        <v>60</v>
      </c>
      <c r="Z618" s="70"/>
      <c r="AA618" s="32"/>
    </row>
    <row r="619" spans="1:27" s="29" customFormat="1" ht="21" customHeight="1" x14ac:dyDescent="0.2">
      <c r="A619" s="30"/>
      <c r="D619" s="35"/>
      <c r="E619" s="35"/>
      <c r="F619" s="35"/>
      <c r="G619" s="35"/>
      <c r="H619" s="35"/>
      <c r="J619" s="36" t="s">
        <v>1</v>
      </c>
      <c r="K619" s="37"/>
      <c r="L619" s="38"/>
      <c r="N619" s="71"/>
      <c r="O619" s="72" t="s">
        <v>46</v>
      </c>
      <c r="P619" s="72"/>
      <c r="Q619" s="72"/>
      <c r="R619" s="72"/>
      <c r="S619" s="73"/>
      <c r="T619" s="72" t="s">
        <v>46</v>
      </c>
      <c r="U619" s="74"/>
      <c r="V619" s="74"/>
      <c r="W619" s="74">
        <f>V619+U619</f>
        <v>0</v>
      </c>
      <c r="X619" s="74"/>
      <c r="Y619" s="74">
        <f>W619-X619</f>
        <v>0</v>
      </c>
      <c r="Z619" s="70"/>
    </row>
    <row r="620" spans="1:27" s="29" customFormat="1" ht="21" customHeight="1" x14ac:dyDescent="0.2">
      <c r="A620" s="30"/>
      <c r="B620" s="29" t="s">
        <v>0</v>
      </c>
      <c r="C620" s="40" t="s">
        <v>209</v>
      </c>
      <c r="H620" s="41"/>
      <c r="I620" s="35"/>
      <c r="L620" s="42"/>
      <c r="M620" s="28"/>
      <c r="N620" s="75"/>
      <c r="O620" s="72" t="s">
        <v>72</v>
      </c>
      <c r="P620" s="72"/>
      <c r="Q620" s="72"/>
      <c r="R620" s="72" t="str">
        <f t="shared" ref="R620:R627" si="127">IF(Q620="","",R619-Q620)</f>
        <v/>
      </c>
      <c r="S620" s="63"/>
      <c r="T620" s="72" t="s">
        <v>72</v>
      </c>
      <c r="U620" s="105">
        <f>Y619</f>
        <v>0</v>
      </c>
      <c r="V620" s="74"/>
      <c r="W620" s="105">
        <f>IF(U620="","",U620+V620)</f>
        <v>0</v>
      </c>
      <c r="X620" s="74"/>
      <c r="Y620" s="105">
        <f>IF(W620="","",W620-X620)</f>
        <v>0</v>
      </c>
      <c r="Z620" s="76"/>
      <c r="AA620" s="28"/>
    </row>
    <row r="621" spans="1:27" s="29" customFormat="1" ht="21" customHeight="1" x14ac:dyDescent="0.2">
      <c r="A621" s="30"/>
      <c r="B621" s="44" t="s">
        <v>42</v>
      </c>
      <c r="C621" s="45"/>
      <c r="F621" s="414" t="s">
        <v>44</v>
      </c>
      <c r="G621" s="414"/>
      <c r="I621" s="414" t="s">
        <v>45</v>
      </c>
      <c r="J621" s="414"/>
      <c r="K621" s="414"/>
      <c r="L621" s="46"/>
      <c r="N621" s="71"/>
      <c r="O621" s="72" t="s">
        <v>47</v>
      </c>
      <c r="P621" s="72"/>
      <c r="Q621" s="72"/>
      <c r="R621" s="72" t="str">
        <f t="shared" si="127"/>
        <v/>
      </c>
      <c r="S621" s="63"/>
      <c r="T621" s="72" t="s">
        <v>47</v>
      </c>
      <c r="U621" s="105">
        <f>Y620</f>
        <v>0</v>
      </c>
      <c r="V621" s="74">
        <v>2000</v>
      </c>
      <c r="W621" s="105">
        <f t="shared" ref="W621:W630" si="128">IF(U621="","",U621+V621)</f>
        <v>2000</v>
      </c>
      <c r="X621" s="74"/>
      <c r="Y621" s="105">
        <f t="shared" ref="Y621:Y630" si="129">IF(W621="","",W621-X621)</f>
        <v>2000</v>
      </c>
      <c r="Z621" s="76"/>
    </row>
    <row r="622" spans="1:27" s="29" customFormat="1" ht="21" customHeight="1" x14ac:dyDescent="0.2">
      <c r="A622" s="30"/>
      <c r="H622" s="47"/>
      <c r="L622" s="34"/>
      <c r="N622" s="71"/>
      <c r="O622" s="72" t="s">
        <v>48</v>
      </c>
      <c r="P622" s="72"/>
      <c r="Q622" s="72"/>
      <c r="R622" s="72" t="str">
        <f t="shared" si="127"/>
        <v/>
      </c>
      <c r="S622" s="63"/>
      <c r="T622" s="72" t="s">
        <v>48</v>
      </c>
      <c r="U622" s="105">
        <f>IF($J$1="March","",Y621)</f>
        <v>2000</v>
      </c>
      <c r="V622" s="74"/>
      <c r="W622" s="105">
        <f t="shared" si="128"/>
        <v>2000</v>
      </c>
      <c r="X622" s="74">
        <v>2000</v>
      </c>
      <c r="Y622" s="105">
        <f t="shared" si="129"/>
        <v>0</v>
      </c>
      <c r="Z622" s="76"/>
    </row>
    <row r="623" spans="1:27" s="29" customFormat="1" ht="21" customHeight="1" x14ac:dyDescent="0.2">
      <c r="A623" s="30"/>
      <c r="B623" s="392" t="s">
        <v>43</v>
      </c>
      <c r="C623" s="393"/>
      <c r="F623" s="48" t="s">
        <v>65</v>
      </c>
      <c r="G623" s="93">
        <f>IF($J$1="January",U619,IF($J$1="February",U620,IF($J$1="March",U621,IF($J$1="April",U622,IF($J$1="May",U623,IF($J$1="June",U624,IF($J$1="July",U625,IF($J$1="August",U626,IF($J$1="August",U626,IF($J$1="September",U627,IF($J$1="October",U628,IF($J$1="November",U629,IF($J$1="December",U630)))))))))))))</f>
        <v>2000</v>
      </c>
      <c r="H623" s="47"/>
      <c r="I623" s="49">
        <f>IF(C627&gt;0,$K$2,C625)</f>
        <v>30</v>
      </c>
      <c r="J623" s="50" t="s">
        <v>62</v>
      </c>
      <c r="K623" s="51">
        <f>K619/$K$2*I623</f>
        <v>0</v>
      </c>
      <c r="L623" s="52"/>
      <c r="N623" s="71"/>
      <c r="O623" s="72" t="s">
        <v>49</v>
      </c>
      <c r="P623" s="72"/>
      <c r="Q623" s="72"/>
      <c r="R623" s="72" t="str">
        <f t="shared" si="127"/>
        <v/>
      </c>
      <c r="S623" s="63"/>
      <c r="T623" s="72" t="s">
        <v>49</v>
      </c>
      <c r="U623" s="105" t="str">
        <f>IF($J$1="April","",Y622)</f>
        <v/>
      </c>
      <c r="V623" s="74"/>
      <c r="W623" s="105" t="str">
        <f t="shared" si="128"/>
        <v/>
      </c>
      <c r="X623" s="74"/>
      <c r="Y623" s="105" t="str">
        <f t="shared" si="129"/>
        <v/>
      </c>
      <c r="Z623" s="76"/>
    </row>
    <row r="624" spans="1:27" s="29" customFormat="1" ht="21" customHeight="1" x14ac:dyDescent="0.2">
      <c r="A624" s="30"/>
      <c r="B624" s="39"/>
      <c r="C624" s="39"/>
      <c r="F624" s="48" t="s">
        <v>21</v>
      </c>
      <c r="G624" s="93">
        <f>IF($J$1="January",V619,IF($J$1="February",V620,IF($J$1="March",V621,IF($J$1="April",V622,IF($J$1="May",V623,IF($J$1="June",V624,IF($J$1="July",V625,IF($J$1="August",V626,IF($J$1="August",V626,IF($J$1="September",V627,IF($J$1="October",V628,IF($J$1="November",V629,IF($J$1="December",V630)))))))))))))</f>
        <v>0</v>
      </c>
      <c r="H624" s="47"/>
      <c r="I624" s="84"/>
      <c r="J624" s="50" t="s">
        <v>63</v>
      </c>
      <c r="K624" s="53">
        <f>K619/$K$2/8*I624</f>
        <v>0</v>
      </c>
      <c r="L624" s="54"/>
      <c r="N624" s="71"/>
      <c r="O624" s="72" t="s">
        <v>50</v>
      </c>
      <c r="P624" s="72"/>
      <c r="Q624" s="72"/>
      <c r="R624" s="72" t="str">
        <f t="shared" si="127"/>
        <v/>
      </c>
      <c r="S624" s="63"/>
      <c r="T624" s="72" t="s">
        <v>50</v>
      </c>
      <c r="U624" s="105"/>
      <c r="V624" s="74"/>
      <c r="W624" s="105" t="str">
        <f t="shared" si="128"/>
        <v/>
      </c>
      <c r="X624" s="74"/>
      <c r="Y624" s="105" t="str">
        <f t="shared" si="129"/>
        <v/>
      </c>
      <c r="Z624" s="76"/>
    </row>
    <row r="625" spans="1:27" s="29" customFormat="1" ht="21" customHeight="1" x14ac:dyDescent="0.2">
      <c r="A625" s="30"/>
      <c r="B625" s="48" t="s">
        <v>7</v>
      </c>
      <c r="C625" s="39">
        <f>IF($J$1="January",P619,IF($J$1="February",P620,IF($J$1="March",P621,IF($J$1="April",P622,IF($J$1="May",P623,IF($J$1="June",P624,IF($J$1="July",P625,IF($J$1="August",P626,IF($J$1="August",P626,IF($J$1="September",P627,IF($J$1="October",P628,IF($J$1="November",P629,IF($J$1="December",P630)))))))))))))</f>
        <v>0</v>
      </c>
      <c r="F625" s="48" t="s">
        <v>66</v>
      </c>
      <c r="G625" s="93">
        <f>IF($J$1="January",W619,IF($J$1="February",W620,IF($J$1="March",W621,IF($J$1="April",W622,IF($J$1="May",W623,IF($J$1="June",W624,IF($J$1="July",W625,IF($J$1="August",W626,IF($J$1="August",W626,IF($J$1="September",W627,IF($J$1="October",W628,IF($J$1="November",W629,IF($J$1="December",W630)))))))))))))</f>
        <v>2000</v>
      </c>
      <c r="H625" s="47"/>
      <c r="I625" s="405" t="s">
        <v>70</v>
      </c>
      <c r="J625" s="406"/>
      <c r="K625" s="53">
        <f>K623+K624</f>
        <v>0</v>
      </c>
      <c r="L625" s="54"/>
      <c r="N625" s="71"/>
      <c r="O625" s="72" t="s">
        <v>51</v>
      </c>
      <c r="P625" s="72"/>
      <c r="Q625" s="72"/>
      <c r="R625" s="72" t="str">
        <f t="shared" si="127"/>
        <v/>
      </c>
      <c r="S625" s="63"/>
      <c r="T625" s="72" t="s">
        <v>51</v>
      </c>
      <c r="U625" s="105"/>
      <c r="V625" s="74"/>
      <c r="W625" s="105" t="str">
        <f t="shared" si="128"/>
        <v/>
      </c>
      <c r="X625" s="74"/>
      <c r="Y625" s="105" t="str">
        <f t="shared" si="129"/>
        <v/>
      </c>
      <c r="Z625" s="76"/>
    </row>
    <row r="626" spans="1:27" s="29" customFormat="1" ht="21" customHeight="1" x14ac:dyDescent="0.2">
      <c r="A626" s="30"/>
      <c r="B626" s="48" t="s">
        <v>6</v>
      </c>
      <c r="C626" s="39">
        <f>IF($J$1="January",Q619,IF($J$1="February",Q620,IF($J$1="March",Q621,IF($J$1="April",Q622,IF($J$1="May",Q623,IF($J$1="June",Q624,IF($J$1="July",Q625,IF($J$1="August",Q626,IF($J$1="August",Q626,IF($J$1="September",Q627,IF($J$1="October",Q628,IF($J$1="November",Q629,IF($J$1="December",Q630)))))))))))))</f>
        <v>0</v>
      </c>
      <c r="F626" s="48" t="s">
        <v>22</v>
      </c>
      <c r="G626" s="93">
        <f>IF($J$1="January",X619,IF($J$1="February",X620,IF($J$1="March",X621,IF($J$1="April",X622,IF($J$1="May",X623,IF($J$1="June",X624,IF($J$1="July",X625,IF($J$1="August",X626,IF($J$1="August",X626,IF($J$1="September",X627,IF($J$1="October",X628,IF($J$1="November",X629,IF($J$1="December",X630)))))))))))))</f>
        <v>2000</v>
      </c>
      <c r="H626" s="47"/>
      <c r="I626" s="405" t="s">
        <v>71</v>
      </c>
      <c r="J626" s="406"/>
      <c r="K626" s="43">
        <f>G626</f>
        <v>2000</v>
      </c>
      <c r="L626" s="55"/>
      <c r="N626" s="71"/>
      <c r="O626" s="72" t="s">
        <v>52</v>
      </c>
      <c r="P626" s="72"/>
      <c r="Q626" s="72"/>
      <c r="R626" s="72" t="str">
        <f t="shared" si="127"/>
        <v/>
      </c>
      <c r="S626" s="63"/>
      <c r="T626" s="72" t="s">
        <v>52</v>
      </c>
      <c r="U626" s="105">
        <v>0</v>
      </c>
      <c r="V626" s="74"/>
      <c r="W626" s="105">
        <f t="shared" si="128"/>
        <v>0</v>
      </c>
      <c r="X626" s="74"/>
      <c r="Y626" s="105">
        <f t="shared" si="129"/>
        <v>0</v>
      </c>
      <c r="Z626" s="76"/>
    </row>
    <row r="627" spans="1:27" s="29" customFormat="1" ht="21" customHeight="1" x14ac:dyDescent="0.2">
      <c r="A627" s="30"/>
      <c r="B627" s="56" t="s">
        <v>69</v>
      </c>
      <c r="C627" s="39" t="str">
        <f>IF($J$1="January",R619,IF($J$1="February",R620,IF($J$1="March",R621,IF($J$1="April",R622,IF($J$1="May",R623,IF($J$1="June",R624,IF($J$1="July",R625,IF($J$1="August",R626,IF($J$1="August",R626,IF($J$1="September",R627,IF($J$1="October",R628,IF($J$1="November",R629,IF($J$1="December",R630)))))))))))))</f>
        <v/>
      </c>
      <c r="F627" s="48" t="s">
        <v>68</v>
      </c>
      <c r="G627" s="93">
        <f>IF($J$1="January",Y619,IF($J$1="February",Y620,IF($J$1="March",Y621,IF($J$1="April",Y622,IF($J$1="May",Y623,IF($J$1="June",Y624,IF($J$1="July",Y625,IF($J$1="August",Y626,IF($J$1="August",Y626,IF($J$1="September",Y627,IF($J$1="October",Y628,IF($J$1="November",Y629,IF($J$1="December",Y630)))))))))))))</f>
        <v>0</v>
      </c>
      <c r="I627" s="394" t="s">
        <v>64</v>
      </c>
      <c r="J627" s="396"/>
      <c r="K627" s="57"/>
      <c r="L627" s="58"/>
      <c r="N627" s="71"/>
      <c r="O627" s="72" t="s">
        <v>57</v>
      </c>
      <c r="P627" s="72"/>
      <c r="Q627" s="72"/>
      <c r="R627" s="72" t="str">
        <f t="shared" si="127"/>
        <v/>
      </c>
      <c r="S627" s="63"/>
      <c r="T627" s="72" t="s">
        <v>57</v>
      </c>
      <c r="U627" s="105">
        <f>IF($J$1="August","",Y626)</f>
        <v>0</v>
      </c>
      <c r="V627" s="74"/>
      <c r="W627" s="105">
        <f t="shared" si="128"/>
        <v>0</v>
      </c>
      <c r="X627" s="74"/>
      <c r="Y627" s="105">
        <f t="shared" si="129"/>
        <v>0</v>
      </c>
      <c r="Z627" s="76"/>
    </row>
    <row r="628" spans="1:27" s="29" customFormat="1" ht="21" customHeight="1" x14ac:dyDescent="0.2">
      <c r="A628" s="30"/>
      <c r="I628" s="427"/>
      <c r="J628" s="427"/>
      <c r="L628" s="46"/>
      <c r="N628" s="71"/>
      <c r="O628" s="72" t="s">
        <v>53</v>
      </c>
      <c r="P628" s="72"/>
      <c r="Q628" s="72"/>
      <c r="R628" s="72"/>
      <c r="S628" s="63"/>
      <c r="T628" s="72" t="s">
        <v>53</v>
      </c>
      <c r="U628" s="105">
        <f>IF($J$1="September","",Y627)</f>
        <v>0</v>
      </c>
      <c r="V628" s="74"/>
      <c r="W628" s="105">
        <f t="shared" si="128"/>
        <v>0</v>
      </c>
      <c r="X628" s="74"/>
      <c r="Y628" s="105">
        <f t="shared" si="129"/>
        <v>0</v>
      </c>
      <c r="Z628" s="76"/>
    </row>
    <row r="629" spans="1:27" s="29" customFormat="1" ht="21" customHeight="1" x14ac:dyDescent="0.2">
      <c r="A629" s="30"/>
      <c r="B629" s="407" t="s">
        <v>87</v>
      </c>
      <c r="C629" s="407"/>
      <c r="D629" s="407"/>
      <c r="E629" s="407"/>
      <c r="F629" s="407"/>
      <c r="G629" s="407"/>
      <c r="H629" s="407"/>
      <c r="I629" s="407"/>
      <c r="J629" s="407"/>
      <c r="K629" s="407"/>
      <c r="L629" s="46"/>
      <c r="N629" s="71"/>
      <c r="O629" s="72" t="s">
        <v>58</v>
      </c>
      <c r="P629" s="72"/>
      <c r="Q629" s="72"/>
      <c r="R629" s="72"/>
      <c r="S629" s="63"/>
      <c r="T629" s="72" t="s">
        <v>58</v>
      </c>
      <c r="U629" s="105">
        <f>IF($J$1="October","",Y628)</f>
        <v>0</v>
      </c>
      <c r="V629" s="74"/>
      <c r="W629" s="105">
        <f t="shared" si="128"/>
        <v>0</v>
      </c>
      <c r="X629" s="74"/>
      <c r="Y629" s="105">
        <f t="shared" si="129"/>
        <v>0</v>
      </c>
      <c r="Z629" s="76"/>
    </row>
    <row r="630" spans="1:27" s="29" customFormat="1" ht="21" customHeight="1" x14ac:dyDescent="0.2">
      <c r="A630" s="30"/>
      <c r="B630" s="407"/>
      <c r="C630" s="407"/>
      <c r="D630" s="407"/>
      <c r="E630" s="407"/>
      <c r="F630" s="407"/>
      <c r="G630" s="407"/>
      <c r="H630" s="407"/>
      <c r="I630" s="407"/>
      <c r="J630" s="407"/>
      <c r="K630" s="407"/>
      <c r="L630" s="46"/>
      <c r="N630" s="71"/>
      <c r="O630" s="72" t="s">
        <v>59</v>
      </c>
      <c r="P630" s="72"/>
      <c r="Q630" s="72"/>
      <c r="R630" s="72" t="str">
        <f t="shared" ref="R630" si="130">IF(Q630="","",R629-Q630)</f>
        <v/>
      </c>
      <c r="S630" s="63"/>
      <c r="T630" s="72" t="s">
        <v>59</v>
      </c>
      <c r="U630" s="105">
        <f>IF($J$1="November","",Y629)</f>
        <v>0</v>
      </c>
      <c r="V630" s="74"/>
      <c r="W630" s="105">
        <f t="shared" si="128"/>
        <v>0</v>
      </c>
      <c r="X630" s="74"/>
      <c r="Y630" s="105">
        <f t="shared" si="129"/>
        <v>0</v>
      </c>
      <c r="Z630" s="76"/>
    </row>
    <row r="631" spans="1:27" s="29" customFormat="1" ht="21" customHeight="1" thickBot="1" x14ac:dyDescent="0.25">
      <c r="A631" s="59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1"/>
      <c r="N631" s="77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9"/>
    </row>
    <row r="632" spans="1:27" s="29" customFormat="1" ht="21" customHeight="1" thickBot="1" x14ac:dyDescent="0.25">
      <c r="A632" s="30"/>
      <c r="L632" s="46"/>
      <c r="N632" s="71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85"/>
    </row>
    <row r="633" spans="1:27" s="29" customFormat="1" ht="21" customHeight="1" x14ac:dyDescent="0.2">
      <c r="A633" s="411" t="s">
        <v>41</v>
      </c>
      <c r="B633" s="412"/>
      <c r="C633" s="412"/>
      <c r="D633" s="412"/>
      <c r="E633" s="412"/>
      <c r="F633" s="412"/>
      <c r="G633" s="412"/>
      <c r="H633" s="412"/>
      <c r="I633" s="412"/>
      <c r="J633" s="412"/>
      <c r="K633" s="412"/>
      <c r="L633" s="413"/>
      <c r="M633" s="28"/>
      <c r="N633" s="64"/>
      <c r="O633" s="408" t="s">
        <v>43</v>
      </c>
      <c r="P633" s="409"/>
      <c r="Q633" s="409"/>
      <c r="R633" s="410"/>
      <c r="S633" s="65"/>
      <c r="T633" s="408" t="s">
        <v>44</v>
      </c>
      <c r="U633" s="409"/>
      <c r="V633" s="409"/>
      <c r="W633" s="409"/>
      <c r="X633" s="409"/>
      <c r="Y633" s="410"/>
      <c r="Z633" s="66"/>
      <c r="AA633" s="28"/>
    </row>
    <row r="634" spans="1:27" s="29" customFormat="1" ht="21" customHeight="1" x14ac:dyDescent="0.2">
      <c r="A634" s="30"/>
      <c r="C634" s="398" t="s">
        <v>85</v>
      </c>
      <c r="D634" s="398"/>
      <c r="E634" s="398"/>
      <c r="F634" s="398"/>
      <c r="G634" s="31" t="str">
        <f>$J$1</f>
        <v>April</v>
      </c>
      <c r="H634" s="397">
        <f>$K$1</f>
        <v>2023</v>
      </c>
      <c r="I634" s="397"/>
      <c r="K634" s="32"/>
      <c r="L634" s="33"/>
      <c r="M634" s="32"/>
      <c r="N634" s="67"/>
      <c r="O634" s="68" t="s">
        <v>54</v>
      </c>
      <c r="P634" s="68" t="s">
        <v>7</v>
      </c>
      <c r="Q634" s="68" t="s">
        <v>6</v>
      </c>
      <c r="R634" s="68" t="s">
        <v>55</v>
      </c>
      <c r="S634" s="69"/>
      <c r="T634" s="68" t="s">
        <v>54</v>
      </c>
      <c r="U634" s="68" t="s">
        <v>56</v>
      </c>
      <c r="V634" s="68" t="s">
        <v>21</v>
      </c>
      <c r="W634" s="68" t="s">
        <v>20</v>
      </c>
      <c r="X634" s="68" t="s">
        <v>22</v>
      </c>
      <c r="Y634" s="68" t="s">
        <v>60</v>
      </c>
      <c r="Z634" s="70"/>
      <c r="AA634" s="32"/>
    </row>
    <row r="635" spans="1:27" s="29" customFormat="1" ht="21" customHeight="1" x14ac:dyDescent="0.2">
      <c r="A635" s="30"/>
      <c r="D635" s="35"/>
      <c r="E635" s="35"/>
      <c r="F635" s="35"/>
      <c r="G635" s="35"/>
      <c r="H635" s="35"/>
      <c r="J635" s="36" t="s">
        <v>1</v>
      </c>
      <c r="K635" s="37">
        <v>25000</v>
      </c>
      <c r="L635" s="38"/>
      <c r="N635" s="71"/>
      <c r="O635" s="72" t="s">
        <v>46</v>
      </c>
      <c r="P635" s="72"/>
      <c r="Q635" s="72"/>
      <c r="R635" s="72"/>
      <c r="S635" s="73"/>
      <c r="T635" s="72" t="s">
        <v>46</v>
      </c>
      <c r="U635" s="74">
        <v>35638</v>
      </c>
      <c r="V635" s="74"/>
      <c r="W635" s="74">
        <f>V635+U635</f>
        <v>35638</v>
      </c>
      <c r="X635" s="74"/>
      <c r="Y635" s="74">
        <f>W635-X635</f>
        <v>35638</v>
      </c>
      <c r="Z635" s="70"/>
    </row>
    <row r="636" spans="1:27" s="29" customFormat="1" ht="21" customHeight="1" x14ac:dyDescent="0.2">
      <c r="A636" s="30"/>
      <c r="B636" s="29" t="s">
        <v>0</v>
      </c>
      <c r="C636" s="40" t="s">
        <v>77</v>
      </c>
      <c r="H636" s="41"/>
      <c r="I636" s="35"/>
      <c r="L636" s="42"/>
      <c r="M636" s="28"/>
      <c r="N636" s="75"/>
      <c r="O636" s="72" t="s">
        <v>72</v>
      </c>
      <c r="P636" s="72"/>
      <c r="Q636" s="72"/>
      <c r="R636" s="72" t="str">
        <f t="shared" ref="R636:R645" si="131">IF(Q636="","",R635-Q636)</f>
        <v/>
      </c>
      <c r="S636" s="63"/>
      <c r="T636" s="72" t="s">
        <v>72</v>
      </c>
      <c r="U636" s="105"/>
      <c r="V636" s="74"/>
      <c r="W636" s="105" t="str">
        <f>IF(U636="","",U636+V636)</f>
        <v/>
      </c>
      <c r="X636" s="74"/>
      <c r="Y636" s="105" t="str">
        <f>IF(W636="","",W636-X636)</f>
        <v/>
      </c>
      <c r="Z636" s="76"/>
      <c r="AA636" s="28"/>
    </row>
    <row r="637" spans="1:27" s="29" customFormat="1" ht="21" customHeight="1" x14ac:dyDescent="0.2">
      <c r="A637" s="30"/>
      <c r="B637" s="44" t="s">
        <v>42</v>
      </c>
      <c r="C637" s="45"/>
      <c r="F637" s="414" t="s">
        <v>44</v>
      </c>
      <c r="G637" s="414"/>
      <c r="I637" s="414" t="s">
        <v>45</v>
      </c>
      <c r="J637" s="414"/>
      <c r="K637" s="414"/>
      <c r="L637" s="46"/>
      <c r="N637" s="71"/>
      <c r="O637" s="72" t="s">
        <v>47</v>
      </c>
      <c r="P637" s="72"/>
      <c r="Q637" s="72"/>
      <c r="R637" s="72" t="str">
        <f t="shared" si="131"/>
        <v/>
      </c>
      <c r="S637" s="63"/>
      <c r="T637" s="72" t="s">
        <v>47</v>
      </c>
      <c r="U637" s="105"/>
      <c r="V637" s="74"/>
      <c r="W637" s="105" t="str">
        <f t="shared" ref="W637:W646" si="132">IF(U637="","",U637+V637)</f>
        <v/>
      </c>
      <c r="X637" s="177"/>
      <c r="Y637" s="105" t="str">
        <f t="shared" ref="Y637:Y646" si="133">IF(W637="","",W637-X637)</f>
        <v/>
      </c>
      <c r="Z637" s="76"/>
    </row>
    <row r="638" spans="1:27" s="29" customFormat="1" ht="21" customHeight="1" x14ac:dyDescent="0.2">
      <c r="A638" s="30"/>
      <c r="H638" s="47"/>
      <c r="L638" s="34"/>
      <c r="N638" s="71"/>
      <c r="O638" s="72" t="s">
        <v>48</v>
      </c>
      <c r="P638" s="72"/>
      <c r="Q638" s="72"/>
      <c r="R638" s="72" t="str">
        <f t="shared" si="131"/>
        <v/>
      </c>
      <c r="S638" s="63"/>
      <c r="T638" s="72" t="s">
        <v>48</v>
      </c>
      <c r="U638" s="105"/>
      <c r="V638" s="74"/>
      <c r="W638" s="105" t="str">
        <f t="shared" si="132"/>
        <v/>
      </c>
      <c r="X638" s="177"/>
      <c r="Y638" s="105" t="str">
        <f t="shared" si="133"/>
        <v/>
      </c>
      <c r="Z638" s="76"/>
    </row>
    <row r="639" spans="1:27" s="29" customFormat="1" ht="21" customHeight="1" x14ac:dyDescent="0.2">
      <c r="A639" s="30"/>
      <c r="B639" s="392" t="s">
        <v>43</v>
      </c>
      <c r="C639" s="393"/>
      <c r="F639" s="48" t="s">
        <v>65</v>
      </c>
      <c r="G639" s="109">
        <f>IF($J$1="January",U635,IF($J$1="February",U636,IF($J$1="March",U637,IF($J$1="April",U638,IF($J$1="May",U639,IF($J$1="June",U640,IF($J$1="July",U641,IF($J$1="August",U642,IF($J$1="August",U642,IF($J$1="September",U643,IF($J$1="October",U644,IF($J$1="November",U645,IF($J$1="December",U646)))))))))))))</f>
        <v>0</v>
      </c>
      <c r="H639" s="47"/>
      <c r="I639" s="144"/>
      <c r="J639" s="50" t="s">
        <v>62</v>
      </c>
      <c r="K639" s="51">
        <f>K635/$K$2*I639</f>
        <v>0</v>
      </c>
      <c r="L639" s="52"/>
      <c r="N639" s="71"/>
      <c r="O639" s="72" t="s">
        <v>49</v>
      </c>
      <c r="P639" s="72"/>
      <c r="Q639" s="72"/>
      <c r="R639" s="72" t="str">
        <f t="shared" si="131"/>
        <v/>
      </c>
      <c r="S639" s="63"/>
      <c r="T639" s="72" t="s">
        <v>49</v>
      </c>
      <c r="U639" s="105"/>
      <c r="V639" s="74"/>
      <c r="W639" s="105" t="str">
        <f t="shared" si="132"/>
        <v/>
      </c>
      <c r="X639" s="177"/>
      <c r="Y639" s="105" t="str">
        <f t="shared" si="133"/>
        <v/>
      </c>
      <c r="Z639" s="76"/>
    </row>
    <row r="640" spans="1:27" s="29" customFormat="1" ht="21" customHeight="1" x14ac:dyDescent="0.2">
      <c r="A640" s="30"/>
      <c r="B640" s="39"/>
      <c r="C640" s="39"/>
      <c r="F640" s="48" t="s">
        <v>21</v>
      </c>
      <c r="G640" s="109">
        <f>IF($J$1="January",V635,IF($J$1="February",V636,IF($J$1="March",V637,IF($J$1="April",V638,IF($J$1="May",V639,IF($J$1="June",V640,IF($J$1="July",V641,IF($J$1="August",V642,IF($J$1="August",V642,IF($J$1="September",V643,IF($J$1="October",V644,IF($J$1="November",V645,IF($J$1="December",V646)))))))))))))</f>
        <v>0</v>
      </c>
      <c r="H640" s="47"/>
      <c r="I640" s="84"/>
      <c r="J640" s="50" t="s">
        <v>63</v>
      </c>
      <c r="K640" s="53">
        <f>K635/$K$2/8*I640</f>
        <v>0</v>
      </c>
      <c r="L640" s="54"/>
      <c r="N640" s="71"/>
      <c r="O640" s="72" t="s">
        <v>50</v>
      </c>
      <c r="P640" s="72"/>
      <c r="Q640" s="72"/>
      <c r="R640" s="72" t="str">
        <f t="shared" si="131"/>
        <v/>
      </c>
      <c r="S640" s="63"/>
      <c r="T640" s="72" t="s">
        <v>50</v>
      </c>
      <c r="U640" s="105"/>
      <c r="V640" s="74"/>
      <c r="W640" s="105" t="str">
        <f t="shared" si="132"/>
        <v/>
      </c>
      <c r="X640" s="177"/>
      <c r="Y640" s="105" t="str">
        <f t="shared" si="133"/>
        <v/>
      </c>
      <c r="Z640" s="76"/>
    </row>
    <row r="641" spans="1:26" s="29" customFormat="1" ht="21" customHeight="1" x14ac:dyDescent="0.2">
      <c r="A641" s="30"/>
      <c r="B641" s="48" t="s">
        <v>7</v>
      </c>
      <c r="C641" s="39">
        <f>IF($J$1="January",P635,IF($J$1="February",P636,IF($J$1="March",P637,IF($J$1="April",P638,IF($J$1="May",P639,IF($J$1="June",P640,IF($J$1="July",P641,IF($J$1="August",P642,IF($J$1="August",P642,IF($J$1="September",P643,IF($J$1="October",P644,IF($J$1="November",P645,IF($J$1="December",P646)))))))))))))</f>
        <v>0</v>
      </c>
      <c r="F641" s="48" t="s">
        <v>66</v>
      </c>
      <c r="G641" s="109" t="str">
        <f>IF($J$1="January",W635,IF($J$1="February",W636,IF($J$1="March",W637,IF($J$1="April",W638,IF($J$1="May",W639,IF($J$1="June",W640,IF($J$1="July",W641,IF($J$1="August",W642,IF($J$1="August",W642,IF($J$1="September",W643,IF($J$1="October",W644,IF($J$1="November",W645,IF($J$1="December",W646)))))))))))))</f>
        <v/>
      </c>
      <c r="H641" s="47"/>
      <c r="I641" s="405" t="s">
        <v>70</v>
      </c>
      <c r="J641" s="406"/>
      <c r="K641" s="53">
        <f>K639+K640</f>
        <v>0</v>
      </c>
      <c r="L641" s="54"/>
      <c r="N641" s="71"/>
      <c r="O641" s="72" t="s">
        <v>51</v>
      </c>
      <c r="P641" s="72"/>
      <c r="Q641" s="72"/>
      <c r="R641" s="72" t="str">
        <f t="shared" si="131"/>
        <v/>
      </c>
      <c r="S641" s="63"/>
      <c r="T641" s="72" t="s">
        <v>51</v>
      </c>
      <c r="U641" s="105"/>
      <c r="V641" s="74"/>
      <c r="W641" s="105" t="str">
        <f t="shared" si="132"/>
        <v/>
      </c>
      <c r="X641" s="177"/>
      <c r="Y641" s="105" t="str">
        <f t="shared" si="133"/>
        <v/>
      </c>
      <c r="Z641" s="76"/>
    </row>
    <row r="642" spans="1:26" s="29" customFormat="1" ht="21" customHeight="1" x14ac:dyDescent="0.2">
      <c r="A642" s="30"/>
      <c r="B642" s="48" t="s">
        <v>6</v>
      </c>
      <c r="C642" s="39">
        <f>IF($J$1="January",Q635,IF($J$1="February",Q636,IF($J$1="March",Q637,IF($J$1="April",Q638,IF($J$1="May",Q639,IF($J$1="June",Q640,IF($J$1="July",Q641,IF($J$1="August",Q642,IF($J$1="August",Q642,IF($J$1="September",Q643,IF($J$1="October",Q644,IF($J$1="November",Q645,IF($J$1="December",Q646)))))))))))))</f>
        <v>0</v>
      </c>
      <c r="F642" s="48" t="s">
        <v>22</v>
      </c>
      <c r="G642" s="109">
        <f>IF($J$1="January",X635,IF($J$1="February",X636,IF($J$1="March",X637,IF($J$1="April",X638,IF($J$1="May",X639,IF($J$1="June",X640,IF($J$1="July",X641,IF($J$1="August",X642,IF($J$1="August",X642,IF($J$1="September",X643,IF($J$1="October",X644,IF($J$1="November",X645,IF($J$1="December",X646)))))))))))))</f>
        <v>0</v>
      </c>
      <c r="H642" s="47"/>
      <c r="I642" s="405" t="s">
        <v>71</v>
      </c>
      <c r="J642" s="406"/>
      <c r="K642" s="43">
        <f>G642</f>
        <v>0</v>
      </c>
      <c r="L642" s="55"/>
      <c r="N642" s="71"/>
      <c r="O642" s="72" t="s">
        <v>52</v>
      </c>
      <c r="P642" s="72"/>
      <c r="Q642" s="72"/>
      <c r="R642" s="72" t="str">
        <f t="shared" si="131"/>
        <v/>
      </c>
      <c r="S642" s="63"/>
      <c r="T642" s="72" t="s">
        <v>52</v>
      </c>
      <c r="U642" s="105"/>
      <c r="V642" s="74"/>
      <c r="W642" s="105" t="str">
        <f t="shared" si="132"/>
        <v/>
      </c>
      <c r="X642" s="177"/>
      <c r="Y642" s="105" t="str">
        <f t="shared" si="133"/>
        <v/>
      </c>
      <c r="Z642" s="76"/>
    </row>
    <row r="643" spans="1:26" s="29" customFormat="1" ht="21" customHeight="1" x14ac:dyDescent="0.2">
      <c r="A643" s="30"/>
      <c r="B643" s="56" t="s">
        <v>69</v>
      </c>
      <c r="C643" s="39" t="str">
        <f>IF($J$1="January",R635,IF($J$1="February",R636,IF($J$1="March",R637,IF($J$1="April",R638,IF($J$1="May",R639,IF($J$1="June",R640,IF($J$1="July",R641,IF($J$1="August",R642,IF($J$1="August",R642,IF($J$1="September",R643,IF($J$1="October",R644,IF($J$1="November",R645,IF($J$1="December",R646)))))))))))))</f>
        <v/>
      </c>
      <c r="F643" s="48" t="s">
        <v>68</v>
      </c>
      <c r="G643" s="109" t="str">
        <f>IF($J$1="January",Y635,IF($J$1="February",Y636,IF($J$1="March",Y637,IF($J$1="April",Y638,IF($J$1="May",Y639,IF($J$1="June",Y640,IF($J$1="July",Y641,IF($J$1="August",Y642,IF($J$1="August",Y642,IF($J$1="September",Y643,IF($J$1="October",Y644,IF($J$1="November",Y645,IF($J$1="December",Y646)))))))))))))</f>
        <v/>
      </c>
      <c r="I643" s="394" t="s">
        <v>64</v>
      </c>
      <c r="J643" s="396"/>
      <c r="K643" s="57">
        <f>K641-K642</f>
        <v>0</v>
      </c>
      <c r="L643" s="58"/>
      <c r="N643" s="71"/>
      <c r="O643" s="72" t="s">
        <v>57</v>
      </c>
      <c r="P643" s="72"/>
      <c r="Q643" s="72"/>
      <c r="R643" s="72" t="str">
        <f t="shared" si="131"/>
        <v/>
      </c>
      <c r="S643" s="63"/>
      <c r="T643" s="72" t="s">
        <v>57</v>
      </c>
      <c r="U643" s="105"/>
      <c r="V643" s="74"/>
      <c r="W643" s="105" t="str">
        <f t="shared" si="132"/>
        <v/>
      </c>
      <c r="X643" s="74"/>
      <c r="Y643" s="105" t="str">
        <f t="shared" si="133"/>
        <v/>
      </c>
      <c r="Z643" s="76"/>
    </row>
    <row r="644" spans="1:26" s="29" customFormat="1" ht="21" customHeight="1" x14ac:dyDescent="0.2">
      <c r="A644" s="30"/>
      <c r="L644" s="46"/>
      <c r="N644" s="71"/>
      <c r="O644" s="72" t="s">
        <v>53</v>
      </c>
      <c r="P644" s="72"/>
      <c r="Q644" s="72"/>
      <c r="R644" s="72" t="str">
        <f t="shared" si="131"/>
        <v/>
      </c>
      <c r="S644" s="63"/>
      <c r="T644" s="72" t="s">
        <v>53</v>
      </c>
      <c r="U644" s="105"/>
      <c r="V644" s="74"/>
      <c r="W644" s="105" t="str">
        <f t="shared" si="132"/>
        <v/>
      </c>
      <c r="X644" s="74"/>
      <c r="Y644" s="105" t="str">
        <f t="shared" si="133"/>
        <v/>
      </c>
      <c r="Z644" s="76"/>
    </row>
    <row r="645" spans="1:26" s="29" customFormat="1" ht="21" customHeight="1" x14ac:dyDescent="0.2">
      <c r="A645" s="30"/>
      <c r="B645" s="407" t="s">
        <v>87</v>
      </c>
      <c r="C645" s="407"/>
      <c r="D645" s="407"/>
      <c r="E645" s="407"/>
      <c r="F645" s="407"/>
      <c r="G645" s="407"/>
      <c r="H645" s="407"/>
      <c r="I645" s="407"/>
      <c r="J645" s="407"/>
      <c r="K645" s="407"/>
      <c r="L645" s="46"/>
      <c r="N645" s="71"/>
      <c r="O645" s="72" t="s">
        <v>58</v>
      </c>
      <c r="P645" s="72"/>
      <c r="Q645" s="72"/>
      <c r="R645" s="72" t="str">
        <f t="shared" si="131"/>
        <v/>
      </c>
      <c r="S645" s="63"/>
      <c r="T645" s="72" t="s">
        <v>58</v>
      </c>
      <c r="U645" s="105"/>
      <c r="V645" s="74"/>
      <c r="W645" s="105" t="str">
        <f t="shared" si="132"/>
        <v/>
      </c>
      <c r="X645" s="74"/>
      <c r="Y645" s="105" t="str">
        <f t="shared" si="133"/>
        <v/>
      </c>
      <c r="Z645" s="76"/>
    </row>
    <row r="646" spans="1:26" s="29" customFormat="1" ht="21" customHeight="1" x14ac:dyDescent="0.2">
      <c r="A646" s="30"/>
      <c r="B646" s="407"/>
      <c r="C646" s="407"/>
      <c r="D646" s="407"/>
      <c r="E646" s="407"/>
      <c r="F646" s="407"/>
      <c r="G646" s="407"/>
      <c r="H646" s="407"/>
      <c r="I646" s="407"/>
      <c r="J646" s="407"/>
      <c r="K646" s="407"/>
      <c r="L646" s="46"/>
      <c r="N646" s="71"/>
      <c r="O646" s="72" t="s">
        <v>59</v>
      </c>
      <c r="P646" s="72"/>
      <c r="Q646" s="72"/>
      <c r="R646" s="72"/>
      <c r="S646" s="63"/>
      <c r="T646" s="72" t="s">
        <v>59</v>
      </c>
      <c r="U646" s="105"/>
      <c r="V646" s="74"/>
      <c r="W646" s="105" t="str">
        <f t="shared" si="132"/>
        <v/>
      </c>
      <c r="X646" s="74"/>
      <c r="Y646" s="105" t="str">
        <f t="shared" si="133"/>
        <v/>
      </c>
      <c r="Z646" s="76"/>
    </row>
    <row r="647" spans="1:26" s="29" customFormat="1" ht="21" customHeight="1" thickBot="1" x14ac:dyDescent="0.25">
      <c r="A647" s="59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1"/>
      <c r="N647" s="77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9"/>
    </row>
    <row r="648" spans="1:26" s="29" customFormat="1" ht="21" customHeight="1" thickBot="1" x14ac:dyDescent="0.25"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 spans="1:26" s="29" customFormat="1" ht="21" customHeight="1" x14ac:dyDescent="0.2">
      <c r="A649" s="411" t="s">
        <v>41</v>
      </c>
      <c r="B649" s="412"/>
      <c r="C649" s="412"/>
      <c r="D649" s="412"/>
      <c r="E649" s="412"/>
      <c r="F649" s="412"/>
      <c r="G649" s="412"/>
      <c r="H649" s="412"/>
      <c r="I649" s="412"/>
      <c r="J649" s="412"/>
      <c r="K649" s="412"/>
      <c r="L649" s="413"/>
      <c r="M649" s="28"/>
      <c r="N649" s="64"/>
      <c r="O649" s="408" t="s">
        <v>43</v>
      </c>
      <c r="P649" s="409"/>
      <c r="Q649" s="409"/>
      <c r="R649" s="410"/>
      <c r="S649" s="65"/>
      <c r="T649" s="408" t="s">
        <v>44</v>
      </c>
      <c r="U649" s="409"/>
      <c r="V649" s="409"/>
      <c r="W649" s="409"/>
      <c r="X649" s="409"/>
      <c r="Y649" s="410"/>
      <c r="Z649" s="66"/>
    </row>
    <row r="650" spans="1:26" s="29" customFormat="1" ht="21" customHeight="1" x14ac:dyDescent="0.2">
      <c r="A650" s="30"/>
      <c r="C650" s="398" t="s">
        <v>85</v>
      </c>
      <c r="D650" s="398"/>
      <c r="E650" s="398"/>
      <c r="F650" s="398"/>
      <c r="G650" s="31" t="str">
        <f>$J$1</f>
        <v>April</v>
      </c>
      <c r="H650" s="397">
        <f>$K$1</f>
        <v>2023</v>
      </c>
      <c r="I650" s="397"/>
      <c r="K650" s="32"/>
      <c r="L650" s="33"/>
      <c r="M650" s="32"/>
      <c r="N650" s="67"/>
      <c r="O650" s="68" t="s">
        <v>54</v>
      </c>
      <c r="P650" s="68" t="s">
        <v>7</v>
      </c>
      <c r="Q650" s="68" t="s">
        <v>6</v>
      </c>
      <c r="R650" s="68" t="s">
        <v>55</v>
      </c>
      <c r="S650" s="69"/>
      <c r="T650" s="68" t="s">
        <v>54</v>
      </c>
      <c r="U650" s="68" t="s">
        <v>56</v>
      </c>
      <c r="V650" s="68" t="s">
        <v>21</v>
      </c>
      <c r="W650" s="68" t="s">
        <v>20</v>
      </c>
      <c r="X650" s="68" t="s">
        <v>22</v>
      </c>
      <c r="Y650" s="68" t="s">
        <v>60</v>
      </c>
      <c r="Z650" s="70"/>
    </row>
    <row r="651" spans="1:26" s="29" customFormat="1" ht="21" customHeight="1" x14ac:dyDescent="0.2">
      <c r="A651" s="30"/>
      <c r="D651" s="35"/>
      <c r="E651" s="35"/>
      <c r="F651" s="35"/>
      <c r="G651" s="35"/>
      <c r="H651" s="35"/>
      <c r="J651" s="36" t="s">
        <v>1</v>
      </c>
      <c r="K651" s="37">
        <v>1400</v>
      </c>
      <c r="L651" s="38"/>
      <c r="N651" s="71"/>
      <c r="O651" s="72" t="s">
        <v>46</v>
      </c>
      <c r="P651" s="72"/>
      <c r="Q651" s="72"/>
      <c r="R651" s="72">
        <f>15-Q651+3</f>
        <v>18</v>
      </c>
      <c r="S651" s="73"/>
      <c r="T651" s="72" t="s">
        <v>46</v>
      </c>
      <c r="U651" s="74"/>
      <c r="V651" s="74"/>
      <c r="W651" s="74"/>
      <c r="X651" s="74"/>
      <c r="Y651" s="74"/>
      <c r="Z651" s="70"/>
    </row>
    <row r="652" spans="1:26" s="29" customFormat="1" ht="21" customHeight="1" x14ac:dyDescent="0.2">
      <c r="A652" s="30"/>
      <c r="B652" s="29" t="s">
        <v>0</v>
      </c>
      <c r="C652" s="40" t="s">
        <v>147</v>
      </c>
      <c r="H652" s="41"/>
      <c r="I652" s="35"/>
      <c r="L652" s="42"/>
      <c r="M652" s="28"/>
      <c r="N652" s="75"/>
      <c r="O652" s="72" t="s">
        <v>72</v>
      </c>
      <c r="P652" s="72"/>
      <c r="Q652" s="72"/>
      <c r="R652" s="128">
        <f>R651-Q652+5</f>
        <v>23</v>
      </c>
      <c r="S652" s="63"/>
      <c r="T652" s="72" t="s">
        <v>72</v>
      </c>
      <c r="U652" s="105"/>
      <c r="V652" s="74"/>
      <c r="W652" s="105"/>
      <c r="X652" s="74"/>
      <c r="Y652" s="105"/>
      <c r="Z652" s="76"/>
    </row>
    <row r="653" spans="1:26" s="29" customFormat="1" ht="21" customHeight="1" x14ac:dyDescent="0.2">
      <c r="A653" s="30"/>
      <c r="B653" s="44" t="s">
        <v>42</v>
      </c>
      <c r="C653" s="40"/>
      <c r="F653" s="414" t="s">
        <v>44</v>
      </c>
      <c r="G653" s="414"/>
      <c r="I653" s="414" t="s">
        <v>45</v>
      </c>
      <c r="J653" s="414"/>
      <c r="K653" s="414"/>
      <c r="L653" s="46"/>
      <c r="N653" s="71"/>
      <c r="O653" s="72" t="s">
        <v>47</v>
      </c>
      <c r="P653" s="72"/>
      <c r="Q653" s="72"/>
      <c r="R653" s="128">
        <f>R652-Q653+5</f>
        <v>28</v>
      </c>
      <c r="S653" s="63"/>
      <c r="T653" s="72" t="s">
        <v>47</v>
      </c>
      <c r="U653" s="105"/>
      <c r="V653" s="74"/>
      <c r="W653" s="105"/>
      <c r="X653" s="74"/>
      <c r="Y653" s="105"/>
      <c r="Z653" s="76"/>
    </row>
    <row r="654" spans="1:26" s="29" customFormat="1" ht="21" customHeight="1" x14ac:dyDescent="0.2">
      <c r="A654" s="30"/>
      <c r="H654" s="47"/>
      <c r="L654" s="34"/>
      <c r="N654" s="71"/>
      <c r="O654" s="72" t="s">
        <v>48</v>
      </c>
      <c r="P654" s="72"/>
      <c r="Q654" s="72"/>
      <c r="R654" s="72">
        <v>0</v>
      </c>
      <c r="S654" s="63"/>
      <c r="T654" s="72" t="s">
        <v>48</v>
      </c>
      <c r="U654" s="105"/>
      <c r="V654" s="74"/>
      <c r="W654" s="105"/>
      <c r="X654" s="74"/>
      <c r="Y654" s="105"/>
      <c r="Z654" s="76"/>
    </row>
    <row r="655" spans="1:26" s="29" customFormat="1" ht="21" customHeight="1" x14ac:dyDescent="0.2">
      <c r="A655" s="30"/>
      <c r="B655" s="392" t="s">
        <v>43</v>
      </c>
      <c r="C655" s="393"/>
      <c r="F655" s="48" t="s">
        <v>65</v>
      </c>
      <c r="G655" s="43">
        <f>IF($J$1="January",U651,IF($J$1="February",U652,IF($J$1="March",U653,IF($J$1="April",U654,IF($J$1="May",U655,IF($J$1="June",U656,IF($J$1="July",U657,IF($J$1="August",U658,IF($J$1="August",U658,IF($J$1="September",U659,IF($J$1="October",U660,IF($J$1="November",U661,IF($J$1="December",U662)))))))))))))</f>
        <v>0</v>
      </c>
      <c r="H655" s="47"/>
      <c r="I655" s="49"/>
      <c r="J655" s="50" t="s">
        <v>62</v>
      </c>
      <c r="K655" s="51">
        <f>K651*I655</f>
        <v>0</v>
      </c>
      <c r="L655" s="52"/>
      <c r="N655" s="71"/>
      <c r="O655" s="72" t="s">
        <v>49</v>
      </c>
      <c r="P655" s="72"/>
      <c r="Q655" s="72"/>
      <c r="R655" s="72">
        <v>0</v>
      </c>
      <c r="S655" s="63"/>
      <c r="T655" s="72" t="s">
        <v>49</v>
      </c>
      <c r="U655" s="105"/>
      <c r="V655" s="74"/>
      <c r="W655" s="105"/>
      <c r="X655" s="74"/>
      <c r="Y655" s="105"/>
      <c r="Z655" s="76"/>
    </row>
    <row r="656" spans="1:26" s="29" customFormat="1" ht="21" customHeight="1" x14ac:dyDescent="0.2">
      <c r="A656" s="30"/>
      <c r="B656" s="39"/>
      <c r="C656" s="39"/>
      <c r="F656" s="48" t="s">
        <v>21</v>
      </c>
      <c r="G656" s="43">
        <f>IF($J$1="January",V651,IF($J$1="February",V652,IF($J$1="March",V653,IF($J$1="April",V654,IF($J$1="May",V655,IF($J$1="June",V656,IF($J$1="July",V657,IF($J$1="August",V658,IF($J$1="August",V658,IF($J$1="September",V659,IF($J$1="October",V660,IF($J$1="November",V661,IF($J$1="December",V662)))))))))))))</f>
        <v>0</v>
      </c>
      <c r="H656" s="47"/>
      <c r="I656" s="84"/>
      <c r="J656" s="50" t="s">
        <v>63</v>
      </c>
      <c r="K656" s="53">
        <f>K651/8*I656</f>
        <v>0</v>
      </c>
      <c r="L656" s="54"/>
      <c r="N656" s="71"/>
      <c r="O656" s="72" t="s">
        <v>50</v>
      </c>
      <c r="P656" s="72"/>
      <c r="Q656" s="72"/>
      <c r="R656" s="72">
        <v>0</v>
      </c>
      <c r="S656" s="63"/>
      <c r="T656" s="72" t="s">
        <v>50</v>
      </c>
      <c r="U656" s="105"/>
      <c r="V656" s="74"/>
      <c r="W656" s="105"/>
      <c r="X656" s="74"/>
      <c r="Y656" s="105"/>
      <c r="Z656" s="76"/>
    </row>
    <row r="657" spans="1:26" s="29" customFormat="1" ht="21" customHeight="1" x14ac:dyDescent="0.2">
      <c r="A657" s="30"/>
      <c r="B657" s="48" t="s">
        <v>7</v>
      </c>
      <c r="C657" s="39">
        <f>IF($J$1="January",P651,IF($J$1="February",P652,IF($J$1="March",P653,IF($J$1="April",P654,IF($J$1="May",P655,IF($J$1="June",P656,IF($J$1="July",P657,IF($J$1="August",P658,IF($J$1="August",P658,IF($J$1="September",P659,IF($J$1="October",P660,IF($J$1="November",P661,IF($J$1="December",P662)))))))))))))</f>
        <v>0</v>
      </c>
      <c r="F657" s="48" t="s">
        <v>66</v>
      </c>
      <c r="G657" s="43">
        <f>IF($J$1="January",W651,IF($J$1="February",W652,IF($J$1="March",W653,IF($J$1="April",W654,IF($J$1="May",W655,IF($J$1="June",W656,IF($J$1="July",W657,IF($J$1="August",W658,IF($J$1="August",W658,IF($J$1="September",W659,IF($J$1="October",W660,IF($J$1="November",W661,IF($J$1="December",W662)))))))))))))</f>
        <v>0</v>
      </c>
      <c r="H657" s="47"/>
      <c r="I657" s="405" t="s">
        <v>70</v>
      </c>
      <c r="J657" s="406"/>
      <c r="K657" s="53">
        <f>K655+K656</f>
        <v>0</v>
      </c>
      <c r="L657" s="54"/>
      <c r="N657" s="71"/>
      <c r="O657" s="72" t="s">
        <v>51</v>
      </c>
      <c r="P657" s="72"/>
      <c r="Q657" s="72"/>
      <c r="R657" s="72">
        <v>0</v>
      </c>
      <c r="S657" s="63"/>
      <c r="T657" s="72" t="s">
        <v>51</v>
      </c>
      <c r="U657" s="105"/>
      <c r="V657" s="74"/>
      <c r="W657" s="105"/>
      <c r="X657" s="74"/>
      <c r="Y657" s="105"/>
      <c r="Z657" s="76"/>
    </row>
    <row r="658" spans="1:26" s="29" customFormat="1" ht="21" customHeight="1" x14ac:dyDescent="0.2">
      <c r="A658" s="30"/>
      <c r="B658" s="48" t="s">
        <v>6</v>
      </c>
      <c r="C658" s="39">
        <f>IF($J$1="January",Q651,IF($J$1="February",Q652,IF($J$1="March",Q653,IF($J$1="April",Q654,IF($J$1="May",Q655,IF($J$1="June",Q656,IF($J$1="July",Q657,IF($J$1="August",Q658,IF($J$1="August",Q658,IF($J$1="September",Q659,IF($J$1="October",Q660,IF($J$1="November",Q661,IF($J$1="December",Q662)))))))))))))</f>
        <v>0</v>
      </c>
      <c r="F658" s="48" t="s">
        <v>22</v>
      </c>
      <c r="G658" s="43">
        <f>IF($J$1="January",X651,IF($J$1="February",X652,IF($J$1="March",X653,IF($J$1="April",X654,IF($J$1="May",X655,IF($J$1="June",X656,IF($J$1="July",X657,IF($J$1="August",X658,IF($J$1="August",X658,IF($J$1="September",X659,IF($J$1="October",X660,IF($J$1="November",X661,IF($J$1="December",X662)))))))))))))</f>
        <v>0</v>
      </c>
      <c r="H658" s="47"/>
      <c r="I658" s="405" t="s">
        <v>71</v>
      </c>
      <c r="J658" s="406"/>
      <c r="K658" s="43">
        <f>G658</f>
        <v>0</v>
      </c>
      <c r="L658" s="55"/>
      <c r="N658" s="71"/>
      <c r="O658" s="72" t="s">
        <v>52</v>
      </c>
      <c r="P658" s="72"/>
      <c r="Q658" s="72"/>
      <c r="R658" s="72">
        <v>0</v>
      </c>
      <c r="S658" s="63"/>
      <c r="T658" s="72" t="s">
        <v>52</v>
      </c>
      <c r="U658" s="105"/>
      <c r="V658" s="74"/>
      <c r="W658" s="105"/>
      <c r="X658" s="74"/>
      <c r="Y658" s="105"/>
      <c r="Z658" s="76"/>
    </row>
    <row r="659" spans="1:26" s="29" customFormat="1" ht="21" customHeight="1" x14ac:dyDescent="0.2">
      <c r="A659" s="30"/>
      <c r="B659" s="56" t="s">
        <v>69</v>
      </c>
      <c r="C659" s="39">
        <f>IF($J$1="January",R651,IF($J$1="February",R652,IF($J$1="March",R653,IF($J$1="April",R654,IF($J$1="May",R655,IF($J$1="June",R656,IF($J$1="July",R657,IF($J$1="August",R658,IF($J$1="August",R658,IF($J$1="September",R659,IF($J$1="October",R660,IF($J$1="November",R661,IF($J$1="December",R662)))))))))))))</f>
        <v>0</v>
      </c>
      <c r="F659" s="48" t="s">
        <v>68</v>
      </c>
      <c r="G659" s="43">
        <f>IF($J$1="January",Y651,IF($J$1="February",Y652,IF($J$1="March",Y653,IF($J$1="April",Y654,IF($J$1="May",Y655,IF($J$1="June",Y656,IF($J$1="July",Y657,IF($J$1="August",Y658,IF($J$1="August",Y658,IF($J$1="September",Y659,IF($J$1="October",Y660,IF($J$1="November",Y661,IF($J$1="December",Y662)))))))))))))</f>
        <v>0</v>
      </c>
      <c r="I659" s="394" t="s">
        <v>64</v>
      </c>
      <c r="J659" s="396"/>
      <c r="K659" s="57">
        <f>K657-K658</f>
        <v>0</v>
      </c>
      <c r="L659" s="58"/>
      <c r="N659" s="71"/>
      <c r="O659" s="72" t="s">
        <v>57</v>
      </c>
      <c r="P659" s="72"/>
      <c r="Q659" s="72"/>
      <c r="R659" s="72">
        <v>0</v>
      </c>
      <c r="S659" s="63"/>
      <c r="T659" s="72" t="s">
        <v>57</v>
      </c>
      <c r="U659" s="105"/>
      <c r="V659" s="74"/>
      <c r="W659" s="105"/>
      <c r="X659" s="74"/>
      <c r="Y659" s="105"/>
      <c r="Z659" s="76"/>
    </row>
    <row r="660" spans="1:26" s="29" customFormat="1" ht="21" customHeight="1" x14ac:dyDescent="0.2">
      <c r="A660" s="30"/>
      <c r="L660" s="46"/>
      <c r="N660" s="71"/>
      <c r="O660" s="72" t="s">
        <v>53</v>
      </c>
      <c r="P660" s="72"/>
      <c r="Q660" s="72"/>
      <c r="R660" s="72">
        <v>0</v>
      </c>
      <c r="S660" s="63"/>
      <c r="T660" s="72" t="s">
        <v>53</v>
      </c>
      <c r="U660" s="105"/>
      <c r="V660" s="74"/>
      <c r="W660" s="105"/>
      <c r="X660" s="74"/>
      <c r="Y660" s="105"/>
      <c r="Z660" s="76"/>
    </row>
    <row r="661" spans="1:26" s="29" customFormat="1" ht="21" customHeight="1" x14ac:dyDescent="0.2">
      <c r="A661" s="30"/>
      <c r="B661" s="407" t="s">
        <v>87</v>
      </c>
      <c r="C661" s="407"/>
      <c r="D661" s="407"/>
      <c r="E661" s="407"/>
      <c r="F661" s="407"/>
      <c r="G661" s="407"/>
      <c r="H661" s="407"/>
      <c r="I661" s="407"/>
      <c r="J661" s="407"/>
      <c r="K661" s="407"/>
      <c r="L661" s="46"/>
      <c r="N661" s="71"/>
      <c r="O661" s="72" t="s">
        <v>58</v>
      </c>
      <c r="P661" s="72"/>
      <c r="Q661" s="72">
        <v>0</v>
      </c>
      <c r="R661" s="72">
        <v>0</v>
      </c>
      <c r="S661" s="63"/>
      <c r="T661" s="72" t="s">
        <v>58</v>
      </c>
      <c r="U661" s="105">
        <f>IF($J$1="October","",Y660)</f>
        <v>0</v>
      </c>
      <c r="V661" s="74"/>
      <c r="W661" s="105">
        <f t="shared" ref="W661:W662" si="134">IF(U661="","",U661+V661)</f>
        <v>0</v>
      </c>
      <c r="X661" s="74"/>
      <c r="Y661" s="105">
        <f t="shared" ref="Y661:Y662" si="135">IF(W661="","",W661-X661)</f>
        <v>0</v>
      </c>
      <c r="Z661" s="76"/>
    </row>
    <row r="662" spans="1:26" s="29" customFormat="1" ht="21" customHeight="1" x14ac:dyDescent="0.2">
      <c r="A662" s="30"/>
      <c r="B662" s="407"/>
      <c r="C662" s="407"/>
      <c r="D662" s="407"/>
      <c r="E662" s="407"/>
      <c r="F662" s="407"/>
      <c r="G662" s="407"/>
      <c r="H662" s="407"/>
      <c r="I662" s="407"/>
      <c r="J662" s="407"/>
      <c r="K662" s="407"/>
      <c r="L662" s="46"/>
      <c r="N662" s="71"/>
      <c r="O662" s="72" t="s">
        <v>59</v>
      </c>
      <c r="P662" s="72"/>
      <c r="Q662" s="72"/>
      <c r="R662" s="72">
        <v>0</v>
      </c>
      <c r="S662" s="63"/>
      <c r="T662" s="72" t="s">
        <v>59</v>
      </c>
      <c r="U662" s="105">
        <f>IF($J$1="November","",Y661)</f>
        <v>0</v>
      </c>
      <c r="V662" s="74"/>
      <c r="W662" s="105">
        <f t="shared" si="134"/>
        <v>0</v>
      </c>
      <c r="X662" s="74"/>
      <c r="Y662" s="105">
        <f t="shared" si="135"/>
        <v>0</v>
      </c>
      <c r="Z662" s="76"/>
    </row>
    <row r="663" spans="1:26" s="29" customFormat="1" ht="21" customHeight="1" thickBot="1" x14ac:dyDescent="0.25">
      <c r="A663" s="59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1"/>
      <c r="N663" s="77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9"/>
    </row>
    <row r="664" spans="1:26" ht="15.75" thickBot="1" x14ac:dyDescent="0.3"/>
    <row r="665" spans="1:26" s="29" customFormat="1" ht="21.4" customHeight="1" x14ac:dyDescent="0.2">
      <c r="A665" s="411" t="s">
        <v>41</v>
      </c>
      <c r="B665" s="412"/>
      <c r="C665" s="412"/>
      <c r="D665" s="412"/>
      <c r="E665" s="412"/>
      <c r="F665" s="412"/>
      <c r="G665" s="412"/>
      <c r="H665" s="412"/>
      <c r="I665" s="412"/>
      <c r="J665" s="412"/>
      <c r="K665" s="412"/>
      <c r="L665" s="413"/>
      <c r="M665" s="28"/>
      <c r="N665" s="64"/>
      <c r="O665" s="408" t="s">
        <v>43</v>
      </c>
      <c r="P665" s="409"/>
      <c r="Q665" s="409"/>
      <c r="R665" s="410"/>
      <c r="S665" s="65"/>
      <c r="T665" s="408" t="s">
        <v>44</v>
      </c>
      <c r="U665" s="409"/>
      <c r="V665" s="409"/>
      <c r="W665" s="409"/>
      <c r="X665" s="409"/>
      <c r="Y665" s="410"/>
      <c r="Z665" s="63"/>
    </row>
    <row r="666" spans="1:26" s="29" customFormat="1" ht="21.4" customHeight="1" x14ac:dyDescent="0.2">
      <c r="A666" s="30"/>
      <c r="C666" s="398" t="s">
        <v>85</v>
      </c>
      <c r="D666" s="398"/>
      <c r="E666" s="398"/>
      <c r="F666" s="398"/>
      <c r="G666" s="31" t="str">
        <f>$J$1</f>
        <v>April</v>
      </c>
      <c r="H666" s="397">
        <f>$K$1</f>
        <v>2023</v>
      </c>
      <c r="I666" s="397"/>
      <c r="K666" s="32"/>
      <c r="L666" s="33"/>
      <c r="M666" s="32"/>
      <c r="N666" s="67"/>
      <c r="O666" s="68" t="s">
        <v>54</v>
      </c>
      <c r="P666" s="68" t="s">
        <v>7</v>
      </c>
      <c r="Q666" s="68" t="s">
        <v>6</v>
      </c>
      <c r="R666" s="68" t="s">
        <v>55</v>
      </c>
      <c r="S666" s="69"/>
      <c r="T666" s="68" t="s">
        <v>54</v>
      </c>
      <c r="U666" s="68" t="s">
        <v>56</v>
      </c>
      <c r="V666" s="68" t="s">
        <v>21</v>
      </c>
      <c r="W666" s="68" t="s">
        <v>20</v>
      </c>
      <c r="X666" s="68" t="s">
        <v>22</v>
      </c>
      <c r="Y666" s="68" t="s">
        <v>60</v>
      </c>
      <c r="Z666" s="63"/>
    </row>
    <row r="667" spans="1:26" s="29" customFormat="1" ht="21.4" customHeight="1" x14ac:dyDescent="0.2">
      <c r="A667" s="30"/>
      <c r="D667" s="35"/>
      <c r="E667" s="35"/>
      <c r="F667" s="35"/>
      <c r="G667" s="35"/>
      <c r="H667" s="35"/>
      <c r="J667" s="36" t="s">
        <v>1</v>
      </c>
      <c r="K667" s="37">
        <v>30000</v>
      </c>
      <c r="L667" s="38"/>
      <c r="N667" s="71"/>
      <c r="O667" s="72" t="s">
        <v>46</v>
      </c>
      <c r="P667" s="72"/>
      <c r="Q667" s="72"/>
      <c r="R667" s="72">
        <v>0</v>
      </c>
      <c r="S667" s="73"/>
      <c r="T667" s="72" t="s">
        <v>46</v>
      </c>
      <c r="U667" s="74"/>
      <c r="V667" s="74"/>
      <c r="W667" s="74">
        <f>V667+U667</f>
        <v>0</v>
      </c>
      <c r="X667" s="74"/>
      <c r="Y667" s="74">
        <f>W667-X667</f>
        <v>0</v>
      </c>
      <c r="Z667" s="63"/>
    </row>
    <row r="668" spans="1:26" s="29" customFormat="1" ht="21.4" customHeight="1" x14ac:dyDescent="0.2">
      <c r="A668" s="30"/>
      <c r="B668" s="29" t="s">
        <v>0</v>
      </c>
      <c r="C668" s="40" t="s">
        <v>232</v>
      </c>
      <c r="H668" s="41"/>
      <c r="I668" s="35"/>
      <c r="L668" s="42"/>
      <c r="M668" s="28"/>
      <c r="N668" s="75"/>
      <c r="O668" s="72" t="s">
        <v>72</v>
      </c>
      <c r="P668" s="72"/>
      <c r="Q668" s="72"/>
      <c r="R668" s="72">
        <v>0</v>
      </c>
      <c r="S668" s="63"/>
      <c r="T668" s="72" t="s">
        <v>72</v>
      </c>
      <c r="U668" s="105">
        <f>Y667</f>
        <v>0</v>
      </c>
      <c r="V668" s="74"/>
      <c r="W668" s="105">
        <f>IF(U668="","",U668+V668)</f>
        <v>0</v>
      </c>
      <c r="X668" s="74"/>
      <c r="Y668" s="105">
        <f>IF(W668="","",W668-X668)</f>
        <v>0</v>
      </c>
      <c r="Z668" s="63"/>
    </row>
    <row r="669" spans="1:26" s="29" customFormat="1" ht="21.4" customHeight="1" x14ac:dyDescent="0.2">
      <c r="A669" s="30"/>
      <c r="B669" s="44" t="s">
        <v>42</v>
      </c>
      <c r="C669" s="45"/>
      <c r="F669" s="414" t="s">
        <v>44</v>
      </c>
      <c r="G669" s="414"/>
      <c r="I669" s="414" t="s">
        <v>45</v>
      </c>
      <c r="J669" s="414"/>
      <c r="K669" s="414"/>
      <c r="L669" s="46"/>
      <c r="N669" s="71"/>
      <c r="O669" s="72" t="s">
        <v>47</v>
      </c>
      <c r="P669" s="72"/>
      <c r="Q669" s="72"/>
      <c r="R669" s="72">
        <v>0</v>
      </c>
      <c r="S669" s="63"/>
      <c r="T669" s="72" t="s">
        <v>47</v>
      </c>
      <c r="U669" s="105">
        <f>Y668</f>
        <v>0</v>
      </c>
      <c r="V669" s="74"/>
      <c r="W669" s="105">
        <f t="shared" ref="W669:W670" si="136">IF(U669="","",U669+V669)</f>
        <v>0</v>
      </c>
      <c r="X669" s="74"/>
      <c r="Y669" s="105">
        <f t="shared" ref="Y669:Y670" si="137">IF(W669="","",W669-X669)</f>
        <v>0</v>
      </c>
      <c r="Z669" s="63"/>
    </row>
    <row r="670" spans="1:26" s="29" customFormat="1" ht="21.4" customHeight="1" x14ac:dyDescent="0.2">
      <c r="A670" s="30"/>
      <c r="H670" s="47"/>
      <c r="L670" s="34"/>
      <c r="N670" s="71"/>
      <c r="O670" s="72" t="s">
        <v>48</v>
      </c>
      <c r="P670" s="72">
        <v>25</v>
      </c>
      <c r="Q670" s="72">
        <v>5</v>
      </c>
      <c r="R670" s="72">
        <v>0</v>
      </c>
      <c r="S670" s="63"/>
      <c r="T670" s="72" t="s">
        <v>48</v>
      </c>
      <c r="U670" s="105">
        <f>IF($J$1="March","",Y669)</f>
        <v>0</v>
      </c>
      <c r="V670" s="74">
        <v>30000</v>
      </c>
      <c r="W670" s="105">
        <f t="shared" si="136"/>
        <v>30000</v>
      </c>
      <c r="X670" s="74">
        <v>30000</v>
      </c>
      <c r="Y670" s="105">
        <f t="shared" si="137"/>
        <v>0</v>
      </c>
      <c r="Z670" s="63"/>
    </row>
    <row r="671" spans="1:26" s="29" customFormat="1" ht="21.4" customHeight="1" x14ac:dyDescent="0.2">
      <c r="A671" s="30"/>
      <c r="B671" s="392" t="s">
        <v>43</v>
      </c>
      <c r="C671" s="393"/>
      <c r="F671" s="48" t="s">
        <v>65</v>
      </c>
      <c r="G671" s="43">
        <f>IF($J$1="January",U667,IF($J$1="February",U668,IF($J$1="March",U669,IF($J$1="April",U670,IF($J$1="May",U671,IF($J$1="June",U672,IF($J$1="July",U673,IF($J$1="August",U674,IF($J$1="August",U674,IF($J$1="September",U675,IF($J$1="October",U676,IF($J$1="November",U677,IF($J$1="December",U678)))))))))))))</f>
        <v>0</v>
      </c>
      <c r="H671" s="47"/>
      <c r="I671" s="49">
        <f>IF(C675&gt;0,$K$2,C673)</f>
        <v>25</v>
      </c>
      <c r="J671" s="50" t="s">
        <v>62</v>
      </c>
      <c r="K671" s="51">
        <f>K667/$K$2*I671</f>
        <v>25000</v>
      </c>
      <c r="L671" s="52"/>
      <c r="N671" s="71"/>
      <c r="O671" s="72" t="s">
        <v>49</v>
      </c>
      <c r="P671" s="72"/>
      <c r="Q671" s="72"/>
      <c r="R671" s="72">
        <v>0</v>
      </c>
      <c r="S671" s="63"/>
      <c r="T671" s="72" t="s">
        <v>49</v>
      </c>
      <c r="U671" s="105"/>
      <c r="V671" s="74"/>
      <c r="W671" s="105"/>
      <c r="X671" s="74"/>
      <c r="Y671" s="105"/>
      <c r="Z671" s="63"/>
    </row>
    <row r="672" spans="1:26" s="29" customFormat="1" ht="21.4" customHeight="1" x14ac:dyDescent="0.2">
      <c r="A672" s="30"/>
      <c r="B672" s="39"/>
      <c r="C672" s="39"/>
      <c r="F672" s="48" t="s">
        <v>21</v>
      </c>
      <c r="G672" s="43">
        <f>IF($J$1="January",V667,IF($J$1="February",V668,IF($J$1="March",V669,IF($J$1="April",V670,IF($J$1="May",V671,IF($J$1="June",V672,IF($J$1="July",V673,IF($J$1="August",V674,IF($J$1="August",V674,IF($J$1="September",V675,IF($J$1="October",V676,IF($J$1="November",V677,IF($J$1="December",V678)))))))))))))</f>
        <v>30000</v>
      </c>
      <c r="H672" s="47"/>
      <c r="I672" s="84">
        <v>42</v>
      </c>
      <c r="J672" s="50" t="s">
        <v>63</v>
      </c>
      <c r="K672" s="53">
        <f>K667/$K$2/8*I672</f>
        <v>5250</v>
      </c>
      <c r="L672" s="54"/>
      <c r="N672" s="71"/>
      <c r="O672" s="72" t="s">
        <v>50</v>
      </c>
      <c r="P672" s="72"/>
      <c r="Q672" s="72"/>
      <c r="R672" s="72">
        <v>0</v>
      </c>
      <c r="S672" s="63"/>
      <c r="T672" s="72" t="s">
        <v>50</v>
      </c>
      <c r="U672" s="105"/>
      <c r="V672" s="74"/>
      <c r="W672" s="105"/>
      <c r="X672" s="74"/>
      <c r="Y672" s="105"/>
      <c r="Z672" s="63"/>
    </row>
    <row r="673" spans="1:26" s="29" customFormat="1" ht="21.4" customHeight="1" x14ac:dyDescent="0.2">
      <c r="A673" s="30"/>
      <c r="B673" s="48" t="s">
        <v>7</v>
      </c>
      <c r="C673" s="39">
        <f>IF($J$1="January",P667,IF($J$1="February",P668,IF($J$1="March",P669,IF($J$1="April",P670,IF($J$1="May",P671,IF($J$1="June",P672,IF($J$1="July",P673,IF($J$1="August",P674,IF($J$1="August",P674,IF($J$1="September",P675,IF($J$1="October",P676,IF($J$1="November",P677,IF($J$1="December",P678)))))))))))))</f>
        <v>25</v>
      </c>
      <c r="F673" s="48" t="s">
        <v>66</v>
      </c>
      <c r="G673" s="43">
        <f>IF($J$1="January",W667,IF($J$1="February",W668,IF($J$1="March",W669,IF($J$1="April",W670,IF($J$1="May",W671,IF($J$1="June",W672,IF($J$1="July",W673,IF($J$1="August",W674,IF($J$1="August",W674,IF($J$1="September",W675,IF($J$1="October",W676,IF($J$1="November",W677,IF($J$1="December",W678)))))))))))))</f>
        <v>30000</v>
      </c>
      <c r="H673" s="47"/>
      <c r="I673" s="405" t="s">
        <v>70</v>
      </c>
      <c r="J673" s="406"/>
      <c r="K673" s="53">
        <f>K671+K672</f>
        <v>30250</v>
      </c>
      <c r="L673" s="54"/>
      <c r="N673" s="71"/>
      <c r="O673" s="72" t="s">
        <v>51</v>
      </c>
      <c r="P673" s="72"/>
      <c r="Q673" s="72"/>
      <c r="R673" s="72">
        <v>0</v>
      </c>
      <c r="S673" s="63"/>
      <c r="T673" s="72" t="s">
        <v>51</v>
      </c>
      <c r="U673" s="105"/>
      <c r="V673" s="74"/>
      <c r="W673" s="105"/>
      <c r="X673" s="74"/>
      <c r="Y673" s="105"/>
      <c r="Z673" s="63"/>
    </row>
    <row r="674" spans="1:26" s="29" customFormat="1" ht="21.4" customHeight="1" x14ac:dyDescent="0.2">
      <c r="A674" s="30"/>
      <c r="B674" s="48" t="s">
        <v>6</v>
      </c>
      <c r="C674" s="39">
        <f>IF($J$1="January",Q667,IF($J$1="February",Q668,IF($J$1="March",Q669,IF($J$1="April",Q670,IF($J$1="May",Q671,IF($J$1="June",Q672,IF($J$1="July",Q673,IF($J$1="August",Q674,IF($J$1="August",Q674,IF($J$1="September",Q675,IF($J$1="October",Q676,IF($J$1="November",Q677,IF($J$1="December",Q678)))))))))))))</f>
        <v>5</v>
      </c>
      <c r="F674" s="48" t="s">
        <v>22</v>
      </c>
      <c r="G674" s="43">
        <f>IF($J$1="January",X667,IF($J$1="February",X668,IF($J$1="March",X669,IF($J$1="April",X670,IF($J$1="May",X671,IF($J$1="June",X672,IF($J$1="July",X673,IF($J$1="August",X674,IF($J$1="August",X674,IF($J$1="September",X675,IF($J$1="October",X676,IF($J$1="November",X677,IF($J$1="December",X678)))))))))))))</f>
        <v>30000</v>
      </c>
      <c r="H674" s="47"/>
      <c r="I674" s="405" t="s">
        <v>71</v>
      </c>
      <c r="J674" s="406"/>
      <c r="K674" s="43">
        <f>G674</f>
        <v>30000</v>
      </c>
      <c r="L674" s="55"/>
      <c r="N674" s="71"/>
      <c r="O674" s="72" t="s">
        <v>52</v>
      </c>
      <c r="P674" s="72"/>
      <c r="Q674" s="72"/>
      <c r="R674" s="72">
        <v>0</v>
      </c>
      <c r="S674" s="63"/>
      <c r="T674" s="72" t="s">
        <v>52</v>
      </c>
      <c r="U674" s="105"/>
      <c r="V674" s="74"/>
      <c r="W674" s="105"/>
      <c r="X674" s="74"/>
      <c r="Y674" s="105"/>
      <c r="Z674" s="63"/>
    </row>
    <row r="675" spans="1:26" s="29" customFormat="1" ht="21.4" customHeight="1" x14ac:dyDescent="0.2">
      <c r="A675" s="30"/>
      <c r="B675" s="56" t="s">
        <v>69</v>
      </c>
      <c r="C675" s="39">
        <f>IF($J$1="January",R667,IF($J$1="February",R668,IF($J$1="March",R669,IF($J$1="April",R670,IF($J$1="May",R671,IF($J$1="June",R672,IF($J$1="July",R673,IF($J$1="August",R674,IF($J$1="August",R674,IF($J$1="September",R675,IF($J$1="October",R676,IF($J$1="November",R677,IF($J$1="December",R678)))))))))))))</f>
        <v>0</v>
      </c>
      <c r="F675" s="48" t="s">
        <v>68</v>
      </c>
      <c r="G675" s="43">
        <f>IF($J$1="January",Y667,IF($J$1="February",Y668,IF($J$1="March",Y669,IF($J$1="April",Y670,IF($J$1="May",Y671,IF($J$1="June",Y672,IF($J$1="July",Y673,IF($J$1="August",Y674,IF($J$1="August",Y674,IF($J$1="September",Y675,IF($J$1="October",Y676,IF($J$1="November",Y677,IF($J$1="December",Y678)))))))))))))</f>
        <v>0</v>
      </c>
      <c r="I675" s="394" t="s">
        <v>64</v>
      </c>
      <c r="J675" s="396"/>
      <c r="K675" s="57">
        <f>K673-K674</f>
        <v>250</v>
      </c>
      <c r="L675" s="58"/>
      <c r="N675" s="71"/>
      <c r="O675" s="72" t="s">
        <v>57</v>
      </c>
      <c r="P675" s="72"/>
      <c r="Q675" s="72"/>
      <c r="R675" s="72" t="str">
        <f t="shared" ref="R675:R677" si="138">IF(Q675="","",R674-Q675)</f>
        <v/>
      </c>
      <c r="S675" s="63"/>
      <c r="T675" s="72" t="s">
        <v>57</v>
      </c>
      <c r="U675" s="105"/>
      <c r="V675" s="74"/>
      <c r="W675" s="105"/>
      <c r="X675" s="74"/>
      <c r="Y675" s="105"/>
      <c r="Z675" s="63"/>
    </row>
    <row r="676" spans="1:26" s="29" customFormat="1" ht="21.4" customHeight="1" x14ac:dyDescent="0.2">
      <c r="A676" s="30"/>
      <c r="K676" s="107"/>
      <c r="L676" s="46"/>
      <c r="N676" s="71"/>
      <c r="O676" s="72" t="s">
        <v>53</v>
      </c>
      <c r="P676" s="72"/>
      <c r="Q676" s="72"/>
      <c r="R676" s="72" t="str">
        <f t="shared" si="138"/>
        <v/>
      </c>
      <c r="S676" s="63"/>
      <c r="T676" s="72" t="s">
        <v>53</v>
      </c>
      <c r="U676" s="105"/>
      <c r="V676" s="74"/>
      <c r="W676" s="105"/>
      <c r="X676" s="74"/>
      <c r="Y676" s="105"/>
      <c r="Z676" s="63"/>
    </row>
    <row r="677" spans="1:26" s="29" customFormat="1" ht="21.4" customHeight="1" x14ac:dyDescent="0.2">
      <c r="A677" s="30"/>
      <c r="B677" s="407" t="s">
        <v>87</v>
      </c>
      <c r="C677" s="407"/>
      <c r="D677" s="407"/>
      <c r="E677" s="407"/>
      <c r="F677" s="407"/>
      <c r="G677" s="407"/>
      <c r="H677" s="407"/>
      <c r="I677" s="407"/>
      <c r="J677" s="407"/>
      <c r="K677" s="407"/>
      <c r="L677" s="46"/>
      <c r="N677" s="71"/>
      <c r="O677" s="72" t="s">
        <v>58</v>
      </c>
      <c r="P677" s="72"/>
      <c r="Q677" s="72"/>
      <c r="R677" s="72" t="str">
        <f t="shared" si="138"/>
        <v/>
      </c>
      <c r="S677" s="63"/>
      <c r="T677" s="72" t="s">
        <v>58</v>
      </c>
      <c r="U677" s="105"/>
      <c r="V677" s="74"/>
      <c r="W677" s="105"/>
      <c r="X677" s="74"/>
      <c r="Y677" s="105"/>
      <c r="Z677" s="63"/>
    </row>
    <row r="678" spans="1:26" s="29" customFormat="1" ht="21.4" customHeight="1" x14ac:dyDescent="0.2">
      <c r="A678" s="30"/>
      <c r="B678" s="407"/>
      <c r="C678" s="407"/>
      <c r="D678" s="407"/>
      <c r="E678" s="407"/>
      <c r="F678" s="407"/>
      <c r="G678" s="407"/>
      <c r="H678" s="407"/>
      <c r="I678" s="407"/>
      <c r="J678" s="407"/>
      <c r="K678" s="407"/>
      <c r="L678" s="46"/>
      <c r="N678" s="71"/>
      <c r="O678" s="72" t="s">
        <v>59</v>
      </c>
      <c r="P678" s="72">
        <f>31-10</f>
        <v>21</v>
      </c>
      <c r="Q678" s="72">
        <v>10</v>
      </c>
      <c r="R678" s="72">
        <v>0</v>
      </c>
      <c r="S678" s="63"/>
      <c r="T678" s="72" t="s">
        <v>59</v>
      </c>
      <c r="U678" s="105"/>
      <c r="V678" s="74"/>
      <c r="W678" s="105"/>
      <c r="X678" s="74"/>
      <c r="Y678" s="105"/>
      <c r="Z678" s="63"/>
    </row>
    <row r="679" spans="1:26" s="29" customFormat="1" ht="21.4" customHeight="1" thickBot="1" x14ac:dyDescent="0.25">
      <c r="A679" s="59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1"/>
      <c r="N679" s="77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63"/>
    </row>
    <row r="680" spans="1:26" s="29" customFormat="1" ht="21" customHeight="1" thickBot="1" x14ac:dyDescent="0.25"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 spans="1:26" s="29" customFormat="1" ht="21.4" customHeight="1" x14ac:dyDescent="0.2">
      <c r="A681" s="411" t="s">
        <v>41</v>
      </c>
      <c r="B681" s="412"/>
      <c r="C681" s="412"/>
      <c r="D681" s="412"/>
      <c r="E681" s="412"/>
      <c r="F681" s="412"/>
      <c r="G681" s="412"/>
      <c r="H681" s="412"/>
      <c r="I681" s="412"/>
      <c r="J681" s="412"/>
      <c r="K681" s="412"/>
      <c r="L681" s="413"/>
      <c r="M681" s="28"/>
      <c r="N681" s="64"/>
      <c r="O681" s="408" t="s">
        <v>43</v>
      </c>
      <c r="P681" s="409"/>
      <c r="Q681" s="409"/>
      <c r="R681" s="410"/>
      <c r="S681" s="65"/>
      <c r="T681" s="408" t="s">
        <v>44</v>
      </c>
      <c r="U681" s="409"/>
      <c r="V681" s="409"/>
      <c r="W681" s="409"/>
      <c r="X681" s="409"/>
      <c r="Y681" s="410"/>
      <c r="Z681" s="63"/>
    </row>
    <row r="682" spans="1:26" s="29" customFormat="1" ht="21.4" customHeight="1" x14ac:dyDescent="0.2">
      <c r="A682" s="30"/>
      <c r="C682" s="398" t="s">
        <v>85</v>
      </c>
      <c r="D682" s="398"/>
      <c r="E682" s="398"/>
      <c r="F682" s="398"/>
      <c r="G682" s="31" t="str">
        <f>$J$1</f>
        <v>April</v>
      </c>
      <c r="H682" s="397">
        <f>$K$1</f>
        <v>2023</v>
      </c>
      <c r="I682" s="397"/>
      <c r="K682" s="32"/>
      <c r="L682" s="33"/>
      <c r="M682" s="32"/>
      <c r="N682" s="67"/>
      <c r="O682" s="68" t="s">
        <v>54</v>
      </c>
      <c r="P682" s="68" t="s">
        <v>7</v>
      </c>
      <c r="Q682" s="68" t="s">
        <v>6</v>
      </c>
      <c r="R682" s="68" t="s">
        <v>55</v>
      </c>
      <c r="S682" s="69"/>
      <c r="T682" s="68" t="s">
        <v>54</v>
      </c>
      <c r="U682" s="68" t="s">
        <v>56</v>
      </c>
      <c r="V682" s="68" t="s">
        <v>21</v>
      </c>
      <c r="W682" s="68" t="s">
        <v>20</v>
      </c>
      <c r="X682" s="68" t="s">
        <v>22</v>
      </c>
      <c r="Y682" s="68" t="s">
        <v>60</v>
      </c>
      <c r="Z682" s="63"/>
    </row>
    <row r="683" spans="1:26" s="29" customFormat="1" ht="21.4" customHeight="1" x14ac:dyDescent="0.2">
      <c r="A683" s="30"/>
      <c r="D683" s="35"/>
      <c r="E683" s="35"/>
      <c r="F683" s="35"/>
      <c r="G683" s="35"/>
      <c r="H683" s="35"/>
      <c r="J683" s="36" t="s">
        <v>1</v>
      </c>
      <c r="K683" s="37"/>
      <c r="L683" s="38"/>
      <c r="N683" s="71"/>
      <c r="O683" s="72" t="s">
        <v>46</v>
      </c>
      <c r="P683" s="72"/>
      <c r="Q683" s="72"/>
      <c r="R683" s="72">
        <v>15</v>
      </c>
      <c r="S683" s="73"/>
      <c r="T683" s="72" t="s">
        <v>46</v>
      </c>
      <c r="U683" s="74"/>
      <c r="V683" s="74"/>
      <c r="W683" s="74"/>
      <c r="X683" s="74"/>
      <c r="Y683" s="74"/>
      <c r="Z683" s="63"/>
    </row>
    <row r="684" spans="1:26" s="29" customFormat="1" ht="21.4" customHeight="1" x14ac:dyDescent="0.2">
      <c r="A684" s="30"/>
      <c r="B684" s="29" t="s">
        <v>0</v>
      </c>
      <c r="C684" s="40"/>
      <c r="H684" s="41"/>
      <c r="I684" s="35"/>
      <c r="L684" s="42"/>
      <c r="M684" s="28"/>
      <c r="N684" s="75"/>
      <c r="O684" s="72" t="s">
        <v>72</v>
      </c>
      <c r="P684" s="72"/>
      <c r="Q684" s="72"/>
      <c r="R684" s="72">
        <f>R683-Q684</f>
        <v>15</v>
      </c>
      <c r="S684" s="63"/>
      <c r="T684" s="72" t="s">
        <v>72</v>
      </c>
      <c r="U684" s="105"/>
      <c r="V684" s="74"/>
      <c r="W684" s="105" t="str">
        <f>IF(U684="","",U684+V684)</f>
        <v/>
      </c>
      <c r="X684" s="74"/>
      <c r="Y684" s="105" t="str">
        <f>IF(W684="","",W684-X684)</f>
        <v/>
      </c>
      <c r="Z684" s="63"/>
    </row>
    <row r="685" spans="1:26" s="29" customFormat="1" ht="21.4" customHeight="1" x14ac:dyDescent="0.2">
      <c r="A685" s="30"/>
      <c r="B685" s="44" t="s">
        <v>42</v>
      </c>
      <c r="C685" s="45"/>
      <c r="F685" s="414" t="s">
        <v>44</v>
      </c>
      <c r="G685" s="414"/>
      <c r="I685" s="414" t="s">
        <v>45</v>
      </c>
      <c r="J685" s="414"/>
      <c r="K685" s="414"/>
      <c r="L685" s="46"/>
      <c r="N685" s="71"/>
      <c r="O685" s="72" t="s">
        <v>47</v>
      </c>
      <c r="P685" s="72"/>
      <c r="Q685" s="72"/>
      <c r="R685" s="72">
        <v>0</v>
      </c>
      <c r="S685" s="63"/>
      <c r="T685" s="72" t="s">
        <v>47</v>
      </c>
      <c r="U685" s="105"/>
      <c r="V685" s="74"/>
      <c r="W685" s="105" t="str">
        <f t="shared" ref="W685:W694" si="139">IF(U685="","",U685+V685)</f>
        <v/>
      </c>
      <c r="X685" s="74"/>
      <c r="Y685" s="105" t="str">
        <f t="shared" ref="Y685:Y694" si="140">IF(W685="","",W685-X685)</f>
        <v/>
      </c>
      <c r="Z685" s="63"/>
    </row>
    <row r="686" spans="1:26" s="29" customFormat="1" ht="21.4" customHeight="1" x14ac:dyDescent="0.2">
      <c r="A686" s="30"/>
      <c r="H686" s="47"/>
      <c r="L686" s="34"/>
      <c r="N686" s="71"/>
      <c r="O686" s="72" t="s">
        <v>48</v>
      </c>
      <c r="P686" s="72"/>
      <c r="Q686" s="72"/>
      <c r="R686" s="72" t="str">
        <f t="shared" ref="R686:R694" si="141">IF(Q686="","",R685-Q686)</f>
        <v/>
      </c>
      <c r="S686" s="63"/>
      <c r="T686" s="72" t="s">
        <v>48</v>
      </c>
      <c r="U686" s="105"/>
      <c r="V686" s="74"/>
      <c r="W686" s="105" t="str">
        <f t="shared" si="139"/>
        <v/>
      </c>
      <c r="X686" s="74"/>
      <c r="Y686" s="105" t="str">
        <f t="shared" si="140"/>
        <v/>
      </c>
      <c r="Z686" s="63"/>
    </row>
    <row r="687" spans="1:26" s="29" customFormat="1" ht="21.4" customHeight="1" x14ac:dyDescent="0.2">
      <c r="A687" s="30"/>
      <c r="B687" s="392" t="s">
        <v>43</v>
      </c>
      <c r="C687" s="393"/>
      <c r="F687" s="48" t="s">
        <v>65</v>
      </c>
      <c r="G687" s="43">
        <f>IF($J$1="January",U683,IF($J$1="February",U684,IF($J$1="March",U685,IF($J$1="April",U686,IF($J$1="May",U687,IF($J$1="June",U688,IF($J$1="July",U689,IF($J$1="August",U690,IF($J$1="August",U690,IF($J$1="September",U691,IF($J$1="October",U692,IF($J$1="November",U693,IF($J$1="December",U694)))))))))))))</f>
        <v>0</v>
      </c>
      <c r="H687" s="47"/>
      <c r="I687" s="49">
        <f>IF(C691&gt;0,$K$2,C689)</f>
        <v>30</v>
      </c>
      <c r="J687" s="50" t="s">
        <v>62</v>
      </c>
      <c r="K687" s="51">
        <f>K683/$K$2*I687</f>
        <v>0</v>
      </c>
      <c r="L687" s="52"/>
      <c r="N687" s="71"/>
      <c r="O687" s="72" t="s">
        <v>49</v>
      </c>
      <c r="P687" s="72"/>
      <c r="Q687" s="72"/>
      <c r="R687" s="72" t="str">
        <f t="shared" si="141"/>
        <v/>
      </c>
      <c r="S687" s="63"/>
      <c r="T687" s="72" t="s">
        <v>49</v>
      </c>
      <c r="U687" s="105"/>
      <c r="V687" s="74"/>
      <c r="W687" s="105" t="str">
        <f t="shared" si="139"/>
        <v/>
      </c>
      <c r="X687" s="74"/>
      <c r="Y687" s="105" t="str">
        <f t="shared" si="140"/>
        <v/>
      </c>
      <c r="Z687" s="63"/>
    </row>
    <row r="688" spans="1:26" s="29" customFormat="1" ht="21.4" customHeight="1" x14ac:dyDescent="0.2">
      <c r="A688" s="30"/>
      <c r="B688" s="39"/>
      <c r="C688" s="39"/>
      <c r="F688" s="48" t="s">
        <v>21</v>
      </c>
      <c r="G688" s="43">
        <f>IF($J$1="January",V683,IF($J$1="February",V684,IF($J$1="March",V685,IF($J$1="April",V686,IF($J$1="May",V687,IF($J$1="June",V688,IF($J$1="July",V689,IF($J$1="August",V690,IF($J$1="August",V690,IF($J$1="September",V691,IF($J$1="October",V692,IF($J$1="November",V693,IF($J$1="December",V694)))))))))))))</f>
        <v>0</v>
      </c>
      <c r="H688" s="47"/>
      <c r="I688" s="84"/>
      <c r="J688" s="50" t="s">
        <v>63</v>
      </c>
      <c r="K688" s="53">
        <f>K683/$K$2/8*I688</f>
        <v>0</v>
      </c>
      <c r="L688" s="54"/>
      <c r="N688" s="71"/>
      <c r="O688" s="72" t="s">
        <v>50</v>
      </c>
      <c r="P688" s="72"/>
      <c r="Q688" s="72"/>
      <c r="R688" s="72" t="str">
        <f t="shared" si="141"/>
        <v/>
      </c>
      <c r="S688" s="63"/>
      <c r="T688" s="72" t="s">
        <v>50</v>
      </c>
      <c r="U688" s="105"/>
      <c r="V688" s="74"/>
      <c r="W688" s="105" t="str">
        <f t="shared" si="139"/>
        <v/>
      </c>
      <c r="X688" s="74"/>
      <c r="Y688" s="105" t="str">
        <f t="shared" si="140"/>
        <v/>
      </c>
      <c r="Z688" s="63"/>
    </row>
    <row r="689" spans="1:26" s="29" customFormat="1" ht="21.4" customHeight="1" x14ac:dyDescent="0.2">
      <c r="A689" s="30"/>
      <c r="B689" s="48" t="s">
        <v>7</v>
      </c>
      <c r="C689" s="39">
        <f>IF($J$1="January",P683,IF($J$1="February",P684,IF($J$1="March",P685,IF($J$1="April",P686,IF($J$1="May",P687,IF($J$1="June",P688,IF($J$1="July",P689,IF($J$1="August",P690,IF($J$1="August",P690,IF($J$1="September",P691,IF($J$1="October",P692,IF($J$1="November",P693,IF($J$1="December",P694)))))))))))))</f>
        <v>0</v>
      </c>
      <c r="F689" s="48" t="s">
        <v>66</v>
      </c>
      <c r="G689" s="43" t="str">
        <f>IF($J$1="January",W683,IF($J$1="February",W684,IF($J$1="March",W685,IF($J$1="April",W686,IF($J$1="May",W687,IF($J$1="June",W688,IF($J$1="July",W689,IF($J$1="August",W690,IF($J$1="August",W690,IF($J$1="September",W691,IF($J$1="October",W692,IF($J$1="November",W693,IF($J$1="December",W694)))))))))))))</f>
        <v/>
      </c>
      <c r="H689" s="47"/>
      <c r="I689" s="405" t="s">
        <v>70</v>
      </c>
      <c r="J689" s="406"/>
      <c r="K689" s="53">
        <f>K687+K688</f>
        <v>0</v>
      </c>
      <c r="L689" s="54"/>
      <c r="N689" s="71"/>
      <c r="O689" s="72" t="s">
        <v>51</v>
      </c>
      <c r="P689" s="72"/>
      <c r="Q689" s="72"/>
      <c r="R689" s="72" t="str">
        <f t="shared" si="141"/>
        <v/>
      </c>
      <c r="S689" s="63"/>
      <c r="T689" s="72" t="s">
        <v>51</v>
      </c>
      <c r="U689" s="105"/>
      <c r="V689" s="74"/>
      <c r="W689" s="105" t="str">
        <f t="shared" si="139"/>
        <v/>
      </c>
      <c r="X689" s="74"/>
      <c r="Y689" s="105" t="str">
        <f t="shared" si="140"/>
        <v/>
      </c>
      <c r="Z689" s="63"/>
    </row>
    <row r="690" spans="1:26" s="29" customFormat="1" ht="21.4" customHeight="1" x14ac:dyDescent="0.2">
      <c r="A690" s="30"/>
      <c r="B690" s="48" t="s">
        <v>6</v>
      </c>
      <c r="C690" s="39">
        <f>IF($J$1="January",Q683,IF($J$1="February",Q684,IF($J$1="March",Q685,IF($J$1="April",Q686,IF($J$1="May",Q687,IF($J$1="June",Q688,IF($J$1="July",Q689,IF($J$1="August",Q690,IF($J$1="August",Q690,IF($J$1="September",Q691,IF($J$1="October",Q692,IF($J$1="November",Q693,IF($J$1="December",Q694)))))))))))))</f>
        <v>0</v>
      </c>
      <c r="F690" s="48" t="s">
        <v>22</v>
      </c>
      <c r="G690" s="43">
        <f>IF($J$1="January",X683,IF($J$1="February",X684,IF($J$1="March",X685,IF($J$1="April",X686,IF($J$1="May",X687,IF($J$1="June",X688,IF($J$1="July",X689,IF($J$1="August",X690,IF($J$1="August",X690,IF($J$1="September",X691,IF($J$1="October",X692,IF($J$1="November",X693,IF($J$1="December",X694)))))))))))))</f>
        <v>0</v>
      </c>
      <c r="H690" s="47"/>
      <c r="I690" s="405" t="s">
        <v>71</v>
      </c>
      <c r="J690" s="406"/>
      <c r="K690" s="43">
        <f>G690</f>
        <v>0</v>
      </c>
      <c r="L690" s="55"/>
      <c r="N690" s="71"/>
      <c r="O690" s="72" t="s">
        <v>52</v>
      </c>
      <c r="P690" s="72"/>
      <c r="Q690" s="72"/>
      <c r="R690" s="72" t="str">
        <f t="shared" si="141"/>
        <v/>
      </c>
      <c r="S690" s="63"/>
      <c r="T690" s="72" t="s">
        <v>52</v>
      </c>
      <c r="U690" s="105"/>
      <c r="V690" s="74"/>
      <c r="W690" s="105" t="str">
        <f t="shared" si="139"/>
        <v/>
      </c>
      <c r="X690" s="74"/>
      <c r="Y690" s="105" t="str">
        <f t="shared" si="140"/>
        <v/>
      </c>
      <c r="Z690" s="63"/>
    </row>
    <row r="691" spans="1:26" s="29" customFormat="1" ht="21.4" customHeight="1" x14ac:dyDescent="0.2">
      <c r="A691" s="30"/>
      <c r="B691" s="56" t="s">
        <v>69</v>
      </c>
      <c r="C691" s="39" t="str">
        <f>IF($J$1="January",R683,IF($J$1="February",R684,IF($J$1="March",R685,IF($J$1="April",R686,IF($J$1="May",R687,IF($J$1="June",R688,IF($J$1="July",R689,IF($J$1="August",R690,IF($J$1="August",R690,IF($J$1="September",R691,IF($J$1="October",R692,IF($J$1="November",R693,IF($J$1="December",R694)))))))))))))</f>
        <v/>
      </c>
      <c r="F691" s="48" t="s">
        <v>68</v>
      </c>
      <c r="G691" s="43" t="str">
        <f>IF($J$1="January",Y683,IF($J$1="February",Y684,IF($J$1="March",Y685,IF($J$1="April",Y686,IF($J$1="May",Y687,IF($J$1="June",Y688,IF($J$1="July",Y689,IF($J$1="August",Y690,IF($J$1="August",Y690,IF($J$1="September",Y691,IF($J$1="October",Y692,IF($J$1="November",Y693,IF($J$1="December",Y694)))))))))))))</f>
        <v/>
      </c>
      <c r="I691" s="394" t="s">
        <v>64</v>
      </c>
      <c r="J691" s="396"/>
      <c r="K691" s="57">
        <f>K689-K690</f>
        <v>0</v>
      </c>
      <c r="L691" s="58"/>
      <c r="N691" s="71"/>
      <c r="O691" s="72" t="s">
        <v>57</v>
      </c>
      <c r="P691" s="72"/>
      <c r="Q691" s="72"/>
      <c r="R691" s="72" t="str">
        <f t="shared" si="141"/>
        <v/>
      </c>
      <c r="S691" s="63"/>
      <c r="T691" s="72" t="s">
        <v>57</v>
      </c>
      <c r="U691" s="105"/>
      <c r="V691" s="74"/>
      <c r="W691" s="105" t="str">
        <f t="shared" si="139"/>
        <v/>
      </c>
      <c r="X691" s="74"/>
      <c r="Y691" s="105" t="str">
        <f t="shared" si="140"/>
        <v/>
      </c>
      <c r="Z691" s="63"/>
    </row>
    <row r="692" spans="1:26" s="29" customFormat="1" ht="21.4" customHeight="1" x14ac:dyDescent="0.2">
      <c r="A692" s="30"/>
      <c r="J692" s="107"/>
      <c r="K692" s="107"/>
      <c r="L692" s="46"/>
      <c r="N692" s="71"/>
      <c r="O692" s="72" t="s">
        <v>53</v>
      </c>
      <c r="P692" s="72"/>
      <c r="Q692" s="72"/>
      <c r="R692" s="72" t="str">
        <f t="shared" si="141"/>
        <v/>
      </c>
      <c r="S692" s="63"/>
      <c r="T692" s="72" t="s">
        <v>53</v>
      </c>
      <c r="U692" s="105"/>
      <c r="V692" s="74"/>
      <c r="W692" s="105" t="str">
        <f t="shared" si="139"/>
        <v/>
      </c>
      <c r="X692" s="74"/>
      <c r="Y692" s="105" t="str">
        <f t="shared" si="140"/>
        <v/>
      </c>
      <c r="Z692" s="63"/>
    </row>
    <row r="693" spans="1:26" s="29" customFormat="1" ht="21.4" customHeight="1" x14ac:dyDescent="0.2">
      <c r="A693" s="30"/>
      <c r="B693" s="407" t="s">
        <v>87</v>
      </c>
      <c r="C693" s="407"/>
      <c r="D693" s="407"/>
      <c r="E693" s="407"/>
      <c r="F693" s="407"/>
      <c r="G693" s="407"/>
      <c r="H693" s="407"/>
      <c r="I693" s="407"/>
      <c r="J693" s="407"/>
      <c r="K693" s="407"/>
      <c r="L693" s="46"/>
      <c r="N693" s="71"/>
      <c r="O693" s="72" t="s">
        <v>58</v>
      </c>
      <c r="P693" s="72"/>
      <c r="Q693" s="72"/>
      <c r="R693" s="72" t="str">
        <f t="shared" si="141"/>
        <v/>
      </c>
      <c r="S693" s="63"/>
      <c r="T693" s="72" t="s">
        <v>58</v>
      </c>
      <c r="U693" s="105"/>
      <c r="V693" s="74"/>
      <c r="W693" s="105" t="str">
        <f t="shared" si="139"/>
        <v/>
      </c>
      <c r="X693" s="74"/>
      <c r="Y693" s="105" t="str">
        <f t="shared" si="140"/>
        <v/>
      </c>
      <c r="Z693" s="63"/>
    </row>
    <row r="694" spans="1:26" s="29" customFormat="1" ht="21.4" customHeight="1" x14ac:dyDescent="0.2">
      <c r="A694" s="30"/>
      <c r="B694" s="407"/>
      <c r="C694" s="407"/>
      <c r="D694" s="407"/>
      <c r="E694" s="407"/>
      <c r="F694" s="407"/>
      <c r="G694" s="407"/>
      <c r="H694" s="407"/>
      <c r="I694" s="407"/>
      <c r="J694" s="407"/>
      <c r="K694" s="407"/>
      <c r="L694" s="46"/>
      <c r="N694" s="71"/>
      <c r="O694" s="72" t="s">
        <v>59</v>
      </c>
      <c r="P694" s="72"/>
      <c r="Q694" s="72"/>
      <c r="R694" s="72" t="str">
        <f t="shared" si="141"/>
        <v/>
      </c>
      <c r="S694" s="63"/>
      <c r="T694" s="72" t="s">
        <v>59</v>
      </c>
      <c r="U694" s="105"/>
      <c r="V694" s="74"/>
      <c r="W694" s="105" t="str">
        <f t="shared" si="139"/>
        <v/>
      </c>
      <c r="X694" s="74"/>
      <c r="Y694" s="105" t="str">
        <f t="shared" si="140"/>
        <v/>
      </c>
      <c r="Z694" s="63"/>
    </row>
    <row r="695" spans="1:26" s="29" customFormat="1" ht="21.4" customHeight="1" thickBot="1" x14ac:dyDescent="0.25">
      <c r="A695" s="59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1"/>
      <c r="N695" s="77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63"/>
    </row>
    <row r="696" spans="1:26" s="29" customFormat="1" ht="21.4" customHeight="1" thickBot="1" x14ac:dyDescent="0.25"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 spans="1:26" s="29" customFormat="1" ht="21.4" customHeight="1" x14ac:dyDescent="0.2">
      <c r="A697" s="455" t="s">
        <v>41</v>
      </c>
      <c r="B697" s="456"/>
      <c r="C697" s="456"/>
      <c r="D697" s="456"/>
      <c r="E697" s="456"/>
      <c r="F697" s="456"/>
      <c r="G697" s="456"/>
      <c r="H697" s="456"/>
      <c r="I697" s="456"/>
      <c r="J697" s="456"/>
      <c r="K697" s="456"/>
      <c r="L697" s="457"/>
      <c r="M697" s="28"/>
      <c r="N697" s="64"/>
      <c r="O697" s="408" t="s">
        <v>43</v>
      </c>
      <c r="P697" s="409"/>
      <c r="Q697" s="409"/>
      <c r="R697" s="410"/>
      <c r="S697" s="65"/>
      <c r="T697" s="408" t="s">
        <v>44</v>
      </c>
      <c r="U697" s="409"/>
      <c r="V697" s="409"/>
      <c r="W697" s="409"/>
      <c r="X697" s="409"/>
      <c r="Y697" s="410"/>
      <c r="Z697" s="63"/>
    </row>
    <row r="698" spans="1:26" s="29" customFormat="1" ht="21.4" customHeight="1" x14ac:dyDescent="0.2">
      <c r="A698" s="30"/>
      <c r="C698" s="398" t="s">
        <v>85</v>
      </c>
      <c r="D698" s="398"/>
      <c r="E698" s="398"/>
      <c r="F698" s="398"/>
      <c r="G698" s="31" t="str">
        <f>$J$1</f>
        <v>April</v>
      </c>
      <c r="H698" s="397">
        <f>$K$1</f>
        <v>2023</v>
      </c>
      <c r="I698" s="397"/>
      <c r="K698" s="32"/>
      <c r="L698" s="33"/>
      <c r="M698" s="32"/>
      <c r="N698" s="67"/>
      <c r="O698" s="68" t="s">
        <v>54</v>
      </c>
      <c r="P698" s="68" t="s">
        <v>7</v>
      </c>
      <c r="Q698" s="68" t="s">
        <v>6</v>
      </c>
      <c r="R698" s="68" t="s">
        <v>55</v>
      </c>
      <c r="S698" s="69"/>
      <c r="T698" s="68" t="s">
        <v>54</v>
      </c>
      <c r="U698" s="68" t="s">
        <v>56</v>
      </c>
      <c r="V698" s="68" t="s">
        <v>21</v>
      </c>
      <c r="W698" s="68" t="s">
        <v>20</v>
      </c>
      <c r="X698" s="68" t="s">
        <v>22</v>
      </c>
      <c r="Y698" s="68" t="s">
        <v>60</v>
      </c>
      <c r="Z698" s="63"/>
    </row>
    <row r="699" spans="1:26" s="29" customFormat="1" ht="21.4" customHeight="1" x14ac:dyDescent="0.2">
      <c r="A699" s="30"/>
      <c r="D699" s="35"/>
      <c r="E699" s="35"/>
      <c r="F699" s="35"/>
      <c r="G699" s="35"/>
      <c r="H699" s="35"/>
      <c r="J699" s="36" t="s">
        <v>1</v>
      </c>
      <c r="K699" s="37"/>
      <c r="L699" s="38"/>
      <c r="N699" s="71"/>
      <c r="O699" s="72" t="s">
        <v>46</v>
      </c>
      <c r="P699" s="72"/>
      <c r="Q699" s="72"/>
      <c r="R699" s="72">
        <v>15</v>
      </c>
      <c r="S699" s="73"/>
      <c r="T699" s="72" t="s">
        <v>46</v>
      </c>
      <c r="U699" s="74"/>
      <c r="V699" s="74"/>
      <c r="W699" s="74"/>
      <c r="X699" s="74"/>
      <c r="Y699" s="74"/>
      <c r="Z699" s="63"/>
    </row>
    <row r="700" spans="1:26" s="29" customFormat="1" ht="21.4" customHeight="1" x14ac:dyDescent="0.2">
      <c r="A700" s="30"/>
      <c r="B700" s="29" t="s">
        <v>0</v>
      </c>
      <c r="C700" s="40"/>
      <c r="H700" s="41"/>
      <c r="I700" s="35"/>
      <c r="L700" s="42"/>
      <c r="M700" s="28"/>
      <c r="N700" s="75"/>
      <c r="O700" s="72" t="s">
        <v>72</v>
      </c>
      <c r="P700" s="72"/>
      <c r="Q700" s="72"/>
      <c r="R700" s="72">
        <v>0</v>
      </c>
      <c r="S700" s="63"/>
      <c r="T700" s="72" t="s">
        <v>72</v>
      </c>
      <c r="U700" s="105"/>
      <c r="V700" s="74"/>
      <c r="W700" s="105"/>
      <c r="X700" s="74"/>
      <c r="Y700" s="105"/>
      <c r="Z700" s="63"/>
    </row>
    <row r="701" spans="1:26" s="29" customFormat="1" ht="21.4" customHeight="1" x14ac:dyDescent="0.2">
      <c r="A701" s="30"/>
      <c r="B701" s="44" t="s">
        <v>42</v>
      </c>
      <c r="C701" s="45"/>
      <c r="F701" s="414" t="s">
        <v>44</v>
      </c>
      <c r="G701" s="414"/>
      <c r="I701" s="414" t="s">
        <v>45</v>
      </c>
      <c r="J701" s="414"/>
      <c r="K701" s="414"/>
      <c r="L701" s="46"/>
      <c r="N701" s="71"/>
      <c r="O701" s="72" t="s">
        <v>47</v>
      </c>
      <c r="P701" s="72"/>
      <c r="Q701" s="72"/>
      <c r="R701" s="72">
        <v>0</v>
      </c>
      <c r="S701" s="63"/>
      <c r="T701" s="72" t="s">
        <v>47</v>
      </c>
      <c r="U701" s="105"/>
      <c r="V701" s="74"/>
      <c r="W701" s="105"/>
      <c r="X701" s="74"/>
      <c r="Y701" s="105"/>
      <c r="Z701" s="63"/>
    </row>
    <row r="702" spans="1:26" s="29" customFormat="1" ht="21.4" customHeight="1" x14ac:dyDescent="0.2">
      <c r="A702" s="30"/>
      <c r="H702" s="47"/>
      <c r="L702" s="34"/>
      <c r="N702" s="71"/>
      <c r="O702" s="72" t="s">
        <v>48</v>
      </c>
      <c r="P702" s="72"/>
      <c r="Q702" s="72"/>
      <c r="R702" s="72">
        <v>0</v>
      </c>
      <c r="S702" s="63"/>
      <c r="T702" s="72" t="s">
        <v>48</v>
      </c>
      <c r="U702" s="105"/>
      <c r="V702" s="74"/>
      <c r="W702" s="105"/>
      <c r="X702" s="74"/>
      <c r="Y702" s="105"/>
      <c r="Z702" s="63"/>
    </row>
    <row r="703" spans="1:26" s="29" customFormat="1" ht="21.4" customHeight="1" x14ac:dyDescent="0.2">
      <c r="A703" s="30"/>
      <c r="B703" s="392" t="s">
        <v>43</v>
      </c>
      <c r="C703" s="393"/>
      <c r="F703" s="48" t="s">
        <v>65</v>
      </c>
      <c r="G703" s="43">
        <f>IF($J$1="January",U699,IF($J$1="February",U700,IF($J$1="March",U701,IF($J$1="April",U702,IF($J$1="May",U703,IF($J$1="June",U704,IF($J$1="July",U705,IF($J$1="August",U706,IF($J$1="August",U706,IF($J$1="September",U707,IF($J$1="October",U708,IF($J$1="November",U709,IF($J$1="December",U710)))))))))))))</f>
        <v>0</v>
      </c>
      <c r="H703" s="47"/>
      <c r="I703" s="49"/>
      <c r="J703" s="50" t="s">
        <v>62</v>
      </c>
      <c r="K703" s="51">
        <f>K699/$K$2*I703</f>
        <v>0</v>
      </c>
      <c r="L703" s="52"/>
      <c r="N703" s="71"/>
      <c r="O703" s="72" t="s">
        <v>49</v>
      </c>
      <c r="P703" s="72"/>
      <c r="Q703" s="72"/>
      <c r="R703" s="72">
        <v>0</v>
      </c>
      <c r="S703" s="63"/>
      <c r="T703" s="72" t="s">
        <v>49</v>
      </c>
      <c r="U703" s="105"/>
      <c r="V703" s="74"/>
      <c r="W703" s="105"/>
      <c r="X703" s="74"/>
      <c r="Y703" s="105"/>
      <c r="Z703" s="63"/>
    </row>
    <row r="704" spans="1:26" s="29" customFormat="1" ht="21.4" customHeight="1" x14ac:dyDescent="0.2">
      <c r="A704" s="30"/>
      <c r="B704" s="39"/>
      <c r="C704" s="39"/>
      <c r="F704" s="48" t="s">
        <v>21</v>
      </c>
      <c r="G704" s="43">
        <f>IF($J$1="January",V699,IF($J$1="February",V700,IF($J$1="March",V701,IF($J$1="April",V702,IF($J$1="May",V703,IF($J$1="June",V704,IF($J$1="July",V705,IF($J$1="August",V706,IF($J$1="August",V706,IF($J$1="September",V707,IF($J$1="October",V708,IF($J$1="November",V709,IF($J$1="December",V710)))))))))))))</f>
        <v>0</v>
      </c>
      <c r="H704" s="47"/>
      <c r="I704" s="84"/>
      <c r="J704" s="50" t="s">
        <v>63</v>
      </c>
      <c r="K704" s="53">
        <f>K699/$K$2/8*I704</f>
        <v>0</v>
      </c>
      <c r="L704" s="54"/>
      <c r="N704" s="71"/>
      <c r="O704" s="72" t="s">
        <v>50</v>
      </c>
      <c r="P704" s="72"/>
      <c r="Q704" s="72"/>
      <c r="R704" s="72">
        <v>0</v>
      </c>
      <c r="S704" s="63"/>
      <c r="T704" s="72" t="s">
        <v>50</v>
      </c>
      <c r="U704" s="105"/>
      <c r="V704" s="74"/>
      <c r="W704" s="105"/>
      <c r="X704" s="74"/>
      <c r="Y704" s="105"/>
      <c r="Z704" s="63"/>
    </row>
    <row r="705" spans="1:26" s="29" customFormat="1" ht="21.4" customHeight="1" x14ac:dyDescent="0.2">
      <c r="A705" s="30"/>
      <c r="B705" s="48" t="s">
        <v>7</v>
      </c>
      <c r="C705" s="39">
        <f>IF($J$1="January",P699,IF($J$1="February",P700,IF($J$1="March",P701,IF($J$1="April",P702,IF($J$1="May",P703,IF($J$1="June",P704,IF($J$1="July",P705,IF($J$1="August",P706,IF($J$1="August",P706,IF($J$1="September",P707,IF($J$1="October",P708,IF($J$1="November",P709,IF($J$1="December",P710)))))))))))))</f>
        <v>0</v>
      </c>
      <c r="F705" s="48" t="s">
        <v>66</v>
      </c>
      <c r="G705" s="43">
        <f>IF($J$1="January",W699,IF($J$1="February",W700,IF($J$1="March",W701,IF($J$1="April",W702,IF($J$1="May",W703,IF($J$1="June",W704,IF($J$1="July",W705,IF($J$1="August",W706,IF($J$1="August",W706,IF($J$1="September",W707,IF($J$1="October",W708,IF($J$1="November",W709,IF($J$1="December",W710)))))))))))))</f>
        <v>0</v>
      </c>
      <c r="H705" s="47"/>
      <c r="I705" s="405" t="s">
        <v>70</v>
      </c>
      <c r="J705" s="406"/>
      <c r="K705" s="53">
        <f>K703+K704</f>
        <v>0</v>
      </c>
      <c r="L705" s="54"/>
      <c r="N705" s="71"/>
      <c r="O705" s="72" t="s">
        <v>51</v>
      </c>
      <c r="P705" s="72"/>
      <c r="Q705" s="72"/>
      <c r="R705" s="72">
        <v>0</v>
      </c>
      <c r="S705" s="63"/>
      <c r="T705" s="72" t="s">
        <v>51</v>
      </c>
      <c r="U705" s="105"/>
      <c r="V705" s="74"/>
      <c r="W705" s="105"/>
      <c r="X705" s="74"/>
      <c r="Y705" s="105"/>
      <c r="Z705" s="63"/>
    </row>
    <row r="706" spans="1:26" s="29" customFormat="1" ht="21.4" customHeight="1" x14ac:dyDescent="0.2">
      <c r="A706" s="30"/>
      <c r="B706" s="48" t="s">
        <v>6</v>
      </c>
      <c r="C706" s="39">
        <f>IF($J$1="January",Q699,IF($J$1="February",Q700,IF($J$1="March",Q701,IF($J$1="April",Q702,IF($J$1="May",Q703,IF($J$1="June",Q704,IF($J$1="July",Q705,IF($J$1="August",Q706,IF($J$1="August",Q706,IF($J$1="September",Q707,IF($J$1="October",Q708,IF($J$1="November",Q709,IF($J$1="December",Q710)))))))))))))</f>
        <v>0</v>
      </c>
      <c r="F706" s="48" t="s">
        <v>22</v>
      </c>
      <c r="G706" s="43">
        <f>IF($J$1="January",X699,IF($J$1="February",X700,IF($J$1="March",X701,IF($J$1="April",X702,IF($J$1="May",X703,IF($J$1="June",X704,IF($J$1="July",X705,IF($J$1="August",X706,IF($J$1="August",X706,IF($J$1="September",X707,IF($J$1="October",X708,IF($J$1="November",X709,IF($J$1="December",X710)))))))))))))</f>
        <v>0</v>
      </c>
      <c r="H706" s="47"/>
      <c r="I706" s="405" t="s">
        <v>71</v>
      </c>
      <c r="J706" s="406"/>
      <c r="K706" s="43">
        <f>G706</f>
        <v>0</v>
      </c>
      <c r="L706" s="55"/>
      <c r="N706" s="71"/>
      <c r="O706" s="72" t="s">
        <v>52</v>
      </c>
      <c r="P706" s="72"/>
      <c r="Q706" s="72"/>
      <c r="R706" s="72">
        <v>0</v>
      </c>
      <c r="S706" s="63"/>
      <c r="T706" s="72" t="s">
        <v>52</v>
      </c>
      <c r="U706" s="105"/>
      <c r="V706" s="74"/>
      <c r="W706" s="105"/>
      <c r="X706" s="74"/>
      <c r="Y706" s="105"/>
      <c r="Z706" s="63"/>
    </row>
    <row r="707" spans="1:26" s="29" customFormat="1" ht="21.4" customHeight="1" x14ac:dyDescent="0.2">
      <c r="A707" s="30"/>
      <c r="B707" s="56" t="s">
        <v>69</v>
      </c>
      <c r="C707" s="39">
        <f>IF($J$1="January",R699,IF($J$1="February",R700,IF($J$1="March",R701,IF($J$1="April",R702,IF($J$1="May",R703,IF($J$1="June",R704,IF($J$1="July",R705,IF($J$1="August",R706,IF($J$1="August",R706,IF($J$1="September",R707,IF($J$1="October",R708,IF($J$1="November",R709,IF($J$1="December",R710)))))))))))))</f>
        <v>0</v>
      </c>
      <c r="F707" s="48" t="s">
        <v>68</v>
      </c>
      <c r="G707" s="43">
        <f>IF($J$1="January",Y699,IF($J$1="February",Y700,IF($J$1="March",Y701,IF($J$1="April",Y702,IF($J$1="May",Y703,IF($J$1="June",Y704,IF($J$1="July",Y705,IF($J$1="August",Y706,IF($J$1="August",Y706,IF($J$1="September",Y707,IF($J$1="October",Y708,IF($J$1="November",Y709,IF($J$1="December",Y710)))))))))))))</f>
        <v>0</v>
      </c>
      <c r="I707" s="394" t="s">
        <v>64</v>
      </c>
      <c r="J707" s="396"/>
      <c r="K707" s="57">
        <f>K705-K706</f>
        <v>0</v>
      </c>
      <c r="L707" s="58"/>
      <c r="N707" s="71"/>
      <c r="O707" s="72" t="s">
        <v>57</v>
      </c>
      <c r="P707" s="72"/>
      <c r="Q707" s="72"/>
      <c r="R707" s="72">
        <v>0</v>
      </c>
      <c r="S707" s="63"/>
      <c r="T707" s="72" t="s">
        <v>57</v>
      </c>
      <c r="U707" s="105"/>
      <c r="V707" s="74"/>
      <c r="W707" s="105"/>
      <c r="X707" s="74"/>
      <c r="Y707" s="105"/>
      <c r="Z707" s="63"/>
    </row>
    <row r="708" spans="1:26" s="29" customFormat="1" ht="21.4" customHeight="1" x14ac:dyDescent="0.2">
      <c r="A708" s="30"/>
      <c r="L708" s="46"/>
      <c r="N708" s="71"/>
      <c r="O708" s="72" t="s">
        <v>53</v>
      </c>
      <c r="P708" s="72"/>
      <c r="Q708" s="72"/>
      <c r="R708" s="72">
        <v>0</v>
      </c>
      <c r="S708" s="63"/>
      <c r="T708" s="72" t="s">
        <v>53</v>
      </c>
      <c r="U708" s="105"/>
      <c r="V708" s="74"/>
      <c r="W708" s="105"/>
      <c r="X708" s="74"/>
      <c r="Y708" s="105"/>
      <c r="Z708" s="63"/>
    </row>
    <row r="709" spans="1:26" s="29" customFormat="1" ht="21.4" customHeight="1" x14ac:dyDescent="0.2">
      <c r="A709" s="30"/>
      <c r="B709" s="407" t="s">
        <v>87</v>
      </c>
      <c r="C709" s="407"/>
      <c r="D709" s="407"/>
      <c r="E709" s="407"/>
      <c r="F709" s="407"/>
      <c r="G709" s="407"/>
      <c r="H709" s="407"/>
      <c r="I709" s="407"/>
      <c r="J709" s="407"/>
      <c r="K709" s="407"/>
      <c r="L709" s="46"/>
      <c r="N709" s="71"/>
      <c r="O709" s="72" t="s">
        <v>58</v>
      </c>
      <c r="P709" s="72"/>
      <c r="Q709" s="72"/>
      <c r="R709" s="72">
        <v>0</v>
      </c>
      <c r="S709" s="63"/>
      <c r="T709" s="72" t="s">
        <v>58</v>
      </c>
      <c r="U709" s="105"/>
      <c r="V709" s="74"/>
      <c r="W709" s="105"/>
      <c r="X709" s="74"/>
      <c r="Y709" s="105"/>
      <c r="Z709" s="63"/>
    </row>
    <row r="710" spans="1:26" s="29" customFormat="1" ht="21.4" customHeight="1" x14ac:dyDescent="0.2">
      <c r="A710" s="30"/>
      <c r="B710" s="407"/>
      <c r="C710" s="407"/>
      <c r="D710" s="407"/>
      <c r="E710" s="407"/>
      <c r="F710" s="407"/>
      <c r="G710" s="407"/>
      <c r="H710" s="407"/>
      <c r="I710" s="407"/>
      <c r="J710" s="407"/>
      <c r="K710" s="407"/>
      <c r="L710" s="46"/>
      <c r="N710" s="71"/>
      <c r="O710" s="72" t="s">
        <v>59</v>
      </c>
      <c r="P710" s="72"/>
      <c r="Q710" s="72"/>
      <c r="R710" s="72" t="str">
        <f t="shared" ref="R710" si="142">IF(Q710="","",R709-Q710)</f>
        <v/>
      </c>
      <c r="S710" s="63"/>
      <c r="T710" s="72" t="s">
        <v>59</v>
      </c>
      <c r="U710" s="105"/>
      <c r="V710" s="74"/>
      <c r="W710" s="105"/>
      <c r="X710" s="74"/>
      <c r="Y710" s="105"/>
      <c r="Z710" s="63"/>
    </row>
    <row r="711" spans="1:26" s="29" customFormat="1" ht="21.4" customHeight="1" thickBot="1" x14ac:dyDescent="0.25">
      <c r="A711" s="59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1"/>
      <c r="N711" s="77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63"/>
    </row>
    <row r="712" spans="1:26" s="29" customFormat="1" ht="21" customHeight="1" x14ac:dyDescent="0.2">
      <c r="A712" s="415" t="s">
        <v>41</v>
      </c>
      <c r="B712" s="416"/>
      <c r="C712" s="416"/>
      <c r="D712" s="416"/>
      <c r="E712" s="416"/>
      <c r="F712" s="416"/>
      <c r="G712" s="416"/>
      <c r="H712" s="416"/>
      <c r="I712" s="416"/>
      <c r="J712" s="416"/>
      <c r="K712" s="416"/>
      <c r="L712" s="417"/>
      <c r="M712" s="28"/>
      <c r="N712" s="64"/>
      <c r="O712" s="408" t="s">
        <v>43</v>
      </c>
      <c r="P712" s="409"/>
      <c r="Q712" s="409"/>
      <c r="R712" s="410"/>
      <c r="S712" s="65"/>
      <c r="T712" s="408" t="s">
        <v>44</v>
      </c>
      <c r="U712" s="409"/>
      <c r="V712" s="409"/>
      <c r="W712" s="409"/>
      <c r="X712" s="409"/>
      <c r="Y712" s="410"/>
      <c r="Z712" s="66"/>
    </row>
    <row r="713" spans="1:26" s="29" customFormat="1" ht="21" customHeight="1" x14ac:dyDescent="0.2">
      <c r="A713" s="30"/>
      <c r="C713" s="398" t="s">
        <v>85</v>
      </c>
      <c r="D713" s="398"/>
      <c r="E713" s="398"/>
      <c r="F713" s="398"/>
      <c r="G713" s="31" t="str">
        <f>$J$1</f>
        <v>April</v>
      </c>
      <c r="H713" s="397">
        <f>$K$1</f>
        <v>2023</v>
      </c>
      <c r="I713" s="397"/>
      <c r="K713" s="32"/>
      <c r="L713" s="33"/>
      <c r="M713" s="32"/>
      <c r="N713" s="67"/>
      <c r="O713" s="68" t="s">
        <v>54</v>
      </c>
      <c r="P713" s="68" t="s">
        <v>7</v>
      </c>
      <c r="Q713" s="68" t="s">
        <v>6</v>
      </c>
      <c r="R713" s="68" t="s">
        <v>55</v>
      </c>
      <c r="S713" s="69"/>
      <c r="T713" s="68" t="s">
        <v>54</v>
      </c>
      <c r="U713" s="68" t="s">
        <v>56</v>
      </c>
      <c r="V713" s="68" t="s">
        <v>21</v>
      </c>
      <c r="W713" s="68" t="s">
        <v>20</v>
      </c>
      <c r="X713" s="68" t="s">
        <v>22</v>
      </c>
      <c r="Y713" s="68" t="s">
        <v>60</v>
      </c>
      <c r="Z713" s="70"/>
    </row>
    <row r="714" spans="1:26" s="29" customFormat="1" ht="21" customHeight="1" x14ac:dyDescent="0.2">
      <c r="A714" s="30"/>
      <c r="D714" s="35"/>
      <c r="E714" s="35"/>
      <c r="F714" s="35"/>
      <c r="G714" s="35"/>
      <c r="H714" s="35"/>
      <c r="J714" s="36" t="s">
        <v>1</v>
      </c>
      <c r="K714" s="37">
        <f>25000+3000+3000</f>
        <v>31000</v>
      </c>
      <c r="L714" s="38"/>
      <c r="N714" s="71"/>
      <c r="O714" s="72" t="s">
        <v>46</v>
      </c>
      <c r="P714" s="72">
        <v>29</v>
      </c>
      <c r="Q714" s="72">
        <v>2</v>
      </c>
      <c r="R714" s="72">
        <f>15-Q714</f>
        <v>13</v>
      </c>
      <c r="S714" s="73"/>
      <c r="T714" s="72" t="s">
        <v>46</v>
      </c>
      <c r="U714" s="74"/>
      <c r="V714" s="74"/>
      <c r="W714" s="74">
        <f>V714+U714</f>
        <v>0</v>
      </c>
      <c r="X714" s="74"/>
      <c r="Y714" s="74">
        <f>W714-X714</f>
        <v>0</v>
      </c>
      <c r="Z714" s="70"/>
    </row>
    <row r="715" spans="1:26" s="29" customFormat="1" ht="21" customHeight="1" x14ac:dyDescent="0.2">
      <c r="A715" s="30"/>
      <c r="B715" s="29" t="s">
        <v>0</v>
      </c>
      <c r="C715" s="40" t="s">
        <v>95</v>
      </c>
      <c r="H715" s="41"/>
      <c r="I715" s="35"/>
      <c r="L715" s="42"/>
      <c r="M715" s="28"/>
      <c r="N715" s="75"/>
      <c r="O715" s="72" t="s">
        <v>72</v>
      </c>
      <c r="P715" s="72">
        <v>25</v>
      </c>
      <c r="Q715" s="72">
        <v>3</v>
      </c>
      <c r="R715" s="72">
        <f t="shared" ref="R715:R725" si="143">IF(Q715="","",R714-Q715)</f>
        <v>10</v>
      </c>
      <c r="S715" s="63"/>
      <c r="T715" s="72" t="s">
        <v>72</v>
      </c>
      <c r="U715" s="105">
        <f t="shared" ref="U715:U720" si="144">Y714</f>
        <v>0</v>
      </c>
      <c r="V715" s="74"/>
      <c r="W715" s="105">
        <f>IF(U715="","",U715+V715)</f>
        <v>0</v>
      </c>
      <c r="X715" s="74"/>
      <c r="Y715" s="105">
        <f>IF(W715="","",W715-X715)</f>
        <v>0</v>
      </c>
      <c r="Z715" s="76"/>
    </row>
    <row r="716" spans="1:26" s="29" customFormat="1" ht="21" customHeight="1" x14ac:dyDescent="0.2">
      <c r="A716" s="30"/>
      <c r="B716" s="44" t="s">
        <v>42</v>
      </c>
      <c r="C716" s="40"/>
      <c r="F716" s="414" t="s">
        <v>44</v>
      </c>
      <c r="G716" s="414"/>
      <c r="I716" s="414" t="s">
        <v>45</v>
      </c>
      <c r="J716" s="414"/>
      <c r="K716" s="414"/>
      <c r="L716" s="46"/>
      <c r="N716" s="71"/>
      <c r="O716" s="72" t="s">
        <v>47</v>
      </c>
      <c r="P716" s="72">
        <v>25</v>
      </c>
      <c r="Q716" s="72">
        <v>6</v>
      </c>
      <c r="R716" s="72">
        <f t="shared" si="143"/>
        <v>4</v>
      </c>
      <c r="S716" s="63"/>
      <c r="T716" s="72" t="s">
        <v>47</v>
      </c>
      <c r="U716" s="105">
        <f t="shared" si="144"/>
        <v>0</v>
      </c>
      <c r="V716" s="74">
        <v>1500</v>
      </c>
      <c r="W716" s="105">
        <f t="shared" ref="W716:W725" si="145">IF(U716="","",U716+V716)</f>
        <v>1500</v>
      </c>
      <c r="X716" s="74">
        <v>1500</v>
      </c>
      <c r="Y716" s="105">
        <f t="shared" ref="Y716:Y725" si="146">IF(W716="","",W716-X716)</f>
        <v>0</v>
      </c>
      <c r="Z716" s="76"/>
    </row>
    <row r="717" spans="1:26" s="29" customFormat="1" ht="21" customHeight="1" x14ac:dyDescent="0.2">
      <c r="A717" s="30"/>
      <c r="H717" s="47"/>
      <c r="L717" s="34"/>
      <c r="N717" s="71"/>
      <c r="O717" s="72" t="s">
        <v>48</v>
      </c>
      <c r="P717" s="72"/>
      <c r="Q717" s="72"/>
      <c r="R717" s="72" t="str">
        <f t="shared" si="143"/>
        <v/>
      </c>
      <c r="S717" s="63"/>
      <c r="T717" s="72" t="s">
        <v>48</v>
      </c>
      <c r="U717" s="105">
        <f>Y716</f>
        <v>0</v>
      </c>
      <c r="V717" s="74"/>
      <c r="W717" s="105">
        <f t="shared" si="145"/>
        <v>0</v>
      </c>
      <c r="X717" s="74"/>
      <c r="Y717" s="105">
        <f t="shared" si="146"/>
        <v>0</v>
      </c>
      <c r="Z717" s="76"/>
    </row>
    <row r="718" spans="1:26" s="29" customFormat="1" ht="21" customHeight="1" x14ac:dyDescent="0.2">
      <c r="A718" s="30"/>
      <c r="B718" s="392" t="s">
        <v>43</v>
      </c>
      <c r="C718" s="393"/>
      <c r="F718" s="48" t="s">
        <v>65</v>
      </c>
      <c r="G718" s="43">
        <f>IF($J$1="January",U714,IF($J$1="February",U715,IF($J$1="March",U716,IF($J$1="April",U717,IF($J$1="May",U718,IF($J$1="June",U719,IF($J$1="July",U720,IF($J$1="August",U721,IF($J$1="August",U721,IF($J$1="September",U722,IF($J$1="October",U723,IF($J$1="November",U724,IF($J$1="December",U725)))))))))))))</f>
        <v>0</v>
      </c>
      <c r="H718" s="47"/>
      <c r="I718" s="49">
        <f>IF(C722&gt;0,$K$2,C720)</f>
        <v>30</v>
      </c>
      <c r="J718" s="50" t="s">
        <v>62</v>
      </c>
      <c r="K718" s="51">
        <f>K714/$K$2*I718</f>
        <v>30999.999999999996</v>
      </c>
      <c r="L718" s="52"/>
      <c r="N718" s="71"/>
      <c r="O718" s="72" t="s">
        <v>49</v>
      </c>
      <c r="P718" s="72"/>
      <c r="Q718" s="72"/>
      <c r="R718" s="72" t="str">
        <f t="shared" si="143"/>
        <v/>
      </c>
      <c r="S718" s="63"/>
      <c r="T718" s="72" t="s">
        <v>49</v>
      </c>
      <c r="U718" s="105">
        <v>0</v>
      </c>
      <c r="V718" s="74"/>
      <c r="W718" s="105">
        <f t="shared" si="145"/>
        <v>0</v>
      </c>
      <c r="X718" s="74"/>
      <c r="Y718" s="105">
        <f t="shared" si="146"/>
        <v>0</v>
      </c>
      <c r="Z718" s="76"/>
    </row>
    <row r="719" spans="1:26" s="29" customFormat="1" ht="21" customHeight="1" x14ac:dyDescent="0.2">
      <c r="A719" s="30"/>
      <c r="B719" s="39"/>
      <c r="C719" s="39"/>
      <c r="F719" s="48" t="s">
        <v>21</v>
      </c>
      <c r="G719" s="43">
        <f>IF($J$1="January",V714,IF($J$1="February",V715,IF($J$1="March",V716,IF($J$1="April",V717,IF($J$1="May",V718,IF($J$1="June",V719,IF($J$1="July",V720,IF($J$1="August",V721,IF($J$1="August",V721,IF($J$1="September",V722,IF($J$1="October",V723,IF($J$1="November",V724,IF($J$1="December",V725)))))))))))))</f>
        <v>0</v>
      </c>
      <c r="H719" s="47"/>
      <c r="I719" s="125">
        <v>44</v>
      </c>
      <c r="J719" s="50" t="s">
        <v>63</v>
      </c>
      <c r="K719" s="53">
        <f>K714/$K$2/8*I719</f>
        <v>5683.333333333333</v>
      </c>
      <c r="L719" s="54"/>
      <c r="N719" s="71"/>
      <c r="O719" s="72" t="s">
        <v>50</v>
      </c>
      <c r="P719" s="72"/>
      <c r="Q719" s="72"/>
      <c r="R719" s="72" t="str">
        <f t="shared" si="143"/>
        <v/>
      </c>
      <c r="S719" s="63"/>
      <c r="T719" s="72" t="s">
        <v>50</v>
      </c>
      <c r="U719" s="105">
        <f t="shared" si="144"/>
        <v>0</v>
      </c>
      <c r="V719" s="74"/>
      <c r="W719" s="105">
        <f t="shared" si="145"/>
        <v>0</v>
      </c>
      <c r="X719" s="74"/>
      <c r="Y719" s="105">
        <f t="shared" si="146"/>
        <v>0</v>
      </c>
      <c r="Z719" s="76"/>
    </row>
    <row r="720" spans="1:26" s="29" customFormat="1" ht="21" customHeight="1" x14ac:dyDescent="0.2">
      <c r="A720" s="30"/>
      <c r="B720" s="48" t="s">
        <v>7</v>
      </c>
      <c r="C720" s="39">
        <f>IF($J$1="January",P714,IF($J$1="February",P715,IF($J$1="March",P716,IF($J$1="April",P717,IF($J$1="May",P718,IF($J$1="June",P719,IF($J$1="July",P720,IF($J$1="August",P721,IF($J$1="August",P721,IF($J$1="September",P722,IF($J$1="October",P723,IF($J$1="November",P724,IF($J$1="December",P725)))))))))))))</f>
        <v>0</v>
      </c>
      <c r="F720" s="48" t="s">
        <v>66</v>
      </c>
      <c r="G720" s="43">
        <f>IF($J$1="January",W714,IF($J$1="February",W715,IF($J$1="March",W716,IF($J$1="April",W717,IF($J$1="May",W718,IF($J$1="June",W719,IF($J$1="July",W720,IF($J$1="August",W721,IF($J$1="August",W721,IF($J$1="September",W722,IF($J$1="October",W723,IF($J$1="November",W724,IF($J$1="December",W725)))))))))))))</f>
        <v>0</v>
      </c>
      <c r="H720" s="47"/>
      <c r="I720" s="405" t="s">
        <v>70</v>
      </c>
      <c r="J720" s="406"/>
      <c r="K720" s="53">
        <f>K718+K719</f>
        <v>36683.333333333328</v>
      </c>
      <c r="L720" s="54"/>
      <c r="N720" s="71"/>
      <c r="O720" s="72" t="s">
        <v>51</v>
      </c>
      <c r="P720" s="72"/>
      <c r="Q720" s="72"/>
      <c r="R720" s="72" t="str">
        <f t="shared" si="143"/>
        <v/>
      </c>
      <c r="S720" s="63"/>
      <c r="T720" s="72" t="s">
        <v>51</v>
      </c>
      <c r="U720" s="105">
        <f t="shared" si="144"/>
        <v>0</v>
      </c>
      <c r="V720" s="74"/>
      <c r="W720" s="105">
        <f t="shared" si="145"/>
        <v>0</v>
      </c>
      <c r="X720" s="74"/>
      <c r="Y720" s="105">
        <f t="shared" si="146"/>
        <v>0</v>
      </c>
      <c r="Z720" s="76"/>
    </row>
    <row r="721" spans="1:27" s="29" customFormat="1" ht="21" customHeight="1" x14ac:dyDescent="0.2">
      <c r="A721" s="30"/>
      <c r="B721" s="48" t="s">
        <v>6</v>
      </c>
      <c r="C721" s="39">
        <f>IF($J$1="January",Q714,IF($J$1="February",Q715,IF($J$1="March",Q716,IF($J$1="April",Q717,IF($J$1="May",Q718,IF($J$1="June",Q719,IF($J$1="July",Q720,IF($J$1="August",Q721,IF($J$1="August",Q721,IF($J$1="September",Q722,IF($J$1="October",Q723,IF($J$1="November",Q724,IF($J$1="December",Q725)))))))))))))</f>
        <v>0</v>
      </c>
      <c r="F721" s="48" t="s">
        <v>22</v>
      </c>
      <c r="G721" s="43">
        <f>IF($J$1="January",X714,IF($J$1="February",X715,IF($J$1="March",X716,IF($J$1="April",X717,IF($J$1="May",X718,IF($J$1="June",X719,IF($J$1="July",X720,IF($J$1="August",X721,IF($J$1="August",X721,IF($J$1="September",X722,IF($J$1="October",X723,IF($J$1="November",X724,IF($J$1="December",X725)))))))))))))</f>
        <v>0</v>
      </c>
      <c r="H721" s="47"/>
      <c r="I721" s="405" t="s">
        <v>71</v>
      </c>
      <c r="J721" s="406"/>
      <c r="K721" s="43">
        <f>G721</f>
        <v>0</v>
      </c>
      <c r="L721" s="55"/>
      <c r="N721" s="71"/>
      <c r="O721" s="72" t="s">
        <v>52</v>
      </c>
      <c r="P721" s="72"/>
      <c r="Q721" s="72"/>
      <c r="R721" s="72" t="str">
        <f t="shared" si="143"/>
        <v/>
      </c>
      <c r="S721" s="63"/>
      <c r="T721" s="72" t="s">
        <v>52</v>
      </c>
      <c r="U721" s="105">
        <f>Y720</f>
        <v>0</v>
      </c>
      <c r="V721" s="74"/>
      <c r="W721" s="105">
        <f t="shared" si="145"/>
        <v>0</v>
      </c>
      <c r="X721" s="74"/>
      <c r="Y721" s="105">
        <f t="shared" si="146"/>
        <v>0</v>
      </c>
      <c r="Z721" s="76"/>
    </row>
    <row r="722" spans="1:27" s="29" customFormat="1" ht="21" customHeight="1" x14ac:dyDescent="0.2">
      <c r="A722" s="30"/>
      <c r="B722" s="56" t="s">
        <v>69</v>
      </c>
      <c r="C722" s="39" t="str">
        <f>IF($J$1="January",R714,IF($J$1="February",R715,IF($J$1="March",R716,IF($J$1="April",R717,IF($J$1="May",R718,IF($J$1="June",R719,IF($J$1="July",R720,IF($J$1="August",R721,IF($J$1="August",R721,IF($J$1="September",R722,IF($J$1="October",R723,IF($J$1="November",R724,IF($J$1="December",R725)))))))))))))</f>
        <v/>
      </c>
      <c r="F722" s="48" t="s">
        <v>68</v>
      </c>
      <c r="G722" s="43">
        <f>IF($J$1="January",Y714,IF($J$1="February",Y715,IF($J$1="March",Y716,IF($J$1="April",Y717,IF($J$1="May",Y718,IF($J$1="June",Y719,IF($J$1="July",Y720,IF($J$1="August",Y721,IF($J$1="August",Y721,IF($J$1="September",Y722,IF($J$1="October",Y723,IF($J$1="November",Y724,IF($J$1="December",Y725)))))))))))))</f>
        <v>0</v>
      </c>
      <c r="I722" s="394" t="s">
        <v>64</v>
      </c>
      <c r="J722" s="396"/>
      <c r="K722" s="57"/>
      <c r="L722" s="58"/>
      <c r="N722" s="71"/>
      <c r="O722" s="72" t="s">
        <v>57</v>
      </c>
      <c r="P722" s="72"/>
      <c r="Q722" s="72"/>
      <c r="R722" s="72" t="str">
        <f t="shared" si="143"/>
        <v/>
      </c>
      <c r="S722" s="63"/>
      <c r="T722" s="72" t="s">
        <v>57</v>
      </c>
      <c r="U722" s="105">
        <f>Y721</f>
        <v>0</v>
      </c>
      <c r="V722" s="74"/>
      <c r="W722" s="105">
        <f t="shared" si="145"/>
        <v>0</v>
      </c>
      <c r="X722" s="74"/>
      <c r="Y722" s="105">
        <f t="shared" si="146"/>
        <v>0</v>
      </c>
      <c r="Z722" s="76"/>
    </row>
    <row r="723" spans="1:27" s="29" customFormat="1" ht="21" customHeight="1" x14ac:dyDescent="0.2">
      <c r="A723" s="30"/>
      <c r="K723" s="107"/>
      <c r="L723" s="46"/>
      <c r="N723" s="71"/>
      <c r="O723" s="72" t="s">
        <v>53</v>
      </c>
      <c r="P723" s="72"/>
      <c r="Q723" s="72"/>
      <c r="R723" s="72" t="str">
        <f t="shared" si="143"/>
        <v/>
      </c>
      <c r="S723" s="63"/>
      <c r="T723" s="72" t="s">
        <v>53</v>
      </c>
      <c r="U723" s="105">
        <f>Y722</f>
        <v>0</v>
      </c>
      <c r="V723" s="74"/>
      <c r="W723" s="105">
        <f t="shared" si="145"/>
        <v>0</v>
      </c>
      <c r="X723" s="74"/>
      <c r="Y723" s="105">
        <f t="shared" si="146"/>
        <v>0</v>
      </c>
      <c r="Z723" s="76"/>
    </row>
    <row r="724" spans="1:27" s="29" customFormat="1" ht="21" customHeight="1" x14ac:dyDescent="0.2">
      <c r="A724" s="30"/>
      <c r="B724" s="407" t="s">
        <v>87</v>
      </c>
      <c r="C724" s="407"/>
      <c r="D724" s="407"/>
      <c r="E724" s="407"/>
      <c r="F724" s="407"/>
      <c r="G724" s="407"/>
      <c r="H724" s="407"/>
      <c r="I724" s="407"/>
      <c r="J724" s="407"/>
      <c r="K724" s="407"/>
      <c r="L724" s="46"/>
      <c r="N724" s="71"/>
      <c r="O724" s="72" t="s">
        <v>58</v>
      </c>
      <c r="P724" s="72"/>
      <c r="Q724" s="72"/>
      <c r="R724" s="72" t="str">
        <f t="shared" si="143"/>
        <v/>
      </c>
      <c r="S724" s="63"/>
      <c r="T724" s="72" t="s">
        <v>58</v>
      </c>
      <c r="U724" s="105">
        <f>Y723</f>
        <v>0</v>
      </c>
      <c r="V724" s="74"/>
      <c r="W724" s="105">
        <f t="shared" si="145"/>
        <v>0</v>
      </c>
      <c r="X724" s="74"/>
      <c r="Y724" s="105">
        <f t="shared" si="146"/>
        <v>0</v>
      </c>
      <c r="Z724" s="76"/>
    </row>
    <row r="725" spans="1:27" s="29" customFormat="1" ht="21" customHeight="1" x14ac:dyDescent="0.2">
      <c r="A725" s="30"/>
      <c r="B725" s="407"/>
      <c r="C725" s="407"/>
      <c r="D725" s="407"/>
      <c r="E725" s="407"/>
      <c r="F725" s="407"/>
      <c r="G725" s="407"/>
      <c r="H725" s="407"/>
      <c r="I725" s="407"/>
      <c r="J725" s="407"/>
      <c r="K725" s="407"/>
      <c r="L725" s="46"/>
      <c r="N725" s="71"/>
      <c r="O725" s="72" t="s">
        <v>59</v>
      </c>
      <c r="P725" s="72"/>
      <c r="Q725" s="72"/>
      <c r="R725" s="72" t="str">
        <f t="shared" si="143"/>
        <v/>
      </c>
      <c r="S725" s="63"/>
      <c r="T725" s="72" t="s">
        <v>59</v>
      </c>
      <c r="U725" s="105">
        <f>Y724</f>
        <v>0</v>
      </c>
      <c r="V725" s="74"/>
      <c r="W725" s="105">
        <f t="shared" si="145"/>
        <v>0</v>
      </c>
      <c r="X725" s="74"/>
      <c r="Y725" s="105">
        <f t="shared" si="146"/>
        <v>0</v>
      </c>
      <c r="Z725" s="76"/>
    </row>
    <row r="726" spans="1:27" s="29" customFormat="1" ht="21" customHeight="1" thickBot="1" x14ac:dyDescent="0.25">
      <c r="A726" s="59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1"/>
      <c r="N726" s="77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9"/>
    </row>
    <row r="727" spans="1:27" s="29" customFormat="1" ht="21" customHeight="1" thickBot="1" x14ac:dyDescent="0.25"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 spans="1:27" s="29" customFormat="1" ht="21.4" customHeight="1" x14ac:dyDescent="0.2">
      <c r="A728" s="424" t="s">
        <v>41</v>
      </c>
      <c r="B728" s="425"/>
      <c r="C728" s="425"/>
      <c r="D728" s="425"/>
      <c r="E728" s="425"/>
      <c r="F728" s="425"/>
      <c r="G728" s="425"/>
      <c r="H728" s="425"/>
      <c r="I728" s="425"/>
      <c r="J728" s="425"/>
      <c r="K728" s="425"/>
      <c r="L728" s="426"/>
      <c r="M728" s="28"/>
      <c r="N728" s="64"/>
      <c r="O728" s="408" t="s">
        <v>43</v>
      </c>
      <c r="P728" s="409"/>
      <c r="Q728" s="409"/>
      <c r="R728" s="410"/>
      <c r="S728" s="65"/>
      <c r="T728" s="408" t="s">
        <v>44</v>
      </c>
      <c r="U728" s="409"/>
      <c r="V728" s="409"/>
      <c r="W728" s="409"/>
      <c r="X728" s="409"/>
      <c r="Y728" s="410"/>
      <c r="Z728" s="66"/>
      <c r="AA728" s="28"/>
    </row>
    <row r="729" spans="1:27" s="29" customFormat="1" ht="21.4" customHeight="1" x14ac:dyDescent="0.2">
      <c r="A729" s="30"/>
      <c r="C729" s="398" t="s">
        <v>85</v>
      </c>
      <c r="D729" s="398"/>
      <c r="E729" s="398"/>
      <c r="F729" s="398"/>
      <c r="G729" s="31" t="str">
        <f>$J$1</f>
        <v>April</v>
      </c>
      <c r="H729" s="397">
        <f>$K$1</f>
        <v>2023</v>
      </c>
      <c r="I729" s="397"/>
      <c r="K729" s="32"/>
      <c r="L729" s="33"/>
      <c r="M729" s="32"/>
      <c r="N729" s="67"/>
      <c r="O729" s="68" t="s">
        <v>54</v>
      </c>
      <c r="P729" s="68" t="s">
        <v>7</v>
      </c>
      <c r="Q729" s="68" t="s">
        <v>6</v>
      </c>
      <c r="R729" s="68" t="s">
        <v>55</v>
      </c>
      <c r="S729" s="69"/>
      <c r="T729" s="68" t="s">
        <v>54</v>
      </c>
      <c r="U729" s="68" t="s">
        <v>56</v>
      </c>
      <c r="V729" s="68" t="s">
        <v>21</v>
      </c>
      <c r="W729" s="68" t="s">
        <v>20</v>
      </c>
      <c r="X729" s="68" t="s">
        <v>22</v>
      </c>
      <c r="Y729" s="68" t="s">
        <v>60</v>
      </c>
      <c r="Z729" s="70"/>
      <c r="AA729" s="32"/>
    </row>
    <row r="730" spans="1:27" s="29" customFormat="1" ht="21.4" customHeight="1" x14ac:dyDescent="0.2">
      <c r="A730" s="30"/>
      <c r="D730" s="35"/>
      <c r="E730" s="35"/>
      <c r="F730" s="35"/>
      <c r="G730" s="35"/>
      <c r="H730" s="35"/>
      <c r="J730" s="36" t="s">
        <v>1</v>
      </c>
      <c r="K730" s="37"/>
      <c r="L730" s="38"/>
      <c r="N730" s="71"/>
      <c r="O730" s="72" t="s">
        <v>46</v>
      </c>
      <c r="P730" s="72">
        <v>22</v>
      </c>
      <c r="Q730" s="72">
        <v>9</v>
      </c>
      <c r="R730" s="72"/>
      <c r="S730" s="73"/>
      <c r="T730" s="72" t="s">
        <v>46</v>
      </c>
      <c r="U730" s="74"/>
      <c r="V730" s="74"/>
      <c r="W730" s="74">
        <f>V730+U730</f>
        <v>0</v>
      </c>
      <c r="X730" s="74"/>
      <c r="Y730" s="74">
        <f>W730-X730</f>
        <v>0</v>
      </c>
      <c r="Z730" s="70"/>
    </row>
    <row r="731" spans="1:27" s="29" customFormat="1" ht="21.4" customHeight="1" x14ac:dyDescent="0.2">
      <c r="A731" s="30"/>
      <c r="B731" s="29" t="s">
        <v>0</v>
      </c>
      <c r="C731" s="40"/>
      <c r="H731" s="41"/>
      <c r="I731" s="35"/>
      <c r="L731" s="42"/>
      <c r="M731" s="28"/>
      <c r="N731" s="75"/>
      <c r="O731" s="72" t="s">
        <v>72</v>
      </c>
      <c r="P731" s="72"/>
      <c r="Q731" s="72"/>
      <c r="R731" s="72" t="str">
        <f t="shared" ref="R731:R738" si="147">IF(Q731="","",R730-Q731)</f>
        <v/>
      </c>
      <c r="S731" s="63"/>
      <c r="T731" s="72" t="s">
        <v>72</v>
      </c>
      <c r="U731" s="105">
        <f>Y730</f>
        <v>0</v>
      </c>
      <c r="V731" s="74"/>
      <c r="W731" s="105">
        <f>IF(U731="","",U731+V731)</f>
        <v>0</v>
      </c>
      <c r="X731" s="74"/>
      <c r="Y731" s="105">
        <f>IF(W731="","",W731-X731)</f>
        <v>0</v>
      </c>
      <c r="Z731" s="76"/>
      <c r="AA731" s="28"/>
    </row>
    <row r="732" spans="1:27" s="29" customFormat="1" ht="21.4" customHeight="1" x14ac:dyDescent="0.2">
      <c r="A732" s="30"/>
      <c r="B732" s="44" t="s">
        <v>42</v>
      </c>
      <c r="C732" s="45"/>
      <c r="F732" s="414" t="s">
        <v>44</v>
      </c>
      <c r="G732" s="414"/>
      <c r="I732" s="414" t="s">
        <v>45</v>
      </c>
      <c r="J732" s="414"/>
      <c r="K732" s="414"/>
      <c r="L732" s="46"/>
      <c r="N732" s="71"/>
      <c r="O732" s="72" t="s">
        <v>47</v>
      </c>
      <c r="P732" s="72"/>
      <c r="Q732" s="72"/>
      <c r="R732" s="72" t="str">
        <f t="shared" si="147"/>
        <v/>
      </c>
      <c r="S732" s="63"/>
      <c r="T732" s="72" t="s">
        <v>47</v>
      </c>
      <c r="U732" s="105">
        <f>IF($J$1="April",Y731,Y731)</f>
        <v>0</v>
      </c>
      <c r="V732" s="74"/>
      <c r="W732" s="105">
        <f t="shared" ref="W732:W741" si="148">IF(U732="","",U732+V732)</f>
        <v>0</v>
      </c>
      <c r="X732" s="74"/>
      <c r="Y732" s="105">
        <f t="shared" ref="Y732:Y741" si="149">IF(W732="","",W732-X732)</f>
        <v>0</v>
      </c>
      <c r="Z732" s="76"/>
    </row>
    <row r="733" spans="1:27" s="29" customFormat="1" ht="21.4" customHeight="1" x14ac:dyDescent="0.2">
      <c r="A733" s="30"/>
      <c r="H733" s="47"/>
      <c r="L733" s="34"/>
      <c r="N733" s="71"/>
      <c r="O733" s="72" t="s">
        <v>48</v>
      </c>
      <c r="P733" s="72"/>
      <c r="Q733" s="72"/>
      <c r="R733" s="72">
        <v>0</v>
      </c>
      <c r="S733" s="63"/>
      <c r="T733" s="72" t="s">
        <v>48</v>
      </c>
      <c r="U733" s="105">
        <f>IF($J$1="April",Y732,Y732)</f>
        <v>0</v>
      </c>
      <c r="V733" s="74"/>
      <c r="W733" s="105">
        <f t="shared" si="148"/>
        <v>0</v>
      </c>
      <c r="X733" s="74"/>
      <c r="Y733" s="105">
        <f t="shared" si="149"/>
        <v>0</v>
      </c>
      <c r="Z733" s="76"/>
    </row>
    <row r="734" spans="1:27" s="29" customFormat="1" ht="21.4" customHeight="1" x14ac:dyDescent="0.2">
      <c r="A734" s="30"/>
      <c r="B734" s="392" t="s">
        <v>43</v>
      </c>
      <c r="C734" s="393"/>
      <c r="F734" s="48" t="s">
        <v>65</v>
      </c>
      <c r="G734" s="43">
        <f>IF($J$1="January",U730,IF($J$1="February",U731,IF($J$1="March",U732,IF($J$1="April",U733,IF($J$1="May",U734,IF($J$1="June",U735,IF($J$1="July",U736,IF($J$1="August",U737,IF($J$1="August",U737,IF($J$1="September",U738,IF($J$1="October",U739,IF($J$1="November",U740,IF($J$1="December",U741)))))))))))))</f>
        <v>0</v>
      </c>
      <c r="H734" s="47"/>
      <c r="I734" s="49"/>
      <c r="J734" s="50" t="s">
        <v>62</v>
      </c>
      <c r="K734" s="51">
        <f>K730/$K$2*I734</f>
        <v>0</v>
      </c>
      <c r="L734" s="52"/>
      <c r="N734" s="71"/>
      <c r="O734" s="72" t="s">
        <v>49</v>
      </c>
      <c r="P734" s="72"/>
      <c r="Q734" s="72"/>
      <c r="R734" s="72">
        <v>0</v>
      </c>
      <c r="S734" s="63"/>
      <c r="T734" s="72" t="s">
        <v>49</v>
      </c>
      <c r="U734" s="105">
        <f>IF($J$1="May",Y733,Y733)</f>
        <v>0</v>
      </c>
      <c r="V734" s="74"/>
      <c r="W734" s="105">
        <f t="shared" si="148"/>
        <v>0</v>
      </c>
      <c r="X734" s="74"/>
      <c r="Y734" s="105">
        <f t="shared" si="149"/>
        <v>0</v>
      </c>
      <c r="Z734" s="76"/>
    </row>
    <row r="735" spans="1:27" s="29" customFormat="1" ht="21.4" customHeight="1" x14ac:dyDescent="0.2">
      <c r="A735" s="30"/>
      <c r="B735" s="39"/>
      <c r="C735" s="39"/>
      <c r="F735" s="48" t="s">
        <v>21</v>
      </c>
      <c r="G735" s="43">
        <f>IF($J$1="January",V730,IF($J$1="February",V731,IF($J$1="March",V732,IF($J$1="April",V733,IF($J$1="May",V734,IF($J$1="June",V735,IF($J$1="July",V736,IF($J$1="August",V737,IF($J$1="August",V737,IF($J$1="September",V738,IF($J$1="October",V739,IF($J$1="November",V740,IF($J$1="December",V741)))))))))))))</f>
        <v>0</v>
      </c>
      <c r="H735" s="47"/>
      <c r="I735" s="84"/>
      <c r="J735" s="50" t="s">
        <v>63</v>
      </c>
      <c r="K735" s="53">
        <f>K730/$K$2/8*I735</f>
        <v>0</v>
      </c>
      <c r="L735" s="54"/>
      <c r="N735" s="71"/>
      <c r="O735" s="72" t="s">
        <v>50</v>
      </c>
      <c r="P735" s="72"/>
      <c r="Q735" s="72"/>
      <c r="R735" s="72" t="str">
        <f t="shared" si="147"/>
        <v/>
      </c>
      <c r="S735" s="63"/>
      <c r="T735" s="72" t="s">
        <v>50</v>
      </c>
      <c r="U735" s="105">
        <f>IF($J$1="May",Y734,Y734)</f>
        <v>0</v>
      </c>
      <c r="V735" s="74"/>
      <c r="W735" s="105">
        <f t="shared" si="148"/>
        <v>0</v>
      </c>
      <c r="X735" s="74"/>
      <c r="Y735" s="105">
        <f t="shared" si="149"/>
        <v>0</v>
      </c>
      <c r="Z735" s="76"/>
    </row>
    <row r="736" spans="1:27" s="29" customFormat="1" ht="21.4" customHeight="1" x14ac:dyDescent="0.2">
      <c r="A736" s="30"/>
      <c r="B736" s="48" t="s">
        <v>7</v>
      </c>
      <c r="C736" s="39">
        <f>IF($J$1="January",P730,IF($J$1="February",P731,IF($J$1="March",P732,IF($J$1="April",P733,IF($J$1="May",P734,IF($J$1="June",P735,IF($J$1="July",P736,IF($J$1="August",P737,IF($J$1="August",P737,IF($J$1="September",P738,IF($J$1="October",P739,IF($J$1="November",P740,IF($J$1="December",P741)))))))))))))</f>
        <v>0</v>
      </c>
      <c r="F736" s="48" t="s">
        <v>66</v>
      </c>
      <c r="G736" s="43">
        <f>IF($J$1="January",W730,IF($J$1="February",W731,IF($J$1="March",W732,IF($J$1="April",W733,IF($J$1="May",W734,IF($J$1="June",W735,IF($J$1="July",W736,IF($J$1="August",W737,IF($J$1="August",W737,IF($J$1="September",W738,IF($J$1="October",W739,IF($J$1="November",W740,IF($J$1="December",W741)))))))))))))</f>
        <v>0</v>
      </c>
      <c r="H736" s="47"/>
      <c r="I736" s="405" t="s">
        <v>70</v>
      </c>
      <c r="J736" s="406"/>
      <c r="K736" s="53">
        <f>K734+K735</f>
        <v>0</v>
      </c>
      <c r="L736" s="54"/>
      <c r="N736" s="71"/>
      <c r="O736" s="72" t="s">
        <v>51</v>
      </c>
      <c r="P736" s="72"/>
      <c r="Q736" s="72"/>
      <c r="R736" s="72">
        <v>0</v>
      </c>
      <c r="S736" s="63"/>
      <c r="T736" s="72" t="s">
        <v>51</v>
      </c>
      <c r="U736" s="105" t="str">
        <f>IF($J$1="July",Y735,"")</f>
        <v/>
      </c>
      <c r="V736" s="74"/>
      <c r="W736" s="105" t="str">
        <f t="shared" si="148"/>
        <v/>
      </c>
      <c r="X736" s="74"/>
      <c r="Y736" s="105" t="str">
        <f t="shared" si="149"/>
        <v/>
      </c>
      <c r="Z736" s="76"/>
    </row>
    <row r="737" spans="1:27" s="29" customFormat="1" ht="21.4" customHeight="1" x14ac:dyDescent="0.2">
      <c r="A737" s="30"/>
      <c r="B737" s="48" t="s">
        <v>6</v>
      </c>
      <c r="C737" s="39">
        <f>IF($J$1="January",Q730,IF($J$1="February",Q731,IF($J$1="March",Q732,IF($J$1="April",Q733,IF($J$1="May",Q734,IF($J$1="June",Q735,IF($J$1="July",Q736,IF($J$1="August",Q737,IF($J$1="August",Q737,IF($J$1="September",Q738,IF($J$1="October",Q739,IF($J$1="November",Q740,IF($J$1="December",Q741)))))))))))))</f>
        <v>0</v>
      </c>
      <c r="F737" s="48" t="s">
        <v>22</v>
      </c>
      <c r="G737" s="43">
        <f>IF($J$1="January",X730,IF($J$1="February",X731,IF($J$1="March",X732,IF($J$1="April",X733,IF($J$1="May",X734,IF($J$1="June",X735,IF($J$1="July",X736,IF($J$1="August",X737,IF($J$1="August",X737,IF($J$1="September",X738,IF($J$1="October",X739,IF($J$1="November",X740,IF($J$1="December",X741)))))))))))))</f>
        <v>0</v>
      </c>
      <c r="H737" s="47"/>
      <c r="I737" s="405" t="s">
        <v>71</v>
      </c>
      <c r="J737" s="406"/>
      <c r="K737" s="43">
        <f>G737</f>
        <v>0</v>
      </c>
      <c r="L737" s="55"/>
      <c r="N737" s="71"/>
      <c r="O737" s="72" t="s">
        <v>52</v>
      </c>
      <c r="P737" s="72"/>
      <c r="Q737" s="72"/>
      <c r="R737" s="72">
        <v>0</v>
      </c>
      <c r="S737" s="63"/>
      <c r="T737" s="72" t="s">
        <v>52</v>
      </c>
      <c r="U737" s="105" t="str">
        <f>IF($J$1="August",Y736,"")</f>
        <v/>
      </c>
      <c r="V737" s="74"/>
      <c r="W737" s="105" t="str">
        <f t="shared" si="148"/>
        <v/>
      </c>
      <c r="X737" s="74"/>
      <c r="Y737" s="105" t="str">
        <f t="shared" si="149"/>
        <v/>
      </c>
      <c r="Z737" s="76"/>
    </row>
    <row r="738" spans="1:27" s="29" customFormat="1" ht="21.4" customHeight="1" x14ac:dyDescent="0.2">
      <c r="A738" s="30"/>
      <c r="B738" s="56" t="s">
        <v>69</v>
      </c>
      <c r="C738" s="39">
        <f>IF($J$1="January",R730,IF($J$1="February",R731,IF($J$1="March",R732,IF($J$1="April",R733,IF($J$1="May",R734,IF($J$1="June",R735,IF($J$1="July",R736,IF($J$1="August",R737,IF($J$1="August",R737,IF($J$1="September",R738,IF($J$1="October",R739,IF($J$1="November",R740,IF($J$1="December",R741)))))))))))))</f>
        <v>0</v>
      </c>
      <c r="F738" s="48" t="s">
        <v>68</v>
      </c>
      <c r="G738" s="43">
        <f>IF($J$1="January",Y730,IF($J$1="February",Y731,IF($J$1="March",Y732,IF($J$1="April",Y733,IF($J$1="May",Y734,IF($J$1="June",Y735,IF($J$1="July",Y736,IF($J$1="August",Y737,IF($J$1="August",Y737,IF($J$1="September",Y738,IF($J$1="October",Y739,IF($J$1="November",Y740,IF($J$1="December",Y741)))))))))))))</f>
        <v>0</v>
      </c>
      <c r="I738" s="394" t="s">
        <v>64</v>
      </c>
      <c r="J738" s="396"/>
      <c r="K738" s="57">
        <f>K736-K737</f>
        <v>0</v>
      </c>
      <c r="L738" s="58"/>
      <c r="N738" s="71"/>
      <c r="O738" s="72" t="s">
        <v>57</v>
      </c>
      <c r="P738" s="72"/>
      <c r="Q738" s="72"/>
      <c r="R738" s="72" t="str">
        <f t="shared" si="147"/>
        <v/>
      </c>
      <c r="S738" s="63"/>
      <c r="T738" s="72" t="s">
        <v>57</v>
      </c>
      <c r="U738" s="105" t="str">
        <f>IF($J$1="May",Y737,Y737)</f>
        <v/>
      </c>
      <c r="V738" s="74"/>
      <c r="W738" s="105" t="str">
        <f t="shared" si="148"/>
        <v/>
      </c>
      <c r="X738" s="74"/>
      <c r="Y738" s="105" t="str">
        <f t="shared" si="149"/>
        <v/>
      </c>
      <c r="Z738" s="76"/>
    </row>
    <row r="739" spans="1:27" s="29" customFormat="1" ht="21.4" customHeight="1" x14ac:dyDescent="0.2">
      <c r="A739" s="30"/>
      <c r="L739" s="46"/>
      <c r="N739" s="71"/>
      <c r="O739" s="72" t="s">
        <v>53</v>
      </c>
      <c r="P739" s="72"/>
      <c r="Q739" s="72"/>
      <c r="R739" s="72">
        <v>0</v>
      </c>
      <c r="S739" s="63"/>
      <c r="T739" s="72" t="s">
        <v>53</v>
      </c>
      <c r="U739" s="105" t="str">
        <f t="shared" ref="U739:U741" si="150">Y738</f>
        <v/>
      </c>
      <c r="V739" s="74"/>
      <c r="W739" s="105" t="str">
        <f t="shared" si="148"/>
        <v/>
      </c>
      <c r="X739" s="74"/>
      <c r="Y739" s="105" t="str">
        <f t="shared" si="149"/>
        <v/>
      </c>
      <c r="Z739" s="76"/>
    </row>
    <row r="740" spans="1:27" s="29" customFormat="1" ht="21.4" customHeight="1" x14ac:dyDescent="0.2">
      <c r="A740" s="30"/>
      <c r="B740" s="407" t="s">
        <v>87</v>
      </c>
      <c r="C740" s="407"/>
      <c r="D740" s="407"/>
      <c r="E740" s="407"/>
      <c r="F740" s="407"/>
      <c r="G740" s="407"/>
      <c r="H740" s="407"/>
      <c r="I740" s="407"/>
      <c r="J740" s="407"/>
      <c r="K740" s="407"/>
      <c r="L740" s="46"/>
      <c r="N740" s="71"/>
      <c r="O740" s="72" t="s">
        <v>58</v>
      </c>
      <c r="P740" s="72"/>
      <c r="Q740" s="72"/>
      <c r="R740" s="72">
        <v>0</v>
      </c>
      <c r="S740" s="63"/>
      <c r="T740" s="72" t="s">
        <v>58</v>
      </c>
      <c r="U740" s="105" t="str">
        <f t="shared" si="150"/>
        <v/>
      </c>
      <c r="V740" s="74"/>
      <c r="W740" s="105"/>
      <c r="X740" s="74"/>
      <c r="Y740" s="105" t="str">
        <f t="shared" si="149"/>
        <v/>
      </c>
      <c r="Z740" s="76"/>
    </row>
    <row r="741" spans="1:27" s="29" customFormat="1" ht="21.4" customHeight="1" x14ac:dyDescent="0.2">
      <c r="A741" s="30"/>
      <c r="B741" s="407"/>
      <c r="C741" s="407"/>
      <c r="D741" s="407"/>
      <c r="E741" s="407"/>
      <c r="F741" s="407"/>
      <c r="G741" s="407"/>
      <c r="H741" s="407"/>
      <c r="I741" s="407"/>
      <c r="J741" s="407"/>
      <c r="K741" s="407"/>
      <c r="L741" s="46"/>
      <c r="N741" s="71"/>
      <c r="O741" s="72" t="s">
        <v>59</v>
      </c>
      <c r="P741" s="72"/>
      <c r="Q741" s="72"/>
      <c r="R741" s="72">
        <v>0</v>
      </c>
      <c r="S741" s="63"/>
      <c r="T741" s="72" t="s">
        <v>59</v>
      </c>
      <c r="U741" s="105" t="str">
        <f t="shared" si="150"/>
        <v/>
      </c>
      <c r="V741" s="74"/>
      <c r="W741" s="105" t="str">
        <f t="shared" si="148"/>
        <v/>
      </c>
      <c r="X741" s="74"/>
      <c r="Y741" s="105" t="str">
        <f t="shared" si="149"/>
        <v/>
      </c>
      <c r="Z741" s="76"/>
    </row>
    <row r="742" spans="1:27" s="29" customFormat="1" ht="21.4" customHeight="1" thickBot="1" x14ac:dyDescent="0.25">
      <c r="A742" s="59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1"/>
      <c r="N742" s="77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9"/>
    </row>
    <row r="743" spans="1:27" s="29" customFormat="1" ht="21.4" customHeight="1" thickBot="1" x14ac:dyDescent="0.25"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 spans="1:27" s="29" customFormat="1" ht="21.4" customHeight="1" x14ac:dyDescent="0.2">
      <c r="A744" s="411" t="s">
        <v>41</v>
      </c>
      <c r="B744" s="412"/>
      <c r="C744" s="412"/>
      <c r="D744" s="412"/>
      <c r="E744" s="412"/>
      <c r="F744" s="412"/>
      <c r="G744" s="412"/>
      <c r="H744" s="412"/>
      <c r="I744" s="412"/>
      <c r="J744" s="412"/>
      <c r="K744" s="412"/>
      <c r="L744" s="413"/>
      <c r="M744" s="28"/>
      <c r="N744" s="64"/>
      <c r="O744" s="408" t="s">
        <v>43</v>
      </c>
      <c r="P744" s="409"/>
      <c r="Q744" s="409"/>
      <c r="R744" s="410"/>
      <c r="S744" s="65"/>
      <c r="T744" s="408" t="s">
        <v>44</v>
      </c>
      <c r="U744" s="409"/>
      <c r="V744" s="409"/>
      <c r="W744" s="409"/>
      <c r="X744" s="409"/>
      <c r="Y744" s="410"/>
      <c r="Z744" s="66"/>
      <c r="AA744" s="28"/>
    </row>
    <row r="745" spans="1:27" s="29" customFormat="1" ht="21.4" customHeight="1" x14ac:dyDescent="0.2">
      <c r="A745" s="30"/>
      <c r="C745" s="398" t="s">
        <v>85</v>
      </c>
      <c r="D745" s="398"/>
      <c r="E745" s="398"/>
      <c r="F745" s="398"/>
      <c r="G745" s="31" t="str">
        <f>$J$1</f>
        <v>April</v>
      </c>
      <c r="H745" s="397">
        <f>$K$1</f>
        <v>2023</v>
      </c>
      <c r="I745" s="397"/>
      <c r="K745" s="32"/>
      <c r="L745" s="33"/>
      <c r="M745" s="32"/>
      <c r="N745" s="67"/>
      <c r="O745" s="68" t="s">
        <v>54</v>
      </c>
      <c r="P745" s="68" t="s">
        <v>7</v>
      </c>
      <c r="Q745" s="68" t="s">
        <v>6</v>
      </c>
      <c r="R745" s="68" t="s">
        <v>55</v>
      </c>
      <c r="S745" s="69"/>
      <c r="T745" s="68" t="s">
        <v>54</v>
      </c>
      <c r="U745" s="68" t="s">
        <v>56</v>
      </c>
      <c r="V745" s="68" t="s">
        <v>21</v>
      </c>
      <c r="W745" s="68" t="s">
        <v>20</v>
      </c>
      <c r="X745" s="68" t="s">
        <v>22</v>
      </c>
      <c r="Y745" s="68" t="s">
        <v>60</v>
      </c>
      <c r="Z745" s="70"/>
      <c r="AA745" s="32"/>
    </row>
    <row r="746" spans="1:27" s="29" customFormat="1" ht="21.4" customHeight="1" x14ac:dyDescent="0.2">
      <c r="A746" s="30"/>
      <c r="D746" s="35"/>
      <c r="E746" s="35"/>
      <c r="F746" s="35"/>
      <c r="G746" s="35"/>
      <c r="H746" s="35"/>
      <c r="J746" s="36" t="s">
        <v>1</v>
      </c>
      <c r="K746" s="37"/>
      <c r="L746" s="38"/>
      <c r="N746" s="71"/>
      <c r="O746" s="72" t="s">
        <v>46</v>
      </c>
      <c r="P746" s="72"/>
      <c r="Q746" s="72"/>
      <c r="R746" s="72"/>
      <c r="S746" s="73"/>
      <c r="T746" s="72" t="s">
        <v>46</v>
      </c>
      <c r="U746" s="74"/>
      <c r="V746" s="74"/>
      <c r="W746" s="74">
        <f>V746+U746</f>
        <v>0</v>
      </c>
      <c r="X746" s="74"/>
      <c r="Y746" s="74">
        <f>W746-X746</f>
        <v>0</v>
      </c>
      <c r="Z746" s="70"/>
    </row>
    <row r="747" spans="1:27" s="29" customFormat="1" ht="21.4" customHeight="1" x14ac:dyDescent="0.2">
      <c r="A747" s="30"/>
      <c r="B747" s="29" t="s">
        <v>0</v>
      </c>
      <c r="C747" s="40"/>
      <c r="H747" s="41"/>
      <c r="I747" s="35"/>
      <c r="L747" s="42"/>
      <c r="M747" s="28"/>
      <c r="N747" s="75"/>
      <c r="O747" s="72" t="s">
        <v>72</v>
      </c>
      <c r="P747" s="72"/>
      <c r="Q747" s="72"/>
      <c r="R747" s="72" t="str">
        <f>IF(Q747="","",R746-Q747)</f>
        <v/>
      </c>
      <c r="S747" s="63"/>
      <c r="T747" s="72" t="s">
        <v>72</v>
      </c>
      <c r="U747" s="105">
        <f>Y746</f>
        <v>0</v>
      </c>
      <c r="V747" s="74"/>
      <c r="W747" s="105">
        <f>IF(U747="","",U747+V747)</f>
        <v>0</v>
      </c>
      <c r="X747" s="74"/>
      <c r="Y747" s="105">
        <f>IF(W747="","",W747-X747)</f>
        <v>0</v>
      </c>
      <c r="Z747" s="76"/>
      <c r="AA747" s="28"/>
    </row>
    <row r="748" spans="1:27" s="29" customFormat="1" ht="21.4" customHeight="1" x14ac:dyDescent="0.2">
      <c r="A748" s="30"/>
      <c r="B748" s="44" t="s">
        <v>42</v>
      </c>
      <c r="C748" s="45"/>
      <c r="F748" s="414" t="s">
        <v>44</v>
      </c>
      <c r="G748" s="414"/>
      <c r="I748" s="414" t="s">
        <v>45</v>
      </c>
      <c r="J748" s="414"/>
      <c r="K748" s="414"/>
      <c r="L748" s="46"/>
      <c r="N748" s="71"/>
      <c r="O748" s="72" t="s">
        <v>47</v>
      </c>
      <c r="P748" s="72"/>
      <c r="Q748" s="72"/>
      <c r="R748" s="72" t="str">
        <f t="shared" ref="R748:R757" si="151">IF(Q748="","",R747-Q748)</f>
        <v/>
      </c>
      <c r="S748" s="63"/>
      <c r="T748" s="72" t="s">
        <v>47</v>
      </c>
      <c r="U748" s="105">
        <f>IF($J$1="April",Y747,Y747)</f>
        <v>0</v>
      </c>
      <c r="V748" s="74"/>
      <c r="W748" s="105">
        <f t="shared" ref="W748:W757" si="152">IF(U748="","",U748+V748)</f>
        <v>0</v>
      </c>
      <c r="X748" s="74"/>
      <c r="Y748" s="105">
        <f t="shared" ref="Y748:Y757" si="153">IF(W748="","",W748-X748)</f>
        <v>0</v>
      </c>
      <c r="Z748" s="76"/>
    </row>
    <row r="749" spans="1:27" s="29" customFormat="1" ht="21.4" customHeight="1" x14ac:dyDescent="0.2">
      <c r="A749" s="30"/>
      <c r="H749" s="47"/>
      <c r="L749" s="34"/>
      <c r="N749" s="71"/>
      <c r="O749" s="72" t="s">
        <v>48</v>
      </c>
      <c r="P749" s="72"/>
      <c r="Q749" s="72"/>
      <c r="R749" s="72" t="str">
        <f t="shared" si="151"/>
        <v/>
      </c>
      <c r="S749" s="63"/>
      <c r="T749" s="72" t="s">
        <v>48</v>
      </c>
      <c r="U749" s="105">
        <f>IF($J$1="April",Y748,Y748)</f>
        <v>0</v>
      </c>
      <c r="V749" s="74"/>
      <c r="W749" s="105">
        <f t="shared" si="152"/>
        <v>0</v>
      </c>
      <c r="X749" s="74"/>
      <c r="Y749" s="105">
        <f t="shared" si="153"/>
        <v>0</v>
      </c>
      <c r="Z749" s="76"/>
    </row>
    <row r="750" spans="1:27" s="29" customFormat="1" ht="21.4" customHeight="1" x14ac:dyDescent="0.2">
      <c r="A750" s="30"/>
      <c r="B750" s="392" t="s">
        <v>43</v>
      </c>
      <c r="C750" s="393"/>
      <c r="F750" s="48" t="s">
        <v>65</v>
      </c>
      <c r="G750" s="43">
        <f>IF($J$1="January",U746,IF($J$1="February",U747,IF($J$1="March",U748,IF($J$1="April",U749,IF($J$1="May",U750,IF($J$1="June",U751,IF($J$1="July",U752,IF($J$1="August",U753,IF($J$1="August",U753,IF($J$1="September",U754,IF($J$1="October",U755,IF($J$1="November",U756,IF($J$1="December",U757)))))))))))))</f>
        <v>0</v>
      </c>
      <c r="H750" s="47"/>
      <c r="I750" s="49"/>
      <c r="J750" s="50" t="s">
        <v>62</v>
      </c>
      <c r="K750" s="51">
        <f>K746/$K$2*I750</f>
        <v>0</v>
      </c>
      <c r="L750" s="52"/>
      <c r="N750" s="71"/>
      <c r="O750" s="72" t="s">
        <v>49</v>
      </c>
      <c r="P750" s="72"/>
      <c r="Q750" s="72"/>
      <c r="R750" s="72" t="str">
        <f t="shared" si="151"/>
        <v/>
      </c>
      <c r="S750" s="63"/>
      <c r="T750" s="72" t="s">
        <v>49</v>
      </c>
      <c r="U750" s="105">
        <f>IF($J$1="May",Y749,Y749)</f>
        <v>0</v>
      </c>
      <c r="V750" s="74"/>
      <c r="W750" s="105">
        <f t="shared" si="152"/>
        <v>0</v>
      </c>
      <c r="X750" s="74"/>
      <c r="Y750" s="105">
        <f t="shared" si="153"/>
        <v>0</v>
      </c>
      <c r="Z750" s="76"/>
    </row>
    <row r="751" spans="1:27" s="29" customFormat="1" ht="21.4" customHeight="1" x14ac:dyDescent="0.2">
      <c r="A751" s="30"/>
      <c r="B751" s="39"/>
      <c r="C751" s="39"/>
      <c r="F751" s="48" t="s">
        <v>21</v>
      </c>
      <c r="G751" s="43">
        <f>IF($J$1="January",V746,IF($J$1="February",V747,IF($J$1="March",V748,IF($J$1="April",V749,IF($J$1="May",V750,IF($J$1="June",V751,IF($J$1="July",V752,IF($J$1="August",V753,IF($J$1="August",V753,IF($J$1="September",V754,IF($J$1="October",V755,IF($J$1="November",V756,IF($J$1="December",V757)))))))))))))</f>
        <v>0</v>
      </c>
      <c r="H751" s="47"/>
      <c r="I751" s="84"/>
      <c r="J751" s="50" t="s">
        <v>63</v>
      </c>
      <c r="K751" s="53">
        <f>K746/$K$2/8*I751</f>
        <v>0</v>
      </c>
      <c r="L751" s="54"/>
      <c r="N751" s="71"/>
      <c r="O751" s="72" t="s">
        <v>50</v>
      </c>
      <c r="P751" s="72"/>
      <c r="Q751" s="72"/>
      <c r="R751" s="72" t="str">
        <f t="shared" si="151"/>
        <v/>
      </c>
      <c r="S751" s="63"/>
      <c r="T751" s="72" t="s">
        <v>50</v>
      </c>
      <c r="U751" s="105">
        <f>IF($J$1="May",Y750,Y750)</f>
        <v>0</v>
      </c>
      <c r="V751" s="74"/>
      <c r="W751" s="105">
        <f t="shared" si="152"/>
        <v>0</v>
      </c>
      <c r="X751" s="74"/>
      <c r="Y751" s="105">
        <f t="shared" si="153"/>
        <v>0</v>
      </c>
      <c r="Z751" s="76"/>
    </row>
    <row r="752" spans="1:27" s="29" customFormat="1" ht="21.4" customHeight="1" x14ac:dyDescent="0.2">
      <c r="A752" s="30"/>
      <c r="B752" s="48" t="s">
        <v>7</v>
      </c>
      <c r="C752" s="39">
        <f>IF($J$1="January",P746,IF($J$1="February",P747,IF($J$1="March",P748,IF($J$1="April",P749,IF($J$1="May",P750,IF($J$1="June",P751,IF($J$1="July",P752,IF($J$1="August",P753,IF($J$1="August",P753,IF($J$1="September",P754,IF($J$1="October",P755,IF($J$1="November",P756,IF($J$1="December",P757)))))))))))))</f>
        <v>0</v>
      </c>
      <c r="F752" s="48" t="s">
        <v>66</v>
      </c>
      <c r="G752" s="43">
        <f>IF($J$1="January",W746,IF($J$1="February",W747,IF($J$1="March",W748,IF($J$1="April",W749,IF($J$1="May",W750,IF($J$1="June",W751,IF($J$1="July",W752,IF($J$1="August",W753,IF($J$1="August",W753,IF($J$1="September",W754,IF($J$1="October",W755,IF($J$1="November",W756,IF($J$1="December",W757)))))))))))))</f>
        <v>0</v>
      </c>
      <c r="H752" s="47"/>
      <c r="I752" s="405" t="s">
        <v>70</v>
      </c>
      <c r="J752" s="406"/>
      <c r="K752" s="53">
        <f>K750+K751</f>
        <v>0</v>
      </c>
      <c r="L752" s="54"/>
      <c r="N752" s="71"/>
      <c r="O752" s="72" t="s">
        <v>51</v>
      </c>
      <c r="P752" s="72"/>
      <c r="Q752" s="72"/>
      <c r="R752" s="72" t="str">
        <f t="shared" si="151"/>
        <v/>
      </c>
      <c r="S752" s="63"/>
      <c r="T752" s="72" t="s">
        <v>51</v>
      </c>
      <c r="U752" s="105" t="str">
        <f>IF($J$1="July",Y751,"")</f>
        <v/>
      </c>
      <c r="V752" s="74"/>
      <c r="W752" s="105" t="str">
        <f t="shared" si="152"/>
        <v/>
      </c>
      <c r="X752" s="74"/>
      <c r="Y752" s="105" t="str">
        <f t="shared" si="153"/>
        <v/>
      </c>
      <c r="Z752" s="76"/>
    </row>
    <row r="753" spans="1:27" s="29" customFormat="1" ht="21.4" customHeight="1" x14ac:dyDescent="0.2">
      <c r="A753" s="30"/>
      <c r="B753" s="48" t="s">
        <v>6</v>
      </c>
      <c r="C753" s="39">
        <f>IF($J$1="January",Q746,IF($J$1="February",Q747,IF($J$1="March",Q748,IF($J$1="April",Q749,IF($J$1="May",Q750,IF($J$1="June",Q751,IF($J$1="July",Q752,IF($J$1="August",Q753,IF($J$1="August",Q753,IF($J$1="September",Q754,IF($J$1="October",Q755,IF($J$1="November",Q756,IF($J$1="December",Q757)))))))))))))</f>
        <v>0</v>
      </c>
      <c r="F753" s="48" t="s">
        <v>22</v>
      </c>
      <c r="G753" s="43">
        <f>IF($J$1="January",X746,IF($J$1="February",X747,IF($J$1="March",X748,IF($J$1="April",X749,IF($J$1="May",X750,IF($J$1="June",X751,IF($J$1="July",X752,IF($J$1="August",X753,IF($J$1="August",X753,IF($J$1="September",X754,IF($J$1="October",X755,IF($J$1="November",X756,IF($J$1="December",X757)))))))))))))</f>
        <v>0</v>
      </c>
      <c r="H753" s="47"/>
      <c r="I753" s="405" t="s">
        <v>71</v>
      </c>
      <c r="J753" s="406"/>
      <c r="K753" s="43">
        <f>G753</f>
        <v>0</v>
      </c>
      <c r="L753" s="55"/>
      <c r="N753" s="71"/>
      <c r="O753" s="72" t="s">
        <v>52</v>
      </c>
      <c r="P753" s="72"/>
      <c r="Q753" s="72"/>
      <c r="R753" s="72" t="str">
        <f t="shared" si="151"/>
        <v/>
      </c>
      <c r="S753" s="63"/>
      <c r="T753" s="72" t="s">
        <v>52</v>
      </c>
      <c r="U753" s="105" t="str">
        <f>IF($J$1="August",Y752,"")</f>
        <v/>
      </c>
      <c r="V753" s="74"/>
      <c r="W753" s="105" t="str">
        <f t="shared" si="152"/>
        <v/>
      </c>
      <c r="X753" s="74"/>
      <c r="Y753" s="105" t="str">
        <f t="shared" si="153"/>
        <v/>
      </c>
      <c r="Z753" s="76"/>
    </row>
    <row r="754" spans="1:27" s="29" customFormat="1" ht="21.4" customHeight="1" x14ac:dyDescent="0.2">
      <c r="A754" s="30"/>
      <c r="B754" s="56" t="s">
        <v>69</v>
      </c>
      <c r="C754" s="39" t="str">
        <f>IF($J$1="January",R746,IF($J$1="February",R747,IF($J$1="March",R748,IF($J$1="April",R749,IF($J$1="May",R750,IF($J$1="June",R751,IF($J$1="July",R752,IF($J$1="August",R753,IF($J$1="August",R753,IF($J$1="September",R754,IF($J$1="October",R755,IF($J$1="November",R756,IF($J$1="December",R757)))))))))))))</f>
        <v/>
      </c>
      <c r="F754" s="48" t="s">
        <v>68</v>
      </c>
      <c r="G754" s="43">
        <f>IF($J$1="January",Y746,IF($J$1="February",Y747,IF($J$1="March",Y748,IF($J$1="April",Y749,IF($J$1="May",Y750,IF($J$1="June",Y751,IF($J$1="July",Y752,IF($J$1="August",Y753,IF($J$1="August",Y753,IF($J$1="September",Y754,IF($J$1="October",Y755,IF($J$1="November",Y756,IF($J$1="December",Y757)))))))))))))</f>
        <v>0</v>
      </c>
      <c r="I754" s="394" t="s">
        <v>64</v>
      </c>
      <c r="J754" s="396"/>
      <c r="K754" s="57">
        <f>K752-K753</f>
        <v>0</v>
      </c>
      <c r="L754" s="58"/>
      <c r="N754" s="71"/>
      <c r="O754" s="72" t="s">
        <v>57</v>
      </c>
      <c r="P754" s="72"/>
      <c r="Q754" s="72"/>
      <c r="R754" s="72" t="str">
        <f t="shared" si="151"/>
        <v/>
      </c>
      <c r="S754" s="63"/>
      <c r="T754" s="72" t="s">
        <v>57</v>
      </c>
      <c r="U754" s="105" t="str">
        <f>IF($J$1="Sept",Y753,"")</f>
        <v/>
      </c>
      <c r="V754" s="74"/>
      <c r="W754" s="105" t="str">
        <f t="shared" si="152"/>
        <v/>
      </c>
      <c r="X754" s="74"/>
      <c r="Y754" s="105" t="str">
        <f t="shared" si="153"/>
        <v/>
      </c>
      <c r="Z754" s="76"/>
    </row>
    <row r="755" spans="1:27" s="29" customFormat="1" ht="21.4" customHeight="1" x14ac:dyDescent="0.2">
      <c r="A755" s="30"/>
      <c r="L755" s="46"/>
      <c r="N755" s="71"/>
      <c r="O755" s="72" t="s">
        <v>53</v>
      </c>
      <c r="P755" s="72"/>
      <c r="Q755" s="72"/>
      <c r="R755" s="72" t="str">
        <f t="shared" si="151"/>
        <v/>
      </c>
      <c r="S755" s="63"/>
      <c r="T755" s="72" t="s">
        <v>53</v>
      </c>
      <c r="U755" s="105" t="str">
        <f>IF($J$1="October",Y754,"")</f>
        <v/>
      </c>
      <c r="V755" s="74"/>
      <c r="W755" s="105" t="str">
        <f t="shared" si="152"/>
        <v/>
      </c>
      <c r="X755" s="74"/>
      <c r="Y755" s="105" t="str">
        <f t="shared" si="153"/>
        <v/>
      </c>
      <c r="Z755" s="76"/>
    </row>
    <row r="756" spans="1:27" s="29" customFormat="1" ht="21.4" customHeight="1" x14ac:dyDescent="0.2">
      <c r="A756" s="30"/>
      <c r="B756" s="407" t="s">
        <v>87</v>
      </c>
      <c r="C756" s="407"/>
      <c r="D756" s="407"/>
      <c r="E756" s="407"/>
      <c r="F756" s="407"/>
      <c r="G756" s="407"/>
      <c r="H756" s="407"/>
      <c r="I756" s="407"/>
      <c r="J756" s="407"/>
      <c r="K756" s="407"/>
      <c r="L756" s="46"/>
      <c r="N756" s="71"/>
      <c r="O756" s="72" t="s">
        <v>58</v>
      </c>
      <c r="P756" s="72"/>
      <c r="Q756" s="72"/>
      <c r="R756" s="72" t="str">
        <f t="shared" si="151"/>
        <v/>
      </c>
      <c r="S756" s="63"/>
      <c r="T756" s="72" t="s">
        <v>58</v>
      </c>
      <c r="U756" s="105" t="str">
        <f>IF($J$1="November",Y755,"")</f>
        <v/>
      </c>
      <c r="V756" s="74"/>
      <c r="W756" s="105" t="str">
        <f t="shared" si="152"/>
        <v/>
      </c>
      <c r="X756" s="74"/>
      <c r="Y756" s="105" t="str">
        <f t="shared" si="153"/>
        <v/>
      </c>
      <c r="Z756" s="76"/>
    </row>
    <row r="757" spans="1:27" s="29" customFormat="1" ht="21.4" customHeight="1" x14ac:dyDescent="0.2">
      <c r="A757" s="30"/>
      <c r="B757" s="407"/>
      <c r="C757" s="407"/>
      <c r="D757" s="407"/>
      <c r="E757" s="407"/>
      <c r="F757" s="407"/>
      <c r="G757" s="407"/>
      <c r="H757" s="407"/>
      <c r="I757" s="407"/>
      <c r="J757" s="407"/>
      <c r="K757" s="407"/>
      <c r="L757" s="46"/>
      <c r="N757" s="71"/>
      <c r="O757" s="72" t="s">
        <v>59</v>
      </c>
      <c r="P757" s="72"/>
      <c r="Q757" s="72"/>
      <c r="R757" s="72" t="str">
        <f t="shared" si="151"/>
        <v/>
      </c>
      <c r="S757" s="63"/>
      <c r="T757" s="72" t="s">
        <v>59</v>
      </c>
      <c r="U757" s="105" t="str">
        <f>IF($J$1="Dec",Y756,"")</f>
        <v/>
      </c>
      <c r="V757" s="74"/>
      <c r="W757" s="105" t="str">
        <f t="shared" si="152"/>
        <v/>
      </c>
      <c r="X757" s="74"/>
      <c r="Y757" s="105" t="str">
        <f t="shared" si="153"/>
        <v/>
      </c>
      <c r="Z757" s="76"/>
    </row>
    <row r="758" spans="1:27" s="29" customFormat="1" ht="21.4" customHeight="1" thickBot="1" x14ac:dyDescent="0.25">
      <c r="A758" s="59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1"/>
      <c r="N758" s="77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9"/>
    </row>
    <row r="759" spans="1:27" s="29" customFormat="1" ht="21.4" customHeight="1" thickBot="1" x14ac:dyDescent="0.25"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 spans="1:27" s="29" customFormat="1" ht="21.4" customHeight="1" x14ac:dyDescent="0.2">
      <c r="A760" s="431" t="s">
        <v>41</v>
      </c>
      <c r="B760" s="432"/>
      <c r="C760" s="432"/>
      <c r="D760" s="432"/>
      <c r="E760" s="432"/>
      <c r="F760" s="432"/>
      <c r="G760" s="432"/>
      <c r="H760" s="432"/>
      <c r="I760" s="432"/>
      <c r="J760" s="432"/>
      <c r="K760" s="432"/>
      <c r="L760" s="433"/>
      <c r="M760" s="28"/>
      <c r="N760" s="64"/>
      <c r="O760" s="408" t="s">
        <v>43</v>
      </c>
      <c r="P760" s="409"/>
      <c r="Q760" s="409"/>
      <c r="R760" s="410"/>
      <c r="S760" s="65"/>
      <c r="T760" s="408" t="s">
        <v>44</v>
      </c>
      <c r="U760" s="409"/>
      <c r="V760" s="409"/>
      <c r="W760" s="409"/>
      <c r="X760" s="409"/>
      <c r="Y760" s="410"/>
      <c r="Z760" s="66"/>
      <c r="AA760" s="28"/>
    </row>
    <row r="761" spans="1:27" s="29" customFormat="1" ht="21.4" customHeight="1" x14ac:dyDescent="0.2">
      <c r="A761" s="30"/>
      <c r="C761" s="398" t="s">
        <v>85</v>
      </c>
      <c r="D761" s="398"/>
      <c r="E761" s="398"/>
      <c r="F761" s="398"/>
      <c r="G761" s="31" t="str">
        <f>$J$1</f>
        <v>April</v>
      </c>
      <c r="H761" s="397">
        <f>$K$1</f>
        <v>2023</v>
      </c>
      <c r="I761" s="397"/>
      <c r="K761" s="32"/>
      <c r="L761" s="33"/>
      <c r="M761" s="32"/>
      <c r="N761" s="67"/>
      <c r="O761" s="68" t="s">
        <v>54</v>
      </c>
      <c r="P761" s="68" t="s">
        <v>7</v>
      </c>
      <c r="Q761" s="68" t="s">
        <v>6</v>
      </c>
      <c r="R761" s="68" t="s">
        <v>55</v>
      </c>
      <c r="S761" s="69"/>
      <c r="T761" s="68" t="s">
        <v>54</v>
      </c>
      <c r="U761" s="68" t="s">
        <v>56</v>
      </c>
      <c r="V761" s="68" t="s">
        <v>21</v>
      </c>
      <c r="W761" s="68" t="s">
        <v>20</v>
      </c>
      <c r="X761" s="68" t="s">
        <v>22</v>
      </c>
      <c r="Y761" s="68" t="s">
        <v>60</v>
      </c>
      <c r="Z761" s="70"/>
      <c r="AA761" s="32"/>
    </row>
    <row r="762" spans="1:27" s="29" customFormat="1" ht="21.4" customHeight="1" x14ac:dyDescent="0.2">
      <c r="A762" s="30"/>
      <c r="D762" s="35"/>
      <c r="E762" s="35"/>
      <c r="F762" s="35"/>
      <c r="G762" s="35"/>
      <c r="H762" s="35"/>
      <c r="J762" s="36" t="s">
        <v>1</v>
      </c>
      <c r="K762" s="37">
        <v>800</v>
      </c>
      <c r="L762" s="38"/>
      <c r="N762" s="71"/>
      <c r="O762" s="72" t="s">
        <v>46</v>
      </c>
      <c r="P762" s="72"/>
      <c r="Q762" s="72"/>
      <c r="R762" s="72">
        <v>0</v>
      </c>
      <c r="S762" s="73"/>
      <c r="T762" s="72" t="s">
        <v>46</v>
      </c>
      <c r="U762" s="74"/>
      <c r="V762" s="74"/>
      <c r="W762" s="74">
        <f>V762+U762</f>
        <v>0</v>
      </c>
      <c r="X762" s="74"/>
      <c r="Y762" s="74">
        <f>W762-X762</f>
        <v>0</v>
      </c>
      <c r="Z762" s="70"/>
    </row>
    <row r="763" spans="1:27" s="29" customFormat="1" ht="21.4" customHeight="1" x14ac:dyDescent="0.2">
      <c r="A763" s="30"/>
      <c r="B763" s="29" t="s">
        <v>0</v>
      </c>
      <c r="C763" s="40"/>
      <c r="H763" s="41"/>
      <c r="I763" s="35"/>
      <c r="L763" s="42"/>
      <c r="M763" s="28"/>
      <c r="N763" s="75"/>
      <c r="O763" s="72" t="s">
        <v>72</v>
      </c>
      <c r="P763" s="72"/>
      <c r="Q763" s="72"/>
      <c r="R763" s="72" t="str">
        <f>IF(Q763="","",R762-Q763)</f>
        <v/>
      </c>
      <c r="S763" s="63"/>
      <c r="T763" s="72" t="s">
        <v>72</v>
      </c>
      <c r="U763" s="105"/>
      <c r="V763" s="74"/>
      <c r="W763" s="105" t="str">
        <f>IF(U763="","",U763+V763)</f>
        <v/>
      </c>
      <c r="X763" s="74"/>
      <c r="Y763" s="105" t="str">
        <f>IF(W763="","",W763-X763)</f>
        <v/>
      </c>
      <c r="Z763" s="76"/>
      <c r="AA763" s="28"/>
    </row>
    <row r="764" spans="1:27" s="29" customFormat="1" ht="21.4" customHeight="1" x14ac:dyDescent="0.2">
      <c r="A764" s="30"/>
      <c r="B764" s="44" t="s">
        <v>42</v>
      </c>
      <c r="C764" s="45"/>
      <c r="F764" s="414" t="s">
        <v>44</v>
      </c>
      <c r="G764" s="414"/>
      <c r="I764" s="414" t="s">
        <v>45</v>
      </c>
      <c r="J764" s="414"/>
      <c r="K764" s="414"/>
      <c r="L764" s="46"/>
      <c r="N764" s="71"/>
      <c r="O764" s="72" t="s">
        <v>47</v>
      </c>
      <c r="P764" s="72"/>
      <c r="Q764" s="72"/>
      <c r="R764" s="72" t="str">
        <f t="shared" ref="R764:R773" si="154">IF(Q764="","",R763-Q764)</f>
        <v/>
      </c>
      <c r="S764" s="63"/>
      <c r="T764" s="72" t="s">
        <v>47</v>
      </c>
      <c r="U764" s="105"/>
      <c r="V764" s="74"/>
      <c r="W764" s="105" t="str">
        <f t="shared" ref="W764:W773" si="155">IF(U764="","",U764+V764)</f>
        <v/>
      </c>
      <c r="X764" s="74"/>
      <c r="Y764" s="105" t="str">
        <f t="shared" ref="Y764:Y773" si="156">IF(W764="","",W764-X764)</f>
        <v/>
      </c>
      <c r="Z764" s="76"/>
    </row>
    <row r="765" spans="1:27" s="29" customFormat="1" ht="21.4" customHeight="1" x14ac:dyDescent="0.2">
      <c r="A765" s="30"/>
      <c r="H765" s="47"/>
      <c r="L765" s="34"/>
      <c r="N765" s="71"/>
      <c r="O765" s="72" t="s">
        <v>48</v>
      </c>
      <c r="P765" s="72"/>
      <c r="Q765" s="72"/>
      <c r="R765" s="72" t="str">
        <f t="shared" si="154"/>
        <v/>
      </c>
      <c r="S765" s="63"/>
      <c r="T765" s="72" t="s">
        <v>48</v>
      </c>
      <c r="U765" s="105"/>
      <c r="V765" s="74"/>
      <c r="W765" s="105" t="str">
        <f t="shared" si="155"/>
        <v/>
      </c>
      <c r="X765" s="74"/>
      <c r="Y765" s="105" t="str">
        <f t="shared" si="156"/>
        <v/>
      </c>
      <c r="Z765" s="76"/>
    </row>
    <row r="766" spans="1:27" s="29" customFormat="1" ht="21.4" customHeight="1" x14ac:dyDescent="0.2">
      <c r="A766" s="30"/>
      <c r="B766" s="392" t="s">
        <v>43</v>
      </c>
      <c r="C766" s="393"/>
      <c r="F766" s="48" t="s">
        <v>65</v>
      </c>
      <c r="G766" s="43">
        <f>IF($J$1="January",U762,IF($J$1="February",U763,IF($J$1="March",U764,IF($J$1="April",U765,IF($J$1="May",U766,IF($J$1="June",U767,IF($J$1="July",U768,IF($J$1="August",U769,IF($J$1="August",U769,IF($J$1="September",U770,IF($J$1="October",U771,IF($J$1="November",U772,IF($J$1="December",U773)))))))))))))</f>
        <v>0</v>
      </c>
      <c r="H766" s="47"/>
      <c r="I766" s="49">
        <v>31</v>
      </c>
      <c r="J766" s="50" t="s">
        <v>62</v>
      </c>
      <c r="K766" s="51">
        <f>K762*I766</f>
        <v>24800</v>
      </c>
      <c r="L766" s="52"/>
      <c r="N766" s="71"/>
      <c r="O766" s="72" t="s">
        <v>49</v>
      </c>
      <c r="P766" s="72"/>
      <c r="Q766" s="72"/>
      <c r="R766" s="72" t="str">
        <f t="shared" si="154"/>
        <v/>
      </c>
      <c r="S766" s="63"/>
      <c r="T766" s="72" t="s">
        <v>49</v>
      </c>
      <c r="U766" s="105"/>
      <c r="V766" s="74"/>
      <c r="W766" s="105" t="str">
        <f t="shared" si="155"/>
        <v/>
      </c>
      <c r="X766" s="74"/>
      <c r="Y766" s="105" t="str">
        <f t="shared" si="156"/>
        <v/>
      </c>
      <c r="Z766" s="76"/>
    </row>
    <row r="767" spans="1:27" s="29" customFormat="1" ht="21.4" customHeight="1" x14ac:dyDescent="0.2">
      <c r="A767" s="30"/>
      <c r="B767" s="39"/>
      <c r="C767" s="39"/>
      <c r="F767" s="48" t="s">
        <v>21</v>
      </c>
      <c r="G767" s="43">
        <f>IF($J$1="January",V762,IF($J$1="February",V763,IF($J$1="March",V764,IF($J$1="April",V765,IF($J$1="May",V766,IF($J$1="June",V767,IF($J$1="July",V768,IF($J$1="August",V769,IF($J$1="August",V769,IF($J$1="September",V770,IF($J$1="October",V771,IF($J$1="November",V772,IF($J$1="December",V773)))))))))))))</f>
        <v>0</v>
      </c>
      <c r="H767" s="47"/>
      <c r="I767" s="49"/>
      <c r="J767" s="50" t="s">
        <v>63</v>
      </c>
      <c r="K767" s="53">
        <f>K762/8*I767</f>
        <v>0</v>
      </c>
      <c r="L767" s="54"/>
      <c r="N767" s="71"/>
      <c r="O767" s="72" t="s">
        <v>50</v>
      </c>
      <c r="P767" s="72"/>
      <c r="Q767" s="72"/>
      <c r="R767" s="72" t="str">
        <f t="shared" si="154"/>
        <v/>
      </c>
      <c r="S767" s="63"/>
      <c r="T767" s="72" t="s">
        <v>50</v>
      </c>
      <c r="U767" s="105"/>
      <c r="V767" s="74"/>
      <c r="W767" s="105" t="str">
        <f t="shared" si="155"/>
        <v/>
      </c>
      <c r="X767" s="74"/>
      <c r="Y767" s="105" t="str">
        <f t="shared" si="156"/>
        <v/>
      </c>
      <c r="Z767" s="76"/>
    </row>
    <row r="768" spans="1:27" s="29" customFormat="1" ht="21.4" customHeight="1" x14ac:dyDescent="0.2">
      <c r="A768" s="30"/>
      <c r="B768" s="48" t="s">
        <v>7</v>
      </c>
      <c r="C768" s="39">
        <f>IF($J$1="January",P762,IF($J$1="February",P763,IF($J$1="March",P764,IF($J$1="April",P765,IF($J$1="May",P766,IF($J$1="June",P767,IF($J$1="July",P768,IF($J$1="August",P769,IF($J$1="August",P769,IF($J$1="September",P770,IF($J$1="October",P771,IF($J$1="November",P772,IF($J$1="December",P773)))))))))))))</f>
        <v>0</v>
      </c>
      <c r="F768" s="48" t="s">
        <v>66</v>
      </c>
      <c r="G768" s="43" t="str">
        <f>IF($J$1="January",W762,IF($J$1="February",W763,IF($J$1="March",W764,IF($J$1="April",W765,IF($J$1="May",W766,IF($J$1="June",W767,IF($J$1="July",W768,IF($J$1="August",W769,IF($J$1="August",W769,IF($J$1="September",W770,IF($J$1="October",W771,IF($J$1="November",W772,IF($J$1="December",W773)))))))))))))</f>
        <v/>
      </c>
      <c r="H768" s="47"/>
      <c r="I768" s="405" t="s">
        <v>70</v>
      </c>
      <c r="J768" s="406"/>
      <c r="K768" s="53">
        <f>K766+K767</f>
        <v>24800</v>
      </c>
      <c r="L768" s="54"/>
      <c r="N768" s="71"/>
      <c r="O768" s="72" t="s">
        <v>51</v>
      </c>
      <c r="P768" s="72"/>
      <c r="Q768" s="72"/>
      <c r="R768" s="72" t="str">
        <f t="shared" si="154"/>
        <v/>
      </c>
      <c r="S768" s="63"/>
      <c r="T768" s="72" t="s">
        <v>51</v>
      </c>
      <c r="U768" s="105"/>
      <c r="V768" s="74"/>
      <c r="W768" s="105" t="str">
        <f t="shared" si="155"/>
        <v/>
      </c>
      <c r="X768" s="74"/>
      <c r="Y768" s="105" t="str">
        <f t="shared" si="156"/>
        <v/>
      </c>
      <c r="Z768" s="76"/>
    </row>
    <row r="769" spans="1:26" s="29" customFormat="1" ht="21.4" customHeight="1" x14ac:dyDescent="0.2">
      <c r="A769" s="30"/>
      <c r="B769" s="48" t="s">
        <v>6</v>
      </c>
      <c r="C769" s="39">
        <f>IF($J$1="January",Q762,IF($J$1="February",Q763,IF($J$1="March",Q764,IF($J$1="April",Q765,IF($J$1="May",Q766,IF($J$1="June",Q767,IF($J$1="July",Q768,IF($J$1="August",Q769,IF($J$1="August",Q769,IF($J$1="September",Q770,IF($J$1="October",Q771,IF($J$1="November",Q772,IF($J$1="December",Q773)))))))))))))</f>
        <v>0</v>
      </c>
      <c r="F769" s="48" t="s">
        <v>22</v>
      </c>
      <c r="G769" s="43">
        <f>IF($J$1="January",X762,IF($J$1="February",X763,IF($J$1="March",X764,IF($J$1="April",X765,IF($J$1="May",X766,IF($J$1="June",X767,IF($J$1="July",X768,IF($J$1="August",X769,IF($J$1="August",X769,IF($J$1="September",X770,IF($J$1="October",X771,IF($J$1="November",X772,IF($J$1="December",X773)))))))))))))</f>
        <v>0</v>
      </c>
      <c r="H769" s="47"/>
      <c r="I769" s="405" t="s">
        <v>71</v>
      </c>
      <c r="J769" s="406"/>
      <c r="K769" s="43">
        <f>G769</f>
        <v>0</v>
      </c>
      <c r="L769" s="55"/>
      <c r="N769" s="71"/>
      <c r="O769" s="72" t="s">
        <v>52</v>
      </c>
      <c r="P769" s="72"/>
      <c r="Q769" s="72"/>
      <c r="R769" s="72" t="str">
        <f t="shared" si="154"/>
        <v/>
      </c>
      <c r="S769" s="63"/>
      <c r="T769" s="72" t="s">
        <v>52</v>
      </c>
      <c r="U769" s="105"/>
      <c r="V769" s="74"/>
      <c r="W769" s="105" t="str">
        <f t="shared" si="155"/>
        <v/>
      </c>
      <c r="X769" s="74"/>
      <c r="Y769" s="105" t="str">
        <f t="shared" si="156"/>
        <v/>
      </c>
      <c r="Z769" s="76"/>
    </row>
    <row r="770" spans="1:26" s="29" customFormat="1" ht="21.4" customHeight="1" x14ac:dyDescent="0.2">
      <c r="A770" s="30"/>
      <c r="B770" s="56" t="s">
        <v>69</v>
      </c>
      <c r="C770" s="39" t="str">
        <f>IF($J$1="January",R762,IF($J$1="February",R763,IF($J$1="March",R764,IF($J$1="April",R765,IF($J$1="May",R766,IF($J$1="June",R767,IF($J$1="July",R768,IF($J$1="August",R769,IF($J$1="August",R769,IF($J$1="September",R770,IF($J$1="October",R771,IF($J$1="November",R772,IF($J$1="December",R773)))))))))))))</f>
        <v/>
      </c>
      <c r="F770" s="48" t="s">
        <v>68</v>
      </c>
      <c r="G770" s="43" t="str">
        <f>IF($J$1="January",Y762,IF($J$1="February",Y763,IF($J$1="March",Y764,IF($J$1="April",Y765,IF($J$1="May",Y766,IF($J$1="June",Y767,IF($J$1="July",Y768,IF($J$1="August",Y769,IF($J$1="August",Y769,IF($J$1="September",Y770,IF($J$1="October",Y771,IF($J$1="November",Y772,IF($J$1="December",Y773)))))))))))))</f>
        <v/>
      </c>
      <c r="I770" s="394" t="s">
        <v>64</v>
      </c>
      <c r="J770" s="396"/>
      <c r="K770" s="57"/>
      <c r="L770" s="58"/>
      <c r="N770" s="71"/>
      <c r="O770" s="72" t="s">
        <v>57</v>
      </c>
      <c r="P770" s="72"/>
      <c r="Q770" s="72"/>
      <c r="R770" s="72" t="str">
        <f t="shared" si="154"/>
        <v/>
      </c>
      <c r="S770" s="63"/>
      <c r="T770" s="72" t="s">
        <v>57</v>
      </c>
      <c r="U770" s="105"/>
      <c r="V770" s="74"/>
      <c r="W770" s="105" t="str">
        <f t="shared" si="155"/>
        <v/>
      </c>
      <c r="X770" s="74"/>
      <c r="Y770" s="105" t="str">
        <f t="shared" si="156"/>
        <v/>
      </c>
      <c r="Z770" s="76"/>
    </row>
    <row r="771" spans="1:26" s="29" customFormat="1" ht="21.4" customHeight="1" x14ac:dyDescent="0.2">
      <c r="A771" s="30"/>
      <c r="L771" s="46"/>
      <c r="N771" s="71"/>
      <c r="O771" s="72" t="s">
        <v>53</v>
      </c>
      <c r="P771" s="72"/>
      <c r="Q771" s="72"/>
      <c r="R771" s="72" t="str">
        <f t="shared" si="154"/>
        <v/>
      </c>
      <c r="S771" s="63"/>
      <c r="T771" s="72" t="s">
        <v>53</v>
      </c>
      <c r="U771" s="105"/>
      <c r="V771" s="74"/>
      <c r="W771" s="105" t="str">
        <f t="shared" si="155"/>
        <v/>
      </c>
      <c r="X771" s="74"/>
      <c r="Y771" s="105" t="str">
        <f t="shared" si="156"/>
        <v/>
      </c>
      <c r="Z771" s="76"/>
    </row>
    <row r="772" spans="1:26" s="29" customFormat="1" ht="21.4" customHeight="1" x14ac:dyDescent="0.2">
      <c r="A772" s="30"/>
      <c r="B772" s="407" t="s">
        <v>87</v>
      </c>
      <c r="C772" s="407"/>
      <c r="D772" s="407"/>
      <c r="E772" s="407"/>
      <c r="F772" s="407"/>
      <c r="G772" s="407"/>
      <c r="H772" s="407"/>
      <c r="I772" s="407"/>
      <c r="J772" s="407"/>
      <c r="K772" s="407"/>
      <c r="L772" s="46"/>
      <c r="N772" s="71"/>
      <c r="O772" s="72" t="s">
        <v>58</v>
      </c>
      <c r="P772" s="72"/>
      <c r="Q772" s="72"/>
      <c r="R772" s="72" t="str">
        <f t="shared" si="154"/>
        <v/>
      </c>
      <c r="S772" s="63"/>
      <c r="T772" s="72" t="s">
        <v>58</v>
      </c>
      <c r="U772" s="105"/>
      <c r="V772" s="74"/>
      <c r="W772" s="105" t="str">
        <f t="shared" si="155"/>
        <v/>
      </c>
      <c r="X772" s="74"/>
      <c r="Y772" s="105" t="str">
        <f t="shared" si="156"/>
        <v/>
      </c>
      <c r="Z772" s="76"/>
    </row>
    <row r="773" spans="1:26" s="29" customFormat="1" ht="21.4" customHeight="1" x14ac:dyDescent="0.2">
      <c r="A773" s="30"/>
      <c r="B773" s="407"/>
      <c r="C773" s="407"/>
      <c r="D773" s="407"/>
      <c r="E773" s="407"/>
      <c r="F773" s="407"/>
      <c r="G773" s="407"/>
      <c r="H773" s="407"/>
      <c r="I773" s="407"/>
      <c r="J773" s="407"/>
      <c r="K773" s="407"/>
      <c r="L773" s="46"/>
      <c r="N773" s="71"/>
      <c r="O773" s="72" t="s">
        <v>59</v>
      </c>
      <c r="P773" s="72"/>
      <c r="Q773" s="72"/>
      <c r="R773" s="72" t="str">
        <f t="shared" si="154"/>
        <v/>
      </c>
      <c r="S773" s="63"/>
      <c r="T773" s="72" t="s">
        <v>59</v>
      </c>
      <c r="U773" s="105"/>
      <c r="V773" s="74"/>
      <c r="W773" s="105" t="str">
        <f t="shared" si="155"/>
        <v/>
      </c>
      <c r="X773" s="74"/>
      <c r="Y773" s="105" t="str">
        <f t="shared" si="156"/>
        <v/>
      </c>
      <c r="Z773" s="76"/>
    </row>
    <row r="774" spans="1:26" s="29" customFormat="1" ht="21.4" customHeight="1" thickBot="1" x14ac:dyDescent="0.25">
      <c r="A774" s="59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1"/>
      <c r="N774" s="77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9"/>
    </row>
    <row r="775" spans="1:26" s="29" customFormat="1" ht="21.4" customHeight="1" x14ac:dyDescent="0.2">
      <c r="A775" s="428" t="s">
        <v>41</v>
      </c>
      <c r="B775" s="429"/>
      <c r="C775" s="429"/>
      <c r="D775" s="429"/>
      <c r="E775" s="429"/>
      <c r="F775" s="429"/>
      <c r="G775" s="429"/>
      <c r="H775" s="429"/>
      <c r="I775" s="429"/>
      <c r="J775" s="429"/>
      <c r="K775" s="429"/>
      <c r="L775" s="430"/>
      <c r="M775" s="28"/>
      <c r="N775" s="64"/>
      <c r="O775" s="408" t="s">
        <v>43</v>
      </c>
      <c r="P775" s="409"/>
      <c r="Q775" s="409"/>
      <c r="R775" s="410"/>
      <c r="S775" s="65"/>
      <c r="T775" s="408" t="s">
        <v>44</v>
      </c>
      <c r="U775" s="409"/>
      <c r="V775" s="409"/>
      <c r="W775" s="409"/>
      <c r="X775" s="409"/>
      <c r="Y775" s="410"/>
      <c r="Z775" s="63"/>
    </row>
    <row r="776" spans="1:26" s="29" customFormat="1" ht="21.4" customHeight="1" x14ac:dyDescent="0.2">
      <c r="A776" s="30"/>
      <c r="C776" s="398" t="s">
        <v>85</v>
      </c>
      <c r="D776" s="398"/>
      <c r="E776" s="398"/>
      <c r="F776" s="398"/>
      <c r="G776" s="31" t="str">
        <f>$J$1</f>
        <v>April</v>
      </c>
      <c r="H776" s="397">
        <f>$K$1</f>
        <v>2023</v>
      </c>
      <c r="I776" s="397"/>
      <c r="K776" s="32"/>
      <c r="L776" s="33"/>
      <c r="M776" s="32"/>
      <c r="N776" s="67"/>
      <c r="O776" s="68" t="s">
        <v>54</v>
      </c>
      <c r="P776" s="68" t="s">
        <v>7</v>
      </c>
      <c r="Q776" s="68" t="s">
        <v>6</v>
      </c>
      <c r="R776" s="68" t="s">
        <v>55</v>
      </c>
      <c r="S776" s="69"/>
      <c r="T776" s="68" t="s">
        <v>54</v>
      </c>
      <c r="U776" s="68" t="s">
        <v>56</v>
      </c>
      <c r="V776" s="68" t="s">
        <v>21</v>
      </c>
      <c r="W776" s="68" t="s">
        <v>20</v>
      </c>
      <c r="X776" s="68" t="s">
        <v>22</v>
      </c>
      <c r="Y776" s="68" t="s">
        <v>60</v>
      </c>
      <c r="Z776" s="63"/>
    </row>
    <row r="777" spans="1:26" s="29" customFormat="1" ht="21.4" customHeight="1" x14ac:dyDescent="0.2">
      <c r="A777" s="30"/>
      <c r="D777" s="35"/>
      <c r="E777" s="35"/>
      <c r="F777" s="35"/>
      <c r="G777" s="35"/>
      <c r="H777" s="35"/>
      <c r="J777" s="36" t="s">
        <v>1</v>
      </c>
      <c r="K777" s="37"/>
      <c r="L777" s="38"/>
      <c r="N777" s="71"/>
      <c r="O777" s="72" t="s">
        <v>46</v>
      </c>
      <c r="P777" s="72"/>
      <c r="Q777" s="72"/>
      <c r="R777" s="72">
        <v>0</v>
      </c>
      <c r="S777" s="73"/>
      <c r="T777" s="72" t="s">
        <v>46</v>
      </c>
      <c r="U777" s="74"/>
      <c r="V777" s="74"/>
      <c r="W777" s="74">
        <f>V777+U777</f>
        <v>0</v>
      </c>
      <c r="X777" s="74"/>
      <c r="Y777" s="74">
        <f>W777-X777</f>
        <v>0</v>
      </c>
      <c r="Z777" s="63"/>
    </row>
    <row r="778" spans="1:26" s="29" customFormat="1" ht="21.4" customHeight="1" x14ac:dyDescent="0.2">
      <c r="A778" s="30"/>
      <c r="B778" s="29" t="s">
        <v>0</v>
      </c>
      <c r="C778" s="40"/>
      <c r="H778" s="41"/>
      <c r="I778" s="35"/>
      <c r="L778" s="42"/>
      <c r="M778" s="28"/>
      <c r="N778" s="75"/>
      <c r="O778" s="72" t="s">
        <v>72</v>
      </c>
      <c r="P778" s="72"/>
      <c r="Q778" s="72"/>
      <c r="R778" s="72">
        <v>0</v>
      </c>
      <c r="S778" s="63"/>
      <c r="T778" s="72" t="s">
        <v>72</v>
      </c>
      <c r="U778" s="105">
        <f>Y777</f>
        <v>0</v>
      </c>
      <c r="V778" s="74"/>
      <c r="W778" s="105">
        <f>IF(U778="","",U778+V778)</f>
        <v>0</v>
      </c>
      <c r="X778" s="74"/>
      <c r="Y778" s="105">
        <f>IF(W778="","",W778-X778)</f>
        <v>0</v>
      </c>
      <c r="Z778" s="63"/>
    </row>
    <row r="779" spans="1:26" s="29" customFormat="1" ht="21.4" customHeight="1" x14ac:dyDescent="0.2">
      <c r="A779" s="30"/>
      <c r="B779" s="44" t="s">
        <v>42</v>
      </c>
      <c r="C779" s="45"/>
      <c r="F779" s="414" t="s">
        <v>44</v>
      </c>
      <c r="G779" s="414"/>
      <c r="I779" s="414" t="s">
        <v>45</v>
      </c>
      <c r="J779" s="414"/>
      <c r="K779" s="414"/>
      <c r="L779" s="46"/>
      <c r="N779" s="71"/>
      <c r="O779" s="72" t="s">
        <v>47</v>
      </c>
      <c r="P779" s="72"/>
      <c r="Q779" s="72"/>
      <c r="R779" s="72">
        <v>0</v>
      </c>
      <c r="S779" s="63"/>
      <c r="T779" s="72" t="s">
        <v>47</v>
      </c>
      <c r="U779" s="105">
        <f>IF($J$1="April",Y778,Y778)</f>
        <v>0</v>
      </c>
      <c r="V779" s="74"/>
      <c r="W779" s="105">
        <f t="shared" ref="W779:W788" si="157">IF(U779="","",U779+V779)</f>
        <v>0</v>
      </c>
      <c r="X779" s="74"/>
      <c r="Y779" s="105">
        <f t="shared" ref="Y779:Y788" si="158">IF(W779="","",W779-X779)</f>
        <v>0</v>
      </c>
      <c r="Z779" s="63"/>
    </row>
    <row r="780" spans="1:26" s="29" customFormat="1" ht="21.4" customHeight="1" x14ac:dyDescent="0.2">
      <c r="A780" s="30"/>
      <c r="H780" s="47"/>
      <c r="L780" s="34"/>
      <c r="N780" s="71"/>
      <c r="O780" s="72" t="s">
        <v>48</v>
      </c>
      <c r="P780" s="72"/>
      <c r="Q780" s="72"/>
      <c r="R780" s="72" t="str">
        <f t="shared" ref="R780:R788" si="159">IF(Q780="","",R779-Q780)</f>
        <v/>
      </c>
      <c r="S780" s="63"/>
      <c r="T780" s="72" t="s">
        <v>48</v>
      </c>
      <c r="U780" s="105">
        <f>IF($J$1="April",Y779,Y779)</f>
        <v>0</v>
      </c>
      <c r="V780" s="74"/>
      <c r="W780" s="105">
        <f t="shared" si="157"/>
        <v>0</v>
      </c>
      <c r="X780" s="74"/>
      <c r="Y780" s="105">
        <f t="shared" si="158"/>
        <v>0</v>
      </c>
      <c r="Z780" s="63"/>
    </row>
    <row r="781" spans="1:26" s="29" customFormat="1" ht="21.4" customHeight="1" x14ac:dyDescent="0.2">
      <c r="A781" s="30"/>
      <c r="B781" s="392" t="s">
        <v>43</v>
      </c>
      <c r="C781" s="393"/>
      <c r="F781" s="48" t="s">
        <v>65</v>
      </c>
      <c r="G781" s="43">
        <f>IF($J$1="January",U777,IF($J$1="February",U778,IF($J$1="March",U779,IF($J$1="April",U780,IF($J$1="May",U781,IF($J$1="June",U782,IF($J$1="July",U783,IF($J$1="August",U784,IF($J$1="August",U784,IF($J$1="September",U785,IF($J$1="October",U786,IF($J$1="November",U787,IF($J$1="December",U788)))))))))))))</f>
        <v>0</v>
      </c>
      <c r="H781" s="47"/>
      <c r="I781" s="49"/>
      <c r="J781" s="50" t="s">
        <v>62</v>
      </c>
      <c r="K781" s="51">
        <f>K777/$K$2*I781</f>
        <v>0</v>
      </c>
      <c r="L781" s="52"/>
      <c r="N781" s="71"/>
      <c r="O781" s="72" t="s">
        <v>49</v>
      </c>
      <c r="P781" s="72"/>
      <c r="Q781" s="72"/>
      <c r="R781" s="72" t="str">
        <f t="shared" si="159"/>
        <v/>
      </c>
      <c r="S781" s="63"/>
      <c r="T781" s="72" t="s">
        <v>49</v>
      </c>
      <c r="U781" s="105">
        <f>IF($J$1="May",Y780,Y780)</f>
        <v>0</v>
      </c>
      <c r="V781" s="74"/>
      <c r="W781" s="105">
        <f t="shared" si="157"/>
        <v>0</v>
      </c>
      <c r="X781" s="74"/>
      <c r="Y781" s="105">
        <f t="shared" si="158"/>
        <v>0</v>
      </c>
      <c r="Z781" s="63"/>
    </row>
    <row r="782" spans="1:26" s="29" customFormat="1" ht="21.4" customHeight="1" x14ac:dyDescent="0.2">
      <c r="A782" s="30"/>
      <c r="B782" s="39"/>
      <c r="C782" s="39"/>
      <c r="F782" s="48" t="s">
        <v>21</v>
      </c>
      <c r="G782" s="43">
        <f>IF($J$1="January",V777,IF($J$1="February",V778,IF($J$1="March",V779,IF($J$1="April",V780,IF($J$1="May",V781,IF($J$1="June",V782,IF($J$1="July",V783,IF($J$1="August",V784,IF($J$1="August",V784,IF($J$1="September",V785,IF($J$1="October",V786,IF($J$1="November",V787,IF($J$1="December",V788)))))))))))))</f>
        <v>0</v>
      </c>
      <c r="H782" s="47"/>
      <c r="I782" s="84"/>
      <c r="J782" s="50" t="s">
        <v>63</v>
      </c>
      <c r="K782" s="53">
        <f>K777/$K$2/8*I782</f>
        <v>0</v>
      </c>
      <c r="L782" s="54"/>
      <c r="N782" s="71"/>
      <c r="O782" s="72" t="s">
        <v>50</v>
      </c>
      <c r="P782" s="72"/>
      <c r="Q782" s="72"/>
      <c r="R782" s="72" t="str">
        <f t="shared" si="159"/>
        <v/>
      </c>
      <c r="S782" s="63"/>
      <c r="T782" s="72" t="s">
        <v>50</v>
      </c>
      <c r="U782" s="105">
        <f>IF($J$1="May",Y781,Y781)</f>
        <v>0</v>
      </c>
      <c r="V782" s="74"/>
      <c r="W782" s="105">
        <f t="shared" si="157"/>
        <v>0</v>
      </c>
      <c r="X782" s="74"/>
      <c r="Y782" s="105">
        <f t="shared" si="158"/>
        <v>0</v>
      </c>
      <c r="Z782" s="63"/>
    </row>
    <row r="783" spans="1:26" s="29" customFormat="1" ht="21.4" customHeight="1" x14ac:dyDescent="0.2">
      <c r="A783" s="30"/>
      <c r="B783" s="48" t="s">
        <v>7</v>
      </c>
      <c r="C783" s="39">
        <f>IF($J$1="January",P777,IF($J$1="February",P778,IF($J$1="March",P779,IF($J$1="April",P780,IF($J$1="May",P781,IF($J$1="June",P782,IF($J$1="July",P783,IF($J$1="August",P784,IF($J$1="August",P784,IF($J$1="September",P785,IF($J$1="October",P786,IF($J$1="November",P787,IF($J$1="December",P788)))))))))))))</f>
        <v>0</v>
      </c>
      <c r="F783" s="48" t="s">
        <v>66</v>
      </c>
      <c r="G783" s="43">
        <f>IF($J$1="January",W777,IF($J$1="February",W778,IF($J$1="March",W779,IF($J$1="April",W780,IF($J$1="May",W781,IF($J$1="June",W782,IF($J$1="July",W783,IF($J$1="August",W784,IF($J$1="August",W784,IF($J$1="September",W785,IF($J$1="October",W786,IF($J$1="November",W787,IF($J$1="December",W788)))))))))))))</f>
        <v>0</v>
      </c>
      <c r="H783" s="47"/>
      <c r="I783" s="405" t="s">
        <v>70</v>
      </c>
      <c r="J783" s="406"/>
      <c r="K783" s="53">
        <f>K781+K782</f>
        <v>0</v>
      </c>
      <c r="L783" s="54"/>
      <c r="N783" s="71"/>
      <c r="O783" s="72" t="s">
        <v>51</v>
      </c>
      <c r="P783" s="72"/>
      <c r="Q783" s="72"/>
      <c r="R783" s="72" t="str">
        <f t="shared" si="159"/>
        <v/>
      </c>
      <c r="S783" s="63"/>
      <c r="T783" s="72" t="s">
        <v>51</v>
      </c>
      <c r="U783" s="105" t="str">
        <f>IF($J$1="July",Y782,"")</f>
        <v/>
      </c>
      <c r="V783" s="74"/>
      <c r="W783" s="105" t="str">
        <f t="shared" si="157"/>
        <v/>
      </c>
      <c r="X783" s="74"/>
      <c r="Y783" s="105" t="str">
        <f t="shared" si="158"/>
        <v/>
      </c>
      <c r="Z783" s="63"/>
    </row>
    <row r="784" spans="1:26" s="29" customFormat="1" ht="21.4" customHeight="1" x14ac:dyDescent="0.2">
      <c r="A784" s="30"/>
      <c r="B784" s="48" t="s">
        <v>6</v>
      </c>
      <c r="C784" s="39">
        <f>IF($J$1="January",Q777,IF($J$1="February",Q778,IF($J$1="March",Q779,IF($J$1="April",Q780,IF($J$1="May",Q781,IF($J$1="June",Q782,IF($J$1="July",Q783,IF($J$1="August",Q784,IF($J$1="August",Q784,IF($J$1="September",Q785,IF($J$1="October",Q786,IF($J$1="November",Q787,IF($J$1="December",Q788)))))))))))))</f>
        <v>0</v>
      </c>
      <c r="F784" s="48" t="s">
        <v>22</v>
      </c>
      <c r="G784" s="43">
        <f>IF($J$1="January",X777,IF($J$1="February",X778,IF($J$1="March",X779,IF($J$1="April",X780,IF($J$1="May",X781,IF($J$1="June",X782,IF($J$1="July",X783,IF($J$1="August",X784,IF($J$1="August",X784,IF($J$1="September",X785,IF($J$1="October",X786,IF($J$1="November",X787,IF($J$1="December",X788)))))))))))))</f>
        <v>0</v>
      </c>
      <c r="H784" s="47"/>
      <c r="I784" s="405" t="s">
        <v>71</v>
      </c>
      <c r="J784" s="406"/>
      <c r="K784" s="43">
        <f>G784</f>
        <v>0</v>
      </c>
      <c r="L784" s="55"/>
      <c r="N784" s="71"/>
      <c r="O784" s="72" t="s">
        <v>52</v>
      </c>
      <c r="P784" s="72"/>
      <c r="Q784" s="72"/>
      <c r="R784" s="72" t="str">
        <f t="shared" si="159"/>
        <v/>
      </c>
      <c r="S784" s="63"/>
      <c r="T784" s="72" t="s">
        <v>52</v>
      </c>
      <c r="U784" s="105" t="str">
        <f>IF($J$1="August",Y783,"")</f>
        <v/>
      </c>
      <c r="V784" s="74"/>
      <c r="W784" s="105" t="str">
        <f t="shared" si="157"/>
        <v/>
      </c>
      <c r="X784" s="74"/>
      <c r="Y784" s="105" t="str">
        <f t="shared" si="158"/>
        <v/>
      </c>
      <c r="Z784" s="63"/>
    </row>
    <row r="785" spans="1:27" s="29" customFormat="1" ht="21.4" customHeight="1" x14ac:dyDescent="0.2">
      <c r="A785" s="30"/>
      <c r="B785" s="56" t="s">
        <v>69</v>
      </c>
      <c r="C785" s="39" t="str">
        <f>IF($J$1="January",R777,IF($J$1="February",R778,IF($J$1="March",R779,IF($J$1="April",R780,IF($J$1="May",R781,IF($J$1="June",R782,IF($J$1="July",R783,IF($J$1="August",R784,IF($J$1="August",R784,IF($J$1="September",R785,IF($J$1="October",R786,IF($J$1="November",R787,IF($J$1="December",R788)))))))))))))</f>
        <v/>
      </c>
      <c r="F785" s="48" t="s">
        <v>68</v>
      </c>
      <c r="G785" s="43">
        <f>IF($J$1="January",Y777,IF($J$1="February",Y778,IF($J$1="March",Y779,IF($J$1="April",Y780,IF($J$1="May",Y781,IF($J$1="June",Y782,IF($J$1="July",Y783,IF($J$1="August",Y784,IF($J$1="August",Y784,IF($J$1="September",Y785,IF($J$1="October",Y786,IF($J$1="November",Y787,IF($J$1="December",Y788)))))))))))))</f>
        <v>0</v>
      </c>
      <c r="I785" s="394" t="s">
        <v>64</v>
      </c>
      <c r="J785" s="396"/>
      <c r="K785" s="57">
        <f>K783-K784</f>
        <v>0</v>
      </c>
      <c r="L785" s="58"/>
      <c r="N785" s="71"/>
      <c r="O785" s="72" t="s">
        <v>57</v>
      </c>
      <c r="P785" s="72"/>
      <c r="Q785" s="72"/>
      <c r="R785" s="72" t="str">
        <f t="shared" si="159"/>
        <v/>
      </c>
      <c r="S785" s="63"/>
      <c r="T785" s="72" t="s">
        <v>57</v>
      </c>
      <c r="U785" s="105" t="str">
        <f>IF($J$1="Sept",Y784,"")</f>
        <v/>
      </c>
      <c r="V785" s="74"/>
      <c r="W785" s="105" t="str">
        <f t="shared" si="157"/>
        <v/>
      </c>
      <c r="X785" s="74"/>
      <c r="Y785" s="105" t="str">
        <f t="shared" si="158"/>
        <v/>
      </c>
      <c r="Z785" s="63"/>
    </row>
    <row r="786" spans="1:27" s="29" customFormat="1" ht="21.4" customHeight="1" x14ac:dyDescent="0.2">
      <c r="A786" s="30"/>
      <c r="L786" s="46"/>
      <c r="N786" s="71"/>
      <c r="O786" s="72" t="s">
        <v>53</v>
      </c>
      <c r="P786" s="72"/>
      <c r="Q786" s="72"/>
      <c r="R786" s="72" t="str">
        <f t="shared" si="159"/>
        <v/>
      </c>
      <c r="S786" s="63"/>
      <c r="T786" s="72" t="s">
        <v>53</v>
      </c>
      <c r="U786" s="105" t="str">
        <f>IF($J$1="October",Y785,"")</f>
        <v/>
      </c>
      <c r="V786" s="74"/>
      <c r="W786" s="105" t="str">
        <f t="shared" si="157"/>
        <v/>
      </c>
      <c r="X786" s="74"/>
      <c r="Y786" s="105" t="str">
        <f t="shared" si="158"/>
        <v/>
      </c>
      <c r="Z786" s="63"/>
    </row>
    <row r="787" spans="1:27" s="29" customFormat="1" ht="21.4" customHeight="1" x14ac:dyDescent="0.2">
      <c r="A787" s="30"/>
      <c r="B787" s="407" t="s">
        <v>87</v>
      </c>
      <c r="C787" s="407"/>
      <c r="D787" s="407"/>
      <c r="E787" s="407"/>
      <c r="F787" s="407"/>
      <c r="G787" s="407"/>
      <c r="H787" s="407"/>
      <c r="I787" s="407"/>
      <c r="J787" s="407"/>
      <c r="K787" s="407"/>
      <c r="L787" s="46"/>
      <c r="N787" s="71"/>
      <c r="O787" s="72" t="s">
        <v>58</v>
      </c>
      <c r="P787" s="72"/>
      <c r="Q787" s="72"/>
      <c r="R787" s="72" t="str">
        <f t="shared" si="159"/>
        <v/>
      </c>
      <c r="S787" s="63"/>
      <c r="T787" s="72" t="s">
        <v>58</v>
      </c>
      <c r="U787" s="105" t="str">
        <f>IF($J$1="November",Y786,"")</f>
        <v/>
      </c>
      <c r="V787" s="74"/>
      <c r="W787" s="105" t="str">
        <f t="shared" si="157"/>
        <v/>
      </c>
      <c r="X787" s="74"/>
      <c r="Y787" s="105" t="str">
        <f t="shared" si="158"/>
        <v/>
      </c>
      <c r="Z787" s="63"/>
    </row>
    <row r="788" spans="1:27" s="29" customFormat="1" ht="21.4" customHeight="1" x14ac:dyDescent="0.2">
      <c r="A788" s="30"/>
      <c r="B788" s="407"/>
      <c r="C788" s="407"/>
      <c r="D788" s="407"/>
      <c r="E788" s="407"/>
      <c r="F788" s="407"/>
      <c r="G788" s="407"/>
      <c r="H788" s="407"/>
      <c r="I788" s="407"/>
      <c r="J788" s="407"/>
      <c r="K788" s="407"/>
      <c r="L788" s="46"/>
      <c r="N788" s="71"/>
      <c r="O788" s="72" t="s">
        <v>59</v>
      </c>
      <c r="P788" s="72"/>
      <c r="Q788" s="72"/>
      <c r="R788" s="72" t="str">
        <f t="shared" si="159"/>
        <v/>
      </c>
      <c r="S788" s="63"/>
      <c r="T788" s="72" t="s">
        <v>59</v>
      </c>
      <c r="U788" s="105" t="str">
        <f>IF($J$1="Dec",Y787,"")</f>
        <v/>
      </c>
      <c r="V788" s="74"/>
      <c r="W788" s="105" t="str">
        <f t="shared" si="157"/>
        <v/>
      </c>
      <c r="X788" s="74"/>
      <c r="Y788" s="105" t="str">
        <f t="shared" si="158"/>
        <v/>
      </c>
      <c r="Z788" s="63"/>
    </row>
    <row r="789" spans="1:27" s="29" customFormat="1" ht="21.4" customHeight="1" thickBot="1" x14ac:dyDescent="0.25">
      <c r="A789" s="59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1"/>
      <c r="N789" s="77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63"/>
    </row>
    <row r="790" spans="1:27" ht="21.4" customHeight="1" thickBot="1" x14ac:dyDescent="0.3"/>
    <row r="791" spans="1:27" s="29" customFormat="1" ht="21.4" customHeight="1" x14ac:dyDescent="0.2">
      <c r="A791" s="420" t="s">
        <v>41</v>
      </c>
      <c r="B791" s="421"/>
      <c r="C791" s="421"/>
      <c r="D791" s="421"/>
      <c r="E791" s="421"/>
      <c r="F791" s="421"/>
      <c r="G791" s="421"/>
      <c r="H791" s="421"/>
      <c r="I791" s="421"/>
      <c r="J791" s="421"/>
      <c r="K791" s="421"/>
      <c r="L791" s="422"/>
      <c r="M791" s="28"/>
      <c r="N791" s="64"/>
      <c r="O791" s="408" t="s">
        <v>43</v>
      </c>
      <c r="P791" s="409"/>
      <c r="Q791" s="409"/>
      <c r="R791" s="410"/>
      <c r="S791" s="65"/>
      <c r="T791" s="408" t="s">
        <v>44</v>
      </c>
      <c r="U791" s="409"/>
      <c r="V791" s="409"/>
      <c r="W791" s="409"/>
      <c r="X791" s="409"/>
      <c r="Y791" s="410"/>
      <c r="Z791" s="66"/>
      <c r="AA791" s="28"/>
    </row>
    <row r="792" spans="1:27" s="29" customFormat="1" ht="21.4" customHeight="1" x14ac:dyDescent="0.2">
      <c r="A792" s="30"/>
      <c r="C792" s="398" t="s">
        <v>85</v>
      </c>
      <c r="D792" s="398"/>
      <c r="E792" s="398"/>
      <c r="F792" s="398"/>
      <c r="G792" s="31" t="str">
        <f>$J$1</f>
        <v>April</v>
      </c>
      <c r="H792" s="397">
        <f>$K$1</f>
        <v>2023</v>
      </c>
      <c r="I792" s="397"/>
      <c r="K792" s="32"/>
      <c r="L792" s="33"/>
      <c r="M792" s="32"/>
      <c r="N792" s="67"/>
      <c r="O792" s="68" t="s">
        <v>54</v>
      </c>
      <c r="P792" s="68" t="s">
        <v>7</v>
      </c>
      <c r="Q792" s="68" t="s">
        <v>6</v>
      </c>
      <c r="R792" s="68" t="s">
        <v>55</v>
      </c>
      <c r="S792" s="69"/>
      <c r="T792" s="68" t="s">
        <v>54</v>
      </c>
      <c r="U792" s="68" t="s">
        <v>56</v>
      </c>
      <c r="V792" s="68" t="s">
        <v>21</v>
      </c>
      <c r="W792" s="68" t="s">
        <v>20</v>
      </c>
      <c r="X792" s="68" t="s">
        <v>22</v>
      </c>
      <c r="Y792" s="68" t="s">
        <v>60</v>
      </c>
      <c r="Z792" s="70"/>
      <c r="AA792" s="32"/>
    </row>
    <row r="793" spans="1:27" s="29" customFormat="1" ht="21.4" customHeight="1" x14ac:dyDescent="0.2">
      <c r="A793" s="30"/>
      <c r="D793" s="35"/>
      <c r="E793" s="35"/>
      <c r="F793" s="35"/>
      <c r="G793" s="35"/>
      <c r="H793" s="35"/>
      <c r="J793" s="36" t="s">
        <v>1</v>
      </c>
      <c r="K793" s="37"/>
      <c r="L793" s="38"/>
      <c r="N793" s="71"/>
      <c r="O793" s="72" t="s">
        <v>46</v>
      </c>
      <c r="P793" s="72"/>
      <c r="Q793" s="72"/>
      <c r="R793" s="72">
        <v>0</v>
      </c>
      <c r="S793" s="73"/>
      <c r="T793" s="72" t="s">
        <v>46</v>
      </c>
      <c r="U793" s="74"/>
      <c r="V793" s="74"/>
      <c r="W793" s="74">
        <f>V793+U793</f>
        <v>0</v>
      </c>
      <c r="X793" s="74"/>
      <c r="Y793" s="74">
        <f>W793-X793</f>
        <v>0</v>
      </c>
      <c r="Z793" s="70"/>
    </row>
    <row r="794" spans="1:27" s="29" customFormat="1" ht="21.4" customHeight="1" x14ac:dyDescent="0.2">
      <c r="A794" s="30"/>
      <c r="B794" s="29" t="s">
        <v>0</v>
      </c>
      <c r="C794" s="40"/>
      <c r="H794" s="41"/>
      <c r="I794" s="35"/>
      <c r="L794" s="42"/>
      <c r="M794" s="28"/>
      <c r="N794" s="75"/>
      <c r="O794" s="72" t="s">
        <v>72</v>
      </c>
      <c r="P794" s="72"/>
      <c r="Q794" s="72"/>
      <c r="R794" s="72">
        <v>0</v>
      </c>
      <c r="S794" s="63"/>
      <c r="T794" s="72" t="s">
        <v>72</v>
      </c>
      <c r="U794" s="105">
        <f>Y793</f>
        <v>0</v>
      </c>
      <c r="V794" s="74"/>
      <c r="W794" s="105">
        <f>IF(U794="","",U794+V794)</f>
        <v>0</v>
      </c>
      <c r="X794" s="74"/>
      <c r="Y794" s="105">
        <f>IF(W794="","",W794-X794)</f>
        <v>0</v>
      </c>
      <c r="Z794" s="76"/>
      <c r="AA794" s="28"/>
    </row>
    <row r="795" spans="1:27" s="29" customFormat="1" ht="21.4" customHeight="1" x14ac:dyDescent="0.2">
      <c r="A795" s="30"/>
      <c r="B795" s="44" t="s">
        <v>42</v>
      </c>
      <c r="C795" s="45"/>
      <c r="F795" s="394" t="s">
        <v>44</v>
      </c>
      <c r="G795" s="396"/>
      <c r="I795" s="394" t="s">
        <v>45</v>
      </c>
      <c r="J795" s="395"/>
      <c r="K795" s="396"/>
      <c r="L795" s="46"/>
      <c r="N795" s="71"/>
      <c r="O795" s="72" t="s">
        <v>47</v>
      </c>
      <c r="P795" s="72"/>
      <c r="Q795" s="72"/>
      <c r="R795" s="72" t="str">
        <f>IF(Q795="","",R794-Q795)</f>
        <v/>
      </c>
      <c r="S795" s="63"/>
      <c r="T795" s="72" t="s">
        <v>47</v>
      </c>
      <c r="U795" s="105">
        <f>IF($J$1="April",Y794,Y794)</f>
        <v>0</v>
      </c>
      <c r="V795" s="74"/>
      <c r="W795" s="105">
        <f t="shared" ref="W795:W804" si="160">IF(U795="","",U795+V795)</f>
        <v>0</v>
      </c>
      <c r="X795" s="74"/>
      <c r="Y795" s="105">
        <f t="shared" ref="Y795:Y804" si="161">IF(W795="","",W795-X795)</f>
        <v>0</v>
      </c>
      <c r="Z795" s="76"/>
    </row>
    <row r="796" spans="1:27" s="29" customFormat="1" ht="21.4" customHeight="1" x14ac:dyDescent="0.2">
      <c r="A796" s="30"/>
      <c r="H796" s="47"/>
      <c r="L796" s="34"/>
      <c r="N796" s="71"/>
      <c r="O796" s="72" t="s">
        <v>48</v>
      </c>
      <c r="P796" s="72"/>
      <c r="Q796" s="72"/>
      <c r="R796" s="72">
        <v>0</v>
      </c>
      <c r="S796" s="63"/>
      <c r="T796" s="72" t="s">
        <v>48</v>
      </c>
      <c r="U796" s="105">
        <f>IF($J$1="April",Y795,Y795)</f>
        <v>0</v>
      </c>
      <c r="V796" s="74"/>
      <c r="W796" s="105">
        <f t="shared" si="160"/>
        <v>0</v>
      </c>
      <c r="X796" s="74"/>
      <c r="Y796" s="105">
        <f t="shared" si="161"/>
        <v>0</v>
      </c>
      <c r="Z796" s="76"/>
    </row>
    <row r="797" spans="1:27" s="29" customFormat="1" ht="21.4" customHeight="1" x14ac:dyDescent="0.2">
      <c r="A797" s="30"/>
      <c r="B797" s="392" t="s">
        <v>43</v>
      </c>
      <c r="C797" s="393"/>
      <c r="F797" s="48" t="s">
        <v>65</v>
      </c>
      <c r="G797" s="43">
        <f>IF($J$1="January",U793,IF($J$1="February",U794,IF($J$1="March",U795,IF($J$1="April",U796,IF($J$1="May",U797,IF($J$1="June",U798,IF($J$1="July",U799,IF($J$1="August",U800,IF($J$1="August",U800,IF($J$1="September",U801,IF($J$1="October",U802,IF($J$1="November",U803,IF($J$1="December",U804)))))))))))))</f>
        <v>0</v>
      </c>
      <c r="H797" s="47"/>
      <c r="I797" s="49"/>
      <c r="J797" s="50" t="s">
        <v>62</v>
      </c>
      <c r="K797" s="51">
        <f>K793/$K$2*I797</f>
        <v>0</v>
      </c>
      <c r="L797" s="52"/>
      <c r="N797" s="71"/>
      <c r="O797" s="72" t="s">
        <v>49</v>
      </c>
      <c r="P797" s="72"/>
      <c r="Q797" s="72"/>
      <c r="R797" s="72">
        <v>0</v>
      </c>
      <c r="S797" s="63"/>
      <c r="T797" s="72" t="s">
        <v>49</v>
      </c>
      <c r="U797" s="105">
        <f>IF($J$1="May",Y796,Y796)</f>
        <v>0</v>
      </c>
      <c r="V797" s="74"/>
      <c r="W797" s="105">
        <f t="shared" si="160"/>
        <v>0</v>
      </c>
      <c r="X797" s="74"/>
      <c r="Y797" s="105">
        <f t="shared" si="161"/>
        <v>0</v>
      </c>
      <c r="Z797" s="76"/>
    </row>
    <row r="798" spans="1:27" s="29" customFormat="1" ht="21.4" customHeight="1" x14ac:dyDescent="0.2">
      <c r="A798" s="30"/>
      <c r="B798" s="39"/>
      <c r="C798" s="39"/>
      <c r="F798" s="48" t="s">
        <v>21</v>
      </c>
      <c r="G798" s="43">
        <f>IF($J$1="January",V793,IF($J$1="February",V794,IF($J$1="March",V795,IF($J$1="April",V796,IF($J$1="May",V797,IF($J$1="June",V798,IF($J$1="July",V799,IF($J$1="August",V800,IF($J$1="August",V800,IF($J$1="September",V801,IF($J$1="October",V802,IF($J$1="November",V803,IF($J$1="December",V804)))))))))))))</f>
        <v>0</v>
      </c>
      <c r="H798" s="47"/>
      <c r="I798" s="108"/>
      <c r="J798" s="50" t="s">
        <v>63</v>
      </c>
      <c r="K798" s="53">
        <f>K793/$K$2/8*I798</f>
        <v>0</v>
      </c>
      <c r="L798" s="54"/>
      <c r="N798" s="71"/>
      <c r="O798" s="72" t="s">
        <v>50</v>
      </c>
      <c r="P798" s="72"/>
      <c r="Q798" s="72"/>
      <c r="R798" s="72">
        <v>0</v>
      </c>
      <c r="S798" s="63"/>
      <c r="T798" s="72" t="s">
        <v>50</v>
      </c>
      <c r="U798" s="105">
        <f>IF($J$1="May",Y797,Y797)</f>
        <v>0</v>
      </c>
      <c r="V798" s="74"/>
      <c r="W798" s="105">
        <f t="shared" si="160"/>
        <v>0</v>
      </c>
      <c r="X798" s="74"/>
      <c r="Y798" s="105">
        <f t="shared" si="161"/>
        <v>0</v>
      </c>
      <c r="Z798" s="76"/>
    </row>
    <row r="799" spans="1:27" s="29" customFormat="1" ht="21.4" customHeight="1" x14ac:dyDescent="0.2">
      <c r="A799" s="30"/>
      <c r="B799" s="48" t="s">
        <v>7</v>
      </c>
      <c r="C799" s="39">
        <f>IF($J$1="January",P793,IF($J$1="February",P794,IF($J$1="March",P795,IF($J$1="April",P796,IF($J$1="May",P797,IF($J$1="June",P798,IF($J$1="July",P799,IF($J$1="August",P800,IF($J$1="August",P800,IF($J$1="September",P801,IF($J$1="October",P802,IF($J$1="November",P803,IF($J$1="December",P804)))))))))))))</f>
        <v>0</v>
      </c>
      <c r="F799" s="48" t="s">
        <v>66</v>
      </c>
      <c r="G799" s="43">
        <f>IF($J$1="January",W793,IF($J$1="February",W794,IF($J$1="March",W795,IF($J$1="April",W796,IF($J$1="May",W797,IF($J$1="June",W798,IF($J$1="July",W799,IF($J$1="August",W800,IF($J$1="August",W800,IF($J$1="September",W801,IF($J$1="October",W802,IF($J$1="November",W803,IF($J$1="December",W804)))))))))))))</f>
        <v>0</v>
      </c>
      <c r="H799" s="47"/>
      <c r="I799" s="405" t="s">
        <v>70</v>
      </c>
      <c r="J799" s="406"/>
      <c r="K799" s="53">
        <f>K797+K798</f>
        <v>0</v>
      </c>
      <c r="L799" s="54"/>
      <c r="N799" s="71"/>
      <c r="O799" s="72" t="s">
        <v>51</v>
      </c>
      <c r="P799" s="72"/>
      <c r="Q799" s="72"/>
      <c r="R799" s="72">
        <v>0</v>
      </c>
      <c r="S799" s="63"/>
      <c r="T799" s="72" t="s">
        <v>51</v>
      </c>
      <c r="U799" s="105" t="str">
        <f>IF($J$1="July",Y798,"")</f>
        <v/>
      </c>
      <c r="V799" s="74"/>
      <c r="W799" s="105" t="str">
        <f t="shared" si="160"/>
        <v/>
      </c>
      <c r="X799" s="74"/>
      <c r="Y799" s="105" t="str">
        <f t="shared" si="161"/>
        <v/>
      </c>
      <c r="Z799" s="76"/>
    </row>
    <row r="800" spans="1:27" s="29" customFormat="1" ht="21.4" customHeight="1" x14ac:dyDescent="0.2">
      <c r="A800" s="30"/>
      <c r="B800" s="48" t="s">
        <v>6</v>
      </c>
      <c r="C800" s="39">
        <f>IF($J$1="January",Q793,IF($J$1="February",Q794,IF($J$1="March",Q795,IF($J$1="April",Q796,IF($J$1="May",Q797,IF($J$1="June",Q798,IF($J$1="July",Q799,IF($J$1="August",Q800,IF($J$1="August",Q800,IF($J$1="September",Q801,IF($J$1="October",Q802,IF($J$1="November",Q803,IF($J$1="December",Q804)))))))))))))</f>
        <v>0</v>
      </c>
      <c r="F800" s="48" t="s">
        <v>22</v>
      </c>
      <c r="G800" s="43">
        <f>IF($J$1="January",X793,IF($J$1="February",X794,IF($J$1="March",X795,IF($J$1="April",X796,IF($J$1="May",X797,IF($J$1="June",X798,IF($J$1="July",X799,IF($J$1="August",X800,IF($J$1="August",X800,IF($J$1="September",X801,IF($J$1="October",X802,IF($J$1="November",X803,IF($J$1="December",X804)))))))))))))</f>
        <v>0</v>
      </c>
      <c r="H800" s="47"/>
      <c r="I800" s="405" t="s">
        <v>71</v>
      </c>
      <c r="J800" s="406"/>
      <c r="K800" s="43">
        <f>G800</f>
        <v>0</v>
      </c>
      <c r="L800" s="55"/>
      <c r="N800" s="71"/>
      <c r="O800" s="72" t="s">
        <v>52</v>
      </c>
      <c r="P800" s="72"/>
      <c r="Q800" s="72"/>
      <c r="R800" s="72" t="str">
        <f>IF(Q800="","",R799-Q800)</f>
        <v/>
      </c>
      <c r="S800" s="63"/>
      <c r="T800" s="72" t="s">
        <v>52</v>
      </c>
      <c r="U800" s="105" t="str">
        <f>IF($J$1="August",Y799,"")</f>
        <v/>
      </c>
      <c r="V800" s="74"/>
      <c r="W800" s="105" t="str">
        <f t="shared" si="160"/>
        <v/>
      </c>
      <c r="X800" s="74"/>
      <c r="Y800" s="105" t="str">
        <f t="shared" si="161"/>
        <v/>
      </c>
      <c r="Z800" s="76"/>
    </row>
    <row r="801" spans="1:27" s="29" customFormat="1" ht="21.4" customHeight="1" x14ac:dyDescent="0.2">
      <c r="A801" s="30"/>
      <c r="B801" s="56" t="s">
        <v>69</v>
      </c>
      <c r="C801" s="39">
        <f>IF($J$1="January",R793,IF($J$1="February",R794,IF($J$1="March",R795,IF($J$1="April",R796,IF($J$1="May",R797,IF($J$1="June",R798,IF($J$1="July",R799,IF($J$1="August",R800,IF($J$1="August",R800,IF($J$1="September",R801,IF($J$1="October",R802,IF($J$1="November",R803,IF($J$1="December",R804)))))))))))))</f>
        <v>0</v>
      </c>
      <c r="F801" s="48" t="s">
        <v>68</v>
      </c>
      <c r="G801" s="43">
        <f>IF($J$1="January",Y793,IF($J$1="February",Y794,IF($J$1="March",Y795,IF($J$1="April",Y796,IF($J$1="May",Y797,IF($J$1="June",Y798,IF($J$1="July",Y799,IF($J$1="August",Y800,IF($J$1="August",Y800,IF($J$1="September",Y801,IF($J$1="October",Y802,IF($J$1="November",Y803,IF($J$1="December",Y804)))))))))))))</f>
        <v>0</v>
      </c>
      <c r="I801" s="394" t="s">
        <v>64</v>
      </c>
      <c r="J801" s="396"/>
      <c r="K801" s="57">
        <f>K799-K800</f>
        <v>0</v>
      </c>
      <c r="L801" s="58"/>
      <c r="N801" s="71"/>
      <c r="O801" s="72" t="s">
        <v>57</v>
      </c>
      <c r="P801" s="72"/>
      <c r="Q801" s="72"/>
      <c r="R801" s="72">
        <v>0</v>
      </c>
      <c r="S801" s="63"/>
      <c r="T801" s="72" t="s">
        <v>57</v>
      </c>
      <c r="U801" s="105" t="str">
        <f>IF($J$1="Sept",Y800,"")</f>
        <v/>
      </c>
      <c r="V801" s="74"/>
      <c r="W801" s="105" t="str">
        <f t="shared" si="160"/>
        <v/>
      </c>
      <c r="X801" s="74"/>
      <c r="Y801" s="105" t="str">
        <f t="shared" si="161"/>
        <v/>
      </c>
      <c r="Z801" s="76"/>
    </row>
    <row r="802" spans="1:27" s="29" customFormat="1" ht="21.4" customHeight="1" x14ac:dyDescent="0.2">
      <c r="A802" s="30"/>
      <c r="L802" s="46"/>
      <c r="N802" s="71"/>
      <c r="O802" s="72" t="s">
        <v>53</v>
      </c>
      <c r="P802" s="72"/>
      <c r="Q802" s="72"/>
      <c r="R802" s="72">
        <v>0</v>
      </c>
      <c r="S802" s="63"/>
      <c r="T802" s="72" t="s">
        <v>53</v>
      </c>
      <c r="U802" s="105" t="str">
        <f>IF($J$1="October",Y801,"")</f>
        <v/>
      </c>
      <c r="V802" s="74"/>
      <c r="W802" s="105" t="str">
        <f t="shared" si="160"/>
        <v/>
      </c>
      <c r="X802" s="74"/>
      <c r="Y802" s="105" t="str">
        <f t="shared" si="161"/>
        <v/>
      </c>
      <c r="Z802" s="76"/>
    </row>
    <row r="803" spans="1:27" s="29" customFormat="1" ht="21.4" customHeight="1" x14ac:dyDescent="0.2">
      <c r="A803" s="30"/>
      <c r="B803" s="407" t="s">
        <v>87</v>
      </c>
      <c r="C803" s="407"/>
      <c r="D803" s="407"/>
      <c r="E803" s="407"/>
      <c r="F803" s="407"/>
      <c r="G803" s="407"/>
      <c r="H803" s="407"/>
      <c r="I803" s="407"/>
      <c r="J803" s="407"/>
      <c r="K803" s="407"/>
      <c r="L803" s="46"/>
      <c r="N803" s="71"/>
      <c r="O803" s="72" t="s">
        <v>58</v>
      </c>
      <c r="P803" s="72"/>
      <c r="Q803" s="72"/>
      <c r="R803" s="72" t="str">
        <f>IF(Q803="","",R802-Q803)</f>
        <v/>
      </c>
      <c r="S803" s="63"/>
      <c r="T803" s="72" t="s">
        <v>58</v>
      </c>
      <c r="U803" s="105" t="str">
        <f>IF($J$1="November",Y802,"")</f>
        <v/>
      </c>
      <c r="V803" s="74"/>
      <c r="W803" s="105" t="str">
        <f t="shared" si="160"/>
        <v/>
      </c>
      <c r="X803" s="74"/>
      <c r="Y803" s="105" t="str">
        <f t="shared" si="161"/>
        <v/>
      </c>
      <c r="Z803" s="76"/>
    </row>
    <row r="804" spans="1:27" s="29" customFormat="1" ht="21.4" customHeight="1" x14ac:dyDescent="0.2">
      <c r="A804" s="30"/>
      <c r="B804" s="407"/>
      <c r="C804" s="407"/>
      <c r="D804" s="407"/>
      <c r="E804" s="407"/>
      <c r="F804" s="407"/>
      <c r="G804" s="407"/>
      <c r="H804" s="407"/>
      <c r="I804" s="407"/>
      <c r="J804" s="407"/>
      <c r="K804" s="407"/>
      <c r="L804" s="46"/>
      <c r="N804" s="71"/>
      <c r="O804" s="72" t="s">
        <v>59</v>
      </c>
      <c r="P804" s="72"/>
      <c r="Q804" s="72"/>
      <c r="R804" s="72">
        <v>0</v>
      </c>
      <c r="S804" s="63"/>
      <c r="T804" s="72" t="s">
        <v>59</v>
      </c>
      <c r="U804" s="105" t="str">
        <f>IF($J$1="Dec",Y803,"")</f>
        <v/>
      </c>
      <c r="V804" s="74"/>
      <c r="W804" s="105" t="str">
        <f t="shared" si="160"/>
        <v/>
      </c>
      <c r="X804" s="74"/>
      <c r="Y804" s="105" t="str">
        <f t="shared" si="161"/>
        <v/>
      </c>
      <c r="Z804" s="76"/>
    </row>
    <row r="805" spans="1:27" s="29" customFormat="1" ht="21.4" customHeight="1" thickBot="1" x14ac:dyDescent="0.25">
      <c r="A805" s="59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1"/>
      <c r="N805" s="77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9"/>
    </row>
    <row r="806" spans="1:27" s="29" customFormat="1" ht="21" customHeight="1" thickBot="1" x14ac:dyDescent="0.25"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</row>
    <row r="807" spans="1:27" s="29" customFormat="1" ht="21.4" customHeight="1" x14ac:dyDescent="0.2">
      <c r="A807" s="434" t="s">
        <v>41</v>
      </c>
      <c r="B807" s="435"/>
      <c r="C807" s="435"/>
      <c r="D807" s="435"/>
      <c r="E807" s="435"/>
      <c r="F807" s="435"/>
      <c r="G807" s="435"/>
      <c r="H807" s="435"/>
      <c r="I807" s="435"/>
      <c r="J807" s="435"/>
      <c r="K807" s="435"/>
      <c r="L807" s="436"/>
      <c r="M807" s="28"/>
      <c r="N807" s="64"/>
      <c r="O807" s="408" t="s">
        <v>43</v>
      </c>
      <c r="P807" s="409"/>
      <c r="Q807" s="409"/>
      <c r="R807" s="410"/>
      <c r="S807" s="65"/>
      <c r="T807" s="408" t="s">
        <v>44</v>
      </c>
      <c r="U807" s="409"/>
      <c r="V807" s="409"/>
      <c r="W807" s="409"/>
      <c r="X807" s="409"/>
      <c r="Y807" s="410"/>
      <c r="Z807" s="66"/>
      <c r="AA807" s="28"/>
    </row>
    <row r="808" spans="1:27" s="29" customFormat="1" ht="21.4" customHeight="1" x14ac:dyDescent="0.2">
      <c r="A808" s="30"/>
      <c r="C808" s="398" t="s">
        <v>85</v>
      </c>
      <c r="D808" s="398"/>
      <c r="E808" s="398"/>
      <c r="F808" s="398"/>
      <c r="G808" s="31" t="str">
        <f>$J$1</f>
        <v>April</v>
      </c>
      <c r="H808" s="397">
        <f>$K$1</f>
        <v>2023</v>
      </c>
      <c r="I808" s="397"/>
      <c r="K808" s="32"/>
      <c r="L808" s="33"/>
      <c r="M808" s="32"/>
      <c r="N808" s="67"/>
      <c r="O808" s="68" t="s">
        <v>54</v>
      </c>
      <c r="P808" s="68" t="s">
        <v>7</v>
      </c>
      <c r="Q808" s="68" t="s">
        <v>6</v>
      </c>
      <c r="R808" s="68" t="s">
        <v>55</v>
      </c>
      <c r="S808" s="69"/>
      <c r="T808" s="68" t="s">
        <v>54</v>
      </c>
      <c r="U808" s="68" t="s">
        <v>56</v>
      </c>
      <c r="V808" s="68" t="s">
        <v>21</v>
      </c>
      <c r="W808" s="68" t="s">
        <v>20</v>
      </c>
      <c r="X808" s="68" t="s">
        <v>22</v>
      </c>
      <c r="Y808" s="68" t="s">
        <v>60</v>
      </c>
      <c r="Z808" s="70"/>
      <c r="AA808" s="32"/>
    </row>
    <row r="809" spans="1:27" s="29" customFormat="1" ht="21.4" customHeight="1" x14ac:dyDescent="0.2">
      <c r="A809" s="30"/>
      <c r="D809" s="35"/>
      <c r="E809" s="35"/>
      <c r="F809" s="35"/>
      <c r="G809" s="35"/>
      <c r="H809" s="35"/>
      <c r="J809" s="36" t="s">
        <v>1</v>
      </c>
      <c r="K809" s="37"/>
      <c r="L809" s="38"/>
      <c r="N809" s="71"/>
      <c r="O809" s="72" t="s">
        <v>46</v>
      </c>
      <c r="P809" s="72"/>
      <c r="Q809" s="72"/>
      <c r="R809" s="72">
        <v>15</v>
      </c>
      <c r="S809" s="73"/>
      <c r="T809" s="72" t="s">
        <v>46</v>
      </c>
      <c r="U809" s="74"/>
      <c r="V809" s="74"/>
      <c r="W809" s="74">
        <f>V809+U809</f>
        <v>0</v>
      </c>
      <c r="X809" s="74"/>
      <c r="Y809" s="74">
        <f>W809-X809</f>
        <v>0</v>
      </c>
      <c r="Z809" s="70"/>
    </row>
    <row r="810" spans="1:27" s="29" customFormat="1" ht="21.4" customHeight="1" x14ac:dyDescent="0.2">
      <c r="A810" s="30"/>
      <c r="B810" s="29" t="s">
        <v>0</v>
      </c>
      <c r="C810" s="40"/>
      <c r="H810" s="41"/>
      <c r="I810" s="35"/>
      <c r="L810" s="42"/>
      <c r="M810" s="28"/>
      <c r="N810" s="75"/>
      <c r="O810" s="72" t="s">
        <v>72</v>
      </c>
      <c r="P810" s="72"/>
      <c r="Q810" s="72"/>
      <c r="R810" s="72" t="str">
        <f>IF(Q810="","",R809-Q810)</f>
        <v/>
      </c>
      <c r="S810" s="63"/>
      <c r="T810" s="72" t="s">
        <v>72</v>
      </c>
      <c r="U810" s="105">
        <f>Y809</f>
        <v>0</v>
      </c>
      <c r="V810" s="74"/>
      <c r="W810" s="105">
        <f>IF(U810="","",U810+V810)</f>
        <v>0</v>
      </c>
      <c r="X810" s="74"/>
      <c r="Y810" s="105">
        <f>IF(W810="","",W810-X810)</f>
        <v>0</v>
      </c>
      <c r="Z810" s="76"/>
      <c r="AA810" s="28"/>
    </row>
    <row r="811" spans="1:27" s="29" customFormat="1" ht="21.4" customHeight="1" x14ac:dyDescent="0.2">
      <c r="A811" s="30"/>
      <c r="B811" s="44" t="s">
        <v>42</v>
      </c>
      <c r="C811" s="45"/>
      <c r="F811" s="414" t="s">
        <v>44</v>
      </c>
      <c r="G811" s="414"/>
      <c r="I811" s="414" t="s">
        <v>45</v>
      </c>
      <c r="J811" s="414"/>
      <c r="K811" s="414"/>
      <c r="L811" s="46"/>
      <c r="N811" s="71"/>
      <c r="O811" s="72" t="s">
        <v>47</v>
      </c>
      <c r="P811" s="72"/>
      <c r="Q811" s="72"/>
      <c r="R811" s="72" t="str">
        <f t="shared" ref="R811:R820" si="162">IF(Q811="","",R810-Q811)</f>
        <v/>
      </c>
      <c r="S811" s="63"/>
      <c r="T811" s="72" t="s">
        <v>47</v>
      </c>
      <c r="U811" s="105">
        <f>IF($J$1="April",Y810,Y810)</f>
        <v>0</v>
      </c>
      <c r="V811" s="74"/>
      <c r="W811" s="105">
        <f t="shared" ref="W811:W820" si="163">IF(U811="","",U811+V811)</f>
        <v>0</v>
      </c>
      <c r="X811" s="74"/>
      <c r="Y811" s="105">
        <f t="shared" ref="Y811:Y820" si="164">IF(W811="","",W811-X811)</f>
        <v>0</v>
      </c>
      <c r="Z811" s="76"/>
    </row>
    <row r="812" spans="1:27" s="29" customFormat="1" ht="21.4" customHeight="1" x14ac:dyDescent="0.2">
      <c r="A812" s="30"/>
      <c r="H812" s="47"/>
      <c r="L812" s="34"/>
      <c r="N812" s="71"/>
      <c r="O812" s="72" t="s">
        <v>48</v>
      </c>
      <c r="P812" s="72"/>
      <c r="Q812" s="72"/>
      <c r="R812" s="72" t="str">
        <f t="shared" si="162"/>
        <v/>
      </c>
      <c r="S812" s="63"/>
      <c r="T812" s="72" t="s">
        <v>48</v>
      </c>
      <c r="U812" s="105">
        <f>IF($J$1="April",Y811,Y811)</f>
        <v>0</v>
      </c>
      <c r="V812" s="74"/>
      <c r="W812" s="105">
        <f t="shared" si="163"/>
        <v>0</v>
      </c>
      <c r="X812" s="74"/>
      <c r="Y812" s="105">
        <f t="shared" si="164"/>
        <v>0</v>
      </c>
      <c r="Z812" s="76"/>
    </row>
    <row r="813" spans="1:27" s="29" customFormat="1" ht="21.4" customHeight="1" x14ac:dyDescent="0.2">
      <c r="A813" s="30"/>
      <c r="B813" s="392" t="s">
        <v>43</v>
      </c>
      <c r="C813" s="393"/>
      <c r="F813" s="48" t="s">
        <v>65</v>
      </c>
      <c r="G813" s="43">
        <f>IF($J$1="January",U809,IF($J$1="February",U810,IF($J$1="March",U811,IF($J$1="April",U812,IF($J$1="May",U813,IF($J$1="June",U814,IF($J$1="July",U815,IF($J$1="August",U816,IF($J$1="August",U816,IF($J$1="September",U817,IF($J$1="October",U818,IF($J$1="November",U819,IF($J$1="December",U820)))))))))))))</f>
        <v>0</v>
      </c>
      <c r="H813" s="47"/>
      <c r="I813" s="49"/>
      <c r="J813" s="50" t="s">
        <v>62</v>
      </c>
      <c r="K813" s="51">
        <f>K809/$K$2*I813</f>
        <v>0</v>
      </c>
      <c r="L813" s="52"/>
      <c r="N813" s="71"/>
      <c r="O813" s="72" t="s">
        <v>49</v>
      </c>
      <c r="P813" s="72"/>
      <c r="Q813" s="72"/>
      <c r="R813" s="72" t="str">
        <f t="shared" si="162"/>
        <v/>
      </c>
      <c r="S813" s="63"/>
      <c r="T813" s="72" t="s">
        <v>49</v>
      </c>
      <c r="U813" s="105">
        <f>IF($J$1="May",Y812,Y812)</f>
        <v>0</v>
      </c>
      <c r="V813" s="74"/>
      <c r="W813" s="105">
        <f t="shared" si="163"/>
        <v>0</v>
      </c>
      <c r="X813" s="74"/>
      <c r="Y813" s="105">
        <f t="shared" si="164"/>
        <v>0</v>
      </c>
      <c r="Z813" s="76"/>
    </row>
    <row r="814" spans="1:27" s="29" customFormat="1" ht="21.4" customHeight="1" x14ac:dyDescent="0.2">
      <c r="A814" s="30"/>
      <c r="B814" s="39"/>
      <c r="C814" s="39"/>
      <c r="F814" s="48" t="s">
        <v>21</v>
      </c>
      <c r="G814" s="43">
        <f>IF($J$1="January",V809,IF($J$1="February",V810,IF($J$1="March",V811,IF($J$1="April",V812,IF($J$1="May",V813,IF($J$1="June",V814,IF($J$1="July",V815,IF($J$1="August",V816,IF($J$1="August",V816,IF($J$1="September",V817,IF($J$1="October",V818,IF($J$1="November",V819,IF($J$1="December",V820)))))))))))))</f>
        <v>0</v>
      </c>
      <c r="H814" s="47"/>
      <c r="I814" s="49"/>
      <c r="J814" s="50" t="s">
        <v>63</v>
      </c>
      <c r="K814" s="53">
        <f>K809/$K$2/8*I814</f>
        <v>0</v>
      </c>
      <c r="L814" s="54"/>
      <c r="N814" s="71"/>
      <c r="O814" s="72" t="s">
        <v>50</v>
      </c>
      <c r="P814" s="72"/>
      <c r="Q814" s="72"/>
      <c r="R814" s="72" t="str">
        <f t="shared" si="162"/>
        <v/>
      </c>
      <c r="S814" s="63"/>
      <c r="T814" s="72" t="s">
        <v>50</v>
      </c>
      <c r="U814" s="105">
        <f>IF($J$1="May",Y813,Y813)</f>
        <v>0</v>
      </c>
      <c r="V814" s="74"/>
      <c r="W814" s="105">
        <f t="shared" si="163"/>
        <v>0</v>
      </c>
      <c r="X814" s="74"/>
      <c r="Y814" s="105">
        <f t="shared" si="164"/>
        <v>0</v>
      </c>
      <c r="Z814" s="76"/>
    </row>
    <row r="815" spans="1:27" s="29" customFormat="1" ht="21.4" customHeight="1" x14ac:dyDescent="0.2">
      <c r="A815" s="30"/>
      <c r="B815" s="48" t="s">
        <v>7</v>
      </c>
      <c r="C815" s="39">
        <f>IF($J$1="January",P809,IF($J$1="February",P810,IF($J$1="March",P811,IF($J$1="April",P812,IF($J$1="May",P813,IF($J$1="June",P814,IF($J$1="July",P815,IF($J$1="August",P816,IF($J$1="August",P816,IF($J$1="September",P817,IF($J$1="October",P818,IF($J$1="November",P819,IF($J$1="December",P820)))))))))))))</f>
        <v>0</v>
      </c>
      <c r="F815" s="48" t="s">
        <v>66</v>
      </c>
      <c r="G815" s="43">
        <f>IF($J$1="January",W809,IF($J$1="February",W810,IF($J$1="March",W811,IF($J$1="April",W812,IF($J$1="May",W813,IF($J$1="June",W814,IF($J$1="July",W815,IF($J$1="August",W816,IF($J$1="August",W816,IF($J$1="September",W817,IF($J$1="October",W818,IF($J$1="November",W819,IF($J$1="December",W820)))))))))))))</f>
        <v>0</v>
      </c>
      <c r="H815" s="47"/>
      <c r="I815" s="405" t="s">
        <v>70</v>
      </c>
      <c r="J815" s="406"/>
      <c r="K815" s="53">
        <f>K813+K814</f>
        <v>0</v>
      </c>
      <c r="L815" s="54"/>
      <c r="N815" s="71"/>
      <c r="O815" s="72" t="s">
        <v>51</v>
      </c>
      <c r="P815" s="72"/>
      <c r="Q815" s="72"/>
      <c r="R815" s="72" t="str">
        <f t="shared" si="162"/>
        <v/>
      </c>
      <c r="S815" s="63"/>
      <c r="T815" s="72" t="s">
        <v>51</v>
      </c>
      <c r="U815" s="105" t="str">
        <f>IF($J$1="September",Y814,"")</f>
        <v/>
      </c>
      <c r="V815" s="74"/>
      <c r="W815" s="105" t="str">
        <f t="shared" si="163"/>
        <v/>
      </c>
      <c r="X815" s="74"/>
      <c r="Y815" s="105" t="str">
        <f t="shared" si="164"/>
        <v/>
      </c>
      <c r="Z815" s="76"/>
    </row>
    <row r="816" spans="1:27" s="29" customFormat="1" ht="21.4" customHeight="1" x14ac:dyDescent="0.2">
      <c r="A816" s="30"/>
      <c r="B816" s="48" t="s">
        <v>6</v>
      </c>
      <c r="C816" s="39">
        <f>IF($J$1="January",Q809,IF($J$1="February",Q810,IF($J$1="March",Q811,IF($J$1="April",Q812,IF($J$1="May",Q813,IF($J$1="June",Q814,IF($J$1="July",Q815,IF($J$1="August",Q816,IF($J$1="August",Q816,IF($J$1="September",Q817,IF($J$1="October",Q818,IF($J$1="November",Q819,IF($J$1="December",Q820)))))))))))))</f>
        <v>0</v>
      </c>
      <c r="F816" s="48" t="s">
        <v>22</v>
      </c>
      <c r="G816" s="43">
        <f>IF($J$1="January",X809,IF($J$1="February",X810,IF($J$1="March",X811,IF($J$1="April",X812,IF($J$1="May",X813,IF($J$1="June",X814,IF($J$1="July",X815,IF($J$1="August",X816,IF($J$1="August",X816,IF($J$1="September",X817,IF($J$1="October",X818,IF($J$1="November",X819,IF($J$1="December",X820)))))))))))))</f>
        <v>0</v>
      </c>
      <c r="H816" s="47"/>
      <c r="I816" s="405" t="s">
        <v>71</v>
      </c>
      <c r="J816" s="406"/>
      <c r="K816" s="43">
        <f>G816</f>
        <v>0</v>
      </c>
      <c r="L816" s="55"/>
      <c r="N816" s="71"/>
      <c r="O816" s="72" t="s">
        <v>52</v>
      </c>
      <c r="P816" s="72"/>
      <c r="Q816" s="72"/>
      <c r="R816" s="72" t="str">
        <f t="shared" si="162"/>
        <v/>
      </c>
      <c r="S816" s="63"/>
      <c r="T816" s="72" t="s">
        <v>52</v>
      </c>
      <c r="U816" s="105" t="str">
        <f>IF($J$1="September",Y815,"")</f>
        <v/>
      </c>
      <c r="V816" s="74"/>
      <c r="W816" s="105" t="str">
        <f t="shared" si="163"/>
        <v/>
      </c>
      <c r="X816" s="74"/>
      <c r="Y816" s="105" t="str">
        <f t="shared" si="164"/>
        <v/>
      </c>
      <c r="Z816" s="76"/>
    </row>
    <row r="817" spans="1:27" s="29" customFormat="1" ht="21.4" customHeight="1" x14ac:dyDescent="0.2">
      <c r="A817" s="30"/>
      <c r="B817" s="56" t="s">
        <v>69</v>
      </c>
      <c r="C817" s="39" t="str">
        <f>IF($J$1="January",R809,IF($J$1="February",R810,IF($J$1="March",R811,IF($J$1="April",R812,IF($J$1="May",R813,IF($J$1="June",R814,IF($J$1="July",R815,IF($J$1="August",R816,IF($J$1="August",R816,IF($J$1="September",R817,IF($J$1="October",R818,IF($J$1="November",R819,IF($J$1="December",R820)))))))))))))</f>
        <v/>
      </c>
      <c r="F817" s="48" t="s">
        <v>68</v>
      </c>
      <c r="G817" s="43">
        <f>IF($J$1="January",Y809,IF($J$1="February",Y810,IF($J$1="March",Y811,IF($J$1="April",Y812,IF($J$1="May",Y813,IF($J$1="June",Y814,IF($J$1="July",Y815,IF($J$1="August",Y816,IF($J$1="August",Y816,IF($J$1="September",Y817,IF($J$1="October",Y818,IF($J$1="November",Y819,IF($J$1="December",Y820)))))))))))))</f>
        <v>0</v>
      </c>
      <c r="I817" s="394" t="s">
        <v>64</v>
      </c>
      <c r="J817" s="396"/>
      <c r="K817" s="57">
        <f>K815-K816</f>
        <v>0</v>
      </c>
      <c r="L817" s="58"/>
      <c r="N817" s="71"/>
      <c r="O817" s="72" t="s">
        <v>57</v>
      </c>
      <c r="P817" s="72"/>
      <c r="Q817" s="72"/>
      <c r="R817" s="72" t="str">
        <f t="shared" si="162"/>
        <v/>
      </c>
      <c r="S817" s="63"/>
      <c r="T817" s="72" t="s">
        <v>57</v>
      </c>
      <c r="U817" s="105" t="str">
        <f>IF($J$1="Sept",Y816,"")</f>
        <v/>
      </c>
      <c r="V817" s="74"/>
      <c r="W817" s="105" t="str">
        <f t="shared" si="163"/>
        <v/>
      </c>
      <c r="X817" s="74"/>
      <c r="Y817" s="105" t="str">
        <f t="shared" si="164"/>
        <v/>
      </c>
      <c r="Z817" s="76"/>
    </row>
    <row r="818" spans="1:27" s="29" customFormat="1" ht="21.4" customHeight="1" x14ac:dyDescent="0.2">
      <c r="A818" s="30"/>
      <c r="L818" s="46"/>
      <c r="N818" s="71"/>
      <c r="O818" s="72" t="s">
        <v>53</v>
      </c>
      <c r="P818" s="72"/>
      <c r="Q818" s="72"/>
      <c r="R818" s="72" t="str">
        <f t="shared" si="162"/>
        <v/>
      </c>
      <c r="S818" s="63"/>
      <c r="T818" s="72" t="s">
        <v>53</v>
      </c>
      <c r="U818" s="105" t="str">
        <f>IF($J$1="October",Y817,"")</f>
        <v/>
      </c>
      <c r="V818" s="74"/>
      <c r="W818" s="105" t="str">
        <f t="shared" si="163"/>
        <v/>
      </c>
      <c r="X818" s="74"/>
      <c r="Y818" s="105" t="str">
        <f t="shared" si="164"/>
        <v/>
      </c>
      <c r="Z818" s="76"/>
    </row>
    <row r="819" spans="1:27" s="29" customFormat="1" ht="21.4" customHeight="1" x14ac:dyDescent="0.2">
      <c r="A819" s="30"/>
      <c r="B819" s="407" t="s">
        <v>87</v>
      </c>
      <c r="C819" s="407"/>
      <c r="D819" s="407"/>
      <c r="E819" s="407"/>
      <c r="F819" s="407"/>
      <c r="G819" s="407"/>
      <c r="H819" s="407"/>
      <c r="I819" s="407"/>
      <c r="J819" s="407"/>
      <c r="K819" s="407"/>
      <c r="L819" s="46"/>
      <c r="N819" s="71"/>
      <c r="O819" s="72" t="s">
        <v>58</v>
      </c>
      <c r="P819" s="72"/>
      <c r="Q819" s="72"/>
      <c r="R819" s="72" t="str">
        <f t="shared" si="162"/>
        <v/>
      </c>
      <c r="S819" s="63"/>
      <c r="T819" s="72" t="s">
        <v>58</v>
      </c>
      <c r="U819" s="105" t="str">
        <f>IF($J$1="November",Y818,"")</f>
        <v/>
      </c>
      <c r="V819" s="74"/>
      <c r="W819" s="105" t="str">
        <f t="shared" si="163"/>
        <v/>
      </c>
      <c r="X819" s="74"/>
      <c r="Y819" s="105" t="str">
        <f t="shared" si="164"/>
        <v/>
      </c>
      <c r="Z819" s="76"/>
    </row>
    <row r="820" spans="1:27" s="29" customFormat="1" ht="21.4" customHeight="1" x14ac:dyDescent="0.2">
      <c r="A820" s="30"/>
      <c r="B820" s="407"/>
      <c r="C820" s="407"/>
      <c r="D820" s="407"/>
      <c r="E820" s="407"/>
      <c r="F820" s="407"/>
      <c r="G820" s="407"/>
      <c r="H820" s="407"/>
      <c r="I820" s="407"/>
      <c r="J820" s="407"/>
      <c r="K820" s="407"/>
      <c r="L820" s="46"/>
      <c r="N820" s="71"/>
      <c r="O820" s="72" t="s">
        <v>59</v>
      </c>
      <c r="P820" s="72"/>
      <c r="Q820" s="72"/>
      <c r="R820" s="72" t="str">
        <f t="shared" si="162"/>
        <v/>
      </c>
      <c r="S820" s="63"/>
      <c r="T820" s="72" t="s">
        <v>59</v>
      </c>
      <c r="U820" s="105" t="str">
        <f>IF($J$1="Dec",Y819,"")</f>
        <v/>
      </c>
      <c r="V820" s="74"/>
      <c r="W820" s="105" t="str">
        <f t="shared" si="163"/>
        <v/>
      </c>
      <c r="X820" s="74"/>
      <c r="Y820" s="105" t="str">
        <f t="shared" si="164"/>
        <v/>
      </c>
      <c r="Z820" s="76"/>
    </row>
    <row r="821" spans="1:27" s="29" customFormat="1" ht="21.4" customHeight="1" thickBot="1" x14ac:dyDescent="0.25">
      <c r="A821" s="59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1"/>
      <c r="N821" s="77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9"/>
    </row>
    <row r="822" spans="1:27" s="29" customFormat="1" ht="21.4" customHeight="1" thickBot="1" x14ac:dyDescent="0.25"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 spans="1:27" s="29" customFormat="1" ht="21.4" customHeight="1" x14ac:dyDescent="0.2">
      <c r="A823" s="424" t="s">
        <v>41</v>
      </c>
      <c r="B823" s="425"/>
      <c r="C823" s="425"/>
      <c r="D823" s="425"/>
      <c r="E823" s="425"/>
      <c r="F823" s="425"/>
      <c r="G823" s="425"/>
      <c r="H823" s="425"/>
      <c r="I823" s="425"/>
      <c r="J823" s="425"/>
      <c r="K823" s="425"/>
      <c r="L823" s="426"/>
      <c r="M823" s="28"/>
      <c r="N823" s="64"/>
      <c r="O823" s="408" t="s">
        <v>43</v>
      </c>
      <c r="P823" s="409"/>
      <c r="Q823" s="409"/>
      <c r="R823" s="410"/>
      <c r="S823" s="65"/>
      <c r="T823" s="408" t="s">
        <v>44</v>
      </c>
      <c r="U823" s="409"/>
      <c r="V823" s="409"/>
      <c r="W823" s="409"/>
      <c r="X823" s="409"/>
      <c r="Y823" s="410"/>
      <c r="Z823" s="66"/>
      <c r="AA823" s="28"/>
    </row>
    <row r="824" spans="1:27" s="29" customFormat="1" ht="21.4" customHeight="1" x14ac:dyDescent="0.2">
      <c r="A824" s="30"/>
      <c r="C824" s="398" t="s">
        <v>85</v>
      </c>
      <c r="D824" s="398"/>
      <c r="E824" s="398"/>
      <c r="F824" s="398"/>
      <c r="G824" s="31" t="str">
        <f>$J$1</f>
        <v>April</v>
      </c>
      <c r="H824" s="397">
        <f>$K$1</f>
        <v>2023</v>
      </c>
      <c r="I824" s="397"/>
      <c r="K824" s="32"/>
      <c r="L824" s="33"/>
      <c r="M824" s="32"/>
      <c r="N824" s="67"/>
      <c r="O824" s="68" t="s">
        <v>54</v>
      </c>
      <c r="P824" s="68" t="s">
        <v>7</v>
      </c>
      <c r="Q824" s="68" t="s">
        <v>6</v>
      </c>
      <c r="R824" s="68" t="s">
        <v>55</v>
      </c>
      <c r="S824" s="69"/>
      <c r="T824" s="68" t="s">
        <v>54</v>
      </c>
      <c r="U824" s="68" t="s">
        <v>56</v>
      </c>
      <c r="V824" s="68" t="s">
        <v>21</v>
      </c>
      <c r="W824" s="68" t="s">
        <v>20</v>
      </c>
      <c r="X824" s="68" t="s">
        <v>22</v>
      </c>
      <c r="Y824" s="68" t="s">
        <v>60</v>
      </c>
      <c r="Z824" s="70"/>
      <c r="AA824" s="32"/>
    </row>
    <row r="825" spans="1:27" s="29" customFormat="1" ht="21.4" customHeight="1" x14ac:dyDescent="0.2">
      <c r="A825" s="30"/>
      <c r="D825" s="35"/>
      <c r="E825" s="35"/>
      <c r="F825" s="35"/>
      <c r="G825" s="35"/>
      <c r="H825" s="35"/>
      <c r="J825" s="36" t="s">
        <v>1</v>
      </c>
      <c r="K825" s="37"/>
      <c r="L825" s="38"/>
      <c r="N825" s="71"/>
      <c r="O825" s="72" t="s">
        <v>46</v>
      </c>
      <c r="P825" s="72">
        <v>29</v>
      </c>
      <c r="Q825" s="72">
        <v>2</v>
      </c>
      <c r="R825" s="72">
        <f>15-Q825</f>
        <v>13</v>
      </c>
      <c r="S825" s="73"/>
      <c r="T825" s="72" t="s">
        <v>46</v>
      </c>
      <c r="U825" s="74"/>
      <c r="V825" s="74"/>
      <c r="W825" s="74">
        <f>V825+U825</f>
        <v>0</v>
      </c>
      <c r="X825" s="74"/>
      <c r="Y825" s="74">
        <f>W825-X825</f>
        <v>0</v>
      </c>
      <c r="Z825" s="70"/>
    </row>
    <row r="826" spans="1:27" s="29" customFormat="1" ht="21.4" customHeight="1" x14ac:dyDescent="0.2">
      <c r="A826" s="30"/>
      <c r="B826" s="29" t="s">
        <v>0</v>
      </c>
      <c r="C826" s="40"/>
      <c r="H826" s="41"/>
      <c r="I826" s="35"/>
      <c r="L826" s="42"/>
      <c r="M826" s="28"/>
      <c r="N826" s="75"/>
      <c r="O826" s="72" t="s">
        <v>72</v>
      </c>
      <c r="P826" s="72">
        <v>28</v>
      </c>
      <c r="Q826" s="72">
        <v>1</v>
      </c>
      <c r="R826" s="72">
        <f>IF(Q826="","",R825-Q826)</f>
        <v>12</v>
      </c>
      <c r="S826" s="63"/>
      <c r="T826" s="72" t="s">
        <v>72</v>
      </c>
      <c r="U826" s="105">
        <f>IF($J$1="January","",Y825)</f>
        <v>0</v>
      </c>
      <c r="V826" s="74"/>
      <c r="W826" s="105">
        <f>IF(U826="","",U826+V826)</f>
        <v>0</v>
      </c>
      <c r="X826" s="74"/>
      <c r="Y826" s="105">
        <f>IF(W826="","",W826-X826)</f>
        <v>0</v>
      </c>
      <c r="Z826" s="76"/>
      <c r="AA826" s="28"/>
    </row>
    <row r="827" spans="1:27" s="29" customFormat="1" ht="21.4" customHeight="1" x14ac:dyDescent="0.2">
      <c r="A827" s="30"/>
      <c r="B827" s="44" t="s">
        <v>42</v>
      </c>
      <c r="C827" s="45"/>
      <c r="F827" s="414" t="s">
        <v>44</v>
      </c>
      <c r="G827" s="414"/>
      <c r="I827" s="414" t="s">
        <v>45</v>
      </c>
      <c r="J827" s="414"/>
      <c r="K827" s="414"/>
      <c r="L827" s="46"/>
      <c r="N827" s="71"/>
      <c r="O827" s="72" t="s">
        <v>47</v>
      </c>
      <c r="P827" s="72">
        <v>31</v>
      </c>
      <c r="Q827" s="72">
        <v>0</v>
      </c>
      <c r="R827" s="72">
        <f t="shared" ref="R827" si="165">IF(Q827="","",R826-Q827)</f>
        <v>12</v>
      </c>
      <c r="S827" s="63"/>
      <c r="T827" s="72" t="s">
        <v>47</v>
      </c>
      <c r="U827" s="105">
        <f>IF($J$1="February","",Y826)</f>
        <v>0</v>
      </c>
      <c r="V827" s="74"/>
      <c r="W827" s="105">
        <f t="shared" ref="W827:W836" si="166">IF(U827="","",U827+V827)</f>
        <v>0</v>
      </c>
      <c r="X827" s="74"/>
      <c r="Y827" s="105">
        <f t="shared" ref="Y827:Y836" si="167">IF(W827="","",W827-X827)</f>
        <v>0</v>
      </c>
      <c r="Z827" s="76"/>
    </row>
    <row r="828" spans="1:27" s="29" customFormat="1" ht="21.4" customHeight="1" x14ac:dyDescent="0.2">
      <c r="A828" s="30"/>
      <c r="H828" s="47"/>
      <c r="L828" s="34"/>
      <c r="N828" s="71"/>
      <c r="O828" s="72" t="s">
        <v>48</v>
      </c>
      <c r="P828" s="72">
        <v>14</v>
      </c>
      <c r="Q828" s="72">
        <v>16</v>
      </c>
      <c r="R828" s="72">
        <v>0</v>
      </c>
      <c r="S828" s="63"/>
      <c r="T828" s="72" t="s">
        <v>48</v>
      </c>
      <c r="U828" s="105">
        <f>IF($J$1="March","",Y827)</f>
        <v>0</v>
      </c>
      <c r="V828" s="74"/>
      <c r="W828" s="105">
        <f t="shared" si="166"/>
        <v>0</v>
      </c>
      <c r="X828" s="74"/>
      <c r="Y828" s="105">
        <f t="shared" si="167"/>
        <v>0</v>
      </c>
      <c r="Z828" s="76"/>
    </row>
    <row r="829" spans="1:27" s="29" customFormat="1" ht="21.4" customHeight="1" x14ac:dyDescent="0.2">
      <c r="A829" s="30"/>
      <c r="B829" s="392" t="s">
        <v>43</v>
      </c>
      <c r="C829" s="393"/>
      <c r="F829" s="48" t="s">
        <v>65</v>
      </c>
      <c r="G829" s="110">
        <f>IF($J$1="January",U825,IF($J$1="February",U826,IF($J$1="March",U827,IF($J$1="April",U828,IF($J$1="May",U829,IF($J$1="June",U830,IF($J$1="July",U831,IF($J$1="August",U832,IF($J$1="August",U832,IF($J$1="September",U833,IF($J$1="October",U834,IF($J$1="November",U835,IF($J$1="December",U836)))))))))))))</f>
        <v>0</v>
      </c>
      <c r="H829" s="47"/>
      <c r="I829" s="49">
        <f>IF(C833&gt;0,$K$2,C831)</f>
        <v>14</v>
      </c>
      <c r="J829" s="50" t="s">
        <v>62</v>
      </c>
      <c r="K829" s="51">
        <f>K825/$K$2*I829</f>
        <v>0</v>
      </c>
      <c r="L829" s="52"/>
      <c r="N829" s="71"/>
      <c r="O829" s="72" t="s">
        <v>49</v>
      </c>
      <c r="P829" s="72">
        <v>28</v>
      </c>
      <c r="Q829" s="72">
        <v>3</v>
      </c>
      <c r="R829" s="72">
        <v>0</v>
      </c>
      <c r="S829" s="63"/>
      <c r="T829" s="72" t="s">
        <v>49</v>
      </c>
      <c r="U829" s="105" t="str">
        <f>IF($J$1="April","",Y828)</f>
        <v/>
      </c>
      <c r="V829" s="74"/>
      <c r="W829" s="105" t="str">
        <f t="shared" si="166"/>
        <v/>
      </c>
      <c r="X829" s="74"/>
      <c r="Y829" s="105" t="str">
        <f t="shared" si="167"/>
        <v/>
      </c>
      <c r="Z829" s="76"/>
    </row>
    <row r="830" spans="1:27" s="29" customFormat="1" ht="21.4" customHeight="1" x14ac:dyDescent="0.2">
      <c r="A830" s="30"/>
      <c r="B830" s="39"/>
      <c r="C830" s="39"/>
      <c r="F830" s="48" t="s">
        <v>21</v>
      </c>
      <c r="G830" s="110">
        <f>IF($J$1="January",V825,IF($J$1="February",V826,IF($J$1="March",V827,IF($J$1="April",V828,IF($J$1="May",V829,IF($J$1="June",V830,IF($J$1="July",V831,IF($J$1="August",V832,IF($J$1="August",V832,IF($J$1="September",V833,IF($J$1="October",V834,IF($J$1="November",V835,IF($J$1="December",V836)))))))))))))</f>
        <v>0</v>
      </c>
      <c r="H830" s="47"/>
      <c r="I830" s="84"/>
      <c r="J830" s="50" t="s">
        <v>63</v>
      </c>
      <c r="K830" s="53">
        <f>K825/$K$2/8*I830</f>
        <v>0</v>
      </c>
      <c r="L830" s="54"/>
      <c r="N830" s="71"/>
      <c r="O830" s="72" t="s">
        <v>50</v>
      </c>
      <c r="P830" s="72">
        <v>4</v>
      </c>
      <c r="Q830" s="72">
        <v>26</v>
      </c>
      <c r="R830" s="72">
        <v>0</v>
      </c>
      <c r="S830" s="63"/>
      <c r="T830" s="72" t="s">
        <v>50</v>
      </c>
      <c r="U830" s="105" t="str">
        <f>IF($J$1="May","",Y829)</f>
        <v/>
      </c>
      <c r="V830" s="74"/>
      <c r="W830" s="105" t="str">
        <f t="shared" si="166"/>
        <v/>
      </c>
      <c r="X830" s="74"/>
      <c r="Y830" s="105" t="str">
        <f t="shared" si="167"/>
        <v/>
      </c>
      <c r="Z830" s="76"/>
    </row>
    <row r="831" spans="1:27" s="29" customFormat="1" ht="21.4" customHeight="1" x14ac:dyDescent="0.2">
      <c r="A831" s="30"/>
      <c r="B831" s="48" t="s">
        <v>7</v>
      </c>
      <c r="C831" s="39">
        <f>IF($J$1="January",P825,IF($J$1="February",P826,IF($J$1="March",P827,IF($J$1="April",P828,IF($J$1="May",P829,IF($J$1="June",P830,IF($J$1="July",P831,IF($J$1="August",P832,IF($J$1="August",P832,IF($J$1="September",P833,IF($J$1="October",P834,IF($J$1="November",P835,IF($J$1="December",P836)))))))))))))</f>
        <v>14</v>
      </c>
      <c r="F831" s="48" t="s">
        <v>66</v>
      </c>
      <c r="G831" s="110">
        <f>IF($J$1="January",W825,IF($J$1="February",W826,IF($J$1="March",W827,IF($J$1="April",W828,IF($J$1="May",W829,IF($J$1="June",W830,IF($J$1="July",W831,IF($J$1="August",W832,IF($J$1="August",W832,IF($J$1="September",W833,IF($J$1="October",W834,IF($J$1="November",W835,IF($J$1="December",W836)))))))))))))</f>
        <v>0</v>
      </c>
      <c r="H831" s="47"/>
      <c r="I831" s="405" t="s">
        <v>70</v>
      </c>
      <c r="J831" s="406"/>
      <c r="K831" s="53">
        <f>K829+K830</f>
        <v>0</v>
      </c>
      <c r="L831" s="54"/>
      <c r="N831" s="71"/>
      <c r="O831" s="72" t="s">
        <v>51</v>
      </c>
      <c r="P831" s="72"/>
      <c r="Q831" s="72"/>
      <c r="R831" s="72">
        <v>0</v>
      </c>
      <c r="S831" s="63"/>
      <c r="T831" s="72" t="s">
        <v>51</v>
      </c>
      <c r="U831" s="105" t="str">
        <f>IF($J$1="June","",Y830)</f>
        <v/>
      </c>
      <c r="V831" s="74"/>
      <c r="W831" s="105" t="str">
        <f t="shared" si="166"/>
        <v/>
      </c>
      <c r="X831" s="74"/>
      <c r="Y831" s="105" t="str">
        <f t="shared" si="167"/>
        <v/>
      </c>
      <c r="Z831" s="76"/>
    </row>
    <row r="832" spans="1:27" s="29" customFormat="1" ht="21.4" customHeight="1" x14ac:dyDescent="0.2">
      <c r="A832" s="30"/>
      <c r="B832" s="48" t="s">
        <v>6</v>
      </c>
      <c r="C832" s="39">
        <f>IF($J$1="January",Q825,IF($J$1="February",Q826,IF($J$1="March",Q827,IF($J$1="April",Q828,IF($J$1="May",Q829,IF($J$1="June",Q830,IF($J$1="July",Q831,IF($J$1="August",Q832,IF($J$1="August",Q832,IF($J$1="September",Q833,IF($J$1="October",Q834,IF($J$1="November",Q835,IF($J$1="December",Q836)))))))))))))</f>
        <v>16</v>
      </c>
      <c r="F832" s="48" t="s">
        <v>22</v>
      </c>
      <c r="G832" s="110">
        <f>IF($J$1="January",X825,IF($J$1="February",X826,IF($J$1="March",X827,IF($J$1="April",X828,IF($J$1="May",X829,IF($J$1="June",X830,IF($J$1="July",X831,IF($J$1="August",X832,IF($J$1="August",X832,IF($J$1="September",X833,IF($J$1="October",X834,IF($J$1="November",X835,IF($J$1="December",X836)))))))))))))</f>
        <v>0</v>
      </c>
      <c r="H832" s="47"/>
      <c r="I832" s="405" t="s">
        <v>71</v>
      </c>
      <c r="J832" s="406"/>
      <c r="K832" s="43">
        <f>G832</f>
        <v>0</v>
      </c>
      <c r="L832" s="55"/>
      <c r="N832" s="71"/>
      <c r="O832" s="72" t="s">
        <v>52</v>
      </c>
      <c r="P832" s="72"/>
      <c r="Q832" s="72"/>
      <c r="R832" s="72">
        <v>0</v>
      </c>
      <c r="S832" s="63"/>
      <c r="T832" s="72" t="s">
        <v>52</v>
      </c>
      <c r="U832" s="105" t="str">
        <f>IF($J$1="July","",Y831)</f>
        <v/>
      </c>
      <c r="V832" s="74"/>
      <c r="W832" s="105" t="str">
        <f t="shared" si="166"/>
        <v/>
      </c>
      <c r="X832" s="74"/>
      <c r="Y832" s="105" t="str">
        <f t="shared" si="167"/>
        <v/>
      </c>
      <c r="Z832" s="76"/>
    </row>
    <row r="833" spans="1:27" s="29" customFormat="1" ht="21.4" customHeight="1" x14ac:dyDescent="0.2">
      <c r="A833" s="30"/>
      <c r="B833" s="56" t="s">
        <v>69</v>
      </c>
      <c r="C833" s="39">
        <f>IF($J$1="January",R825,IF($J$1="February",R826,IF($J$1="March",R827,IF($J$1="April",R828,IF($J$1="May",R829,IF($J$1="June",R830,IF($J$1="July",R831,IF($J$1="August",R832,IF($J$1="August",R832,IF($J$1="September",R833,IF($J$1="October",R834,IF($J$1="November",R835,IF($J$1="December",R836)))))))))))))</f>
        <v>0</v>
      </c>
      <c r="F833" s="48" t="s">
        <v>68</v>
      </c>
      <c r="G833" s="110">
        <f>IF($J$1="January",Y825,IF($J$1="February",Y826,IF($J$1="March",Y827,IF($J$1="April",Y828,IF($J$1="May",Y829,IF($J$1="June",Y830,IF($J$1="July",Y831,IF($J$1="August",Y832,IF($J$1="August",Y832,IF($J$1="September",Y833,IF($J$1="October",Y834,IF($J$1="November",Y835,IF($J$1="December",Y836)))))))))))))</f>
        <v>0</v>
      </c>
      <c r="I833" s="394" t="s">
        <v>64</v>
      </c>
      <c r="J833" s="396"/>
      <c r="K833" s="57"/>
      <c r="L833" s="58"/>
      <c r="N833" s="71"/>
      <c r="O833" s="72" t="s">
        <v>57</v>
      </c>
      <c r="P833" s="72"/>
      <c r="Q833" s="72"/>
      <c r="R833" s="72">
        <v>0</v>
      </c>
      <c r="S833" s="63"/>
      <c r="T833" s="72" t="s">
        <v>57</v>
      </c>
      <c r="U833" s="105" t="str">
        <f>IF($J$1="August","",Y832)</f>
        <v/>
      </c>
      <c r="V833" s="74"/>
      <c r="W833" s="105" t="str">
        <f t="shared" si="166"/>
        <v/>
      </c>
      <c r="X833" s="74"/>
      <c r="Y833" s="105" t="str">
        <f t="shared" si="167"/>
        <v/>
      </c>
      <c r="Z833" s="76"/>
    </row>
    <row r="834" spans="1:27" s="29" customFormat="1" ht="21.4" customHeight="1" x14ac:dyDescent="0.2">
      <c r="A834" s="30"/>
      <c r="J834" s="107"/>
      <c r="K834" s="107"/>
      <c r="L834" s="46"/>
      <c r="N834" s="71"/>
      <c r="O834" s="72" t="s">
        <v>53</v>
      </c>
      <c r="P834" s="72"/>
      <c r="Q834" s="72"/>
      <c r="R834" s="72">
        <v>0</v>
      </c>
      <c r="S834" s="63"/>
      <c r="T834" s="72" t="s">
        <v>53</v>
      </c>
      <c r="U834" s="105" t="str">
        <f>IF($J$1="September","",Y833)</f>
        <v/>
      </c>
      <c r="V834" s="74"/>
      <c r="W834" s="105" t="str">
        <f t="shared" si="166"/>
        <v/>
      </c>
      <c r="X834" s="74"/>
      <c r="Y834" s="105" t="str">
        <f t="shared" si="167"/>
        <v/>
      </c>
      <c r="Z834" s="76"/>
    </row>
    <row r="835" spans="1:27" s="29" customFormat="1" ht="21.4" customHeight="1" x14ac:dyDescent="0.2">
      <c r="A835" s="30"/>
      <c r="B835" s="407" t="s">
        <v>87</v>
      </c>
      <c r="C835" s="407"/>
      <c r="D835" s="407"/>
      <c r="E835" s="407"/>
      <c r="F835" s="407"/>
      <c r="G835" s="407"/>
      <c r="H835" s="407"/>
      <c r="I835" s="407"/>
      <c r="J835" s="407"/>
      <c r="K835" s="407"/>
      <c r="L835" s="46"/>
      <c r="N835" s="71"/>
      <c r="O835" s="72" t="s">
        <v>58</v>
      </c>
      <c r="P835" s="72"/>
      <c r="Q835" s="72"/>
      <c r="R835" s="72">
        <v>0</v>
      </c>
      <c r="S835" s="63"/>
      <c r="T835" s="72" t="s">
        <v>58</v>
      </c>
      <c r="U835" s="105" t="str">
        <f>IF($J$1="October","",Y834)</f>
        <v/>
      </c>
      <c r="V835" s="74"/>
      <c r="W835" s="105" t="str">
        <f t="shared" si="166"/>
        <v/>
      </c>
      <c r="X835" s="74"/>
      <c r="Y835" s="105" t="str">
        <f t="shared" si="167"/>
        <v/>
      </c>
      <c r="Z835" s="76"/>
    </row>
    <row r="836" spans="1:27" s="29" customFormat="1" ht="21.4" customHeight="1" x14ac:dyDescent="0.2">
      <c r="A836" s="30"/>
      <c r="B836" s="407"/>
      <c r="C836" s="407"/>
      <c r="D836" s="407"/>
      <c r="E836" s="407"/>
      <c r="F836" s="407"/>
      <c r="G836" s="407"/>
      <c r="H836" s="407"/>
      <c r="I836" s="407"/>
      <c r="J836" s="407"/>
      <c r="K836" s="407"/>
      <c r="L836" s="46"/>
      <c r="N836" s="71"/>
      <c r="O836" s="72" t="s">
        <v>59</v>
      </c>
      <c r="P836" s="72"/>
      <c r="Q836" s="72"/>
      <c r="R836" s="72">
        <v>0</v>
      </c>
      <c r="S836" s="63"/>
      <c r="T836" s="72" t="s">
        <v>59</v>
      </c>
      <c r="U836" s="105" t="str">
        <f>IF($J$1="November","",Y835)</f>
        <v/>
      </c>
      <c r="V836" s="74"/>
      <c r="W836" s="105" t="str">
        <f t="shared" si="166"/>
        <v/>
      </c>
      <c r="X836" s="74"/>
      <c r="Y836" s="105" t="str">
        <f t="shared" si="167"/>
        <v/>
      </c>
      <c r="Z836" s="76"/>
    </row>
    <row r="837" spans="1:27" s="29" customFormat="1" ht="21.4" customHeight="1" thickBot="1" x14ac:dyDescent="0.25">
      <c r="A837" s="59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1"/>
      <c r="N837" s="77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9"/>
    </row>
    <row r="838" spans="1:27" s="29" customFormat="1" ht="21.4" customHeight="1" thickBot="1" x14ac:dyDescent="0.25"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</row>
    <row r="839" spans="1:27" s="29" customFormat="1" ht="21.4" customHeight="1" x14ac:dyDescent="0.2">
      <c r="A839" s="420" t="s">
        <v>41</v>
      </c>
      <c r="B839" s="421"/>
      <c r="C839" s="421"/>
      <c r="D839" s="421"/>
      <c r="E839" s="421"/>
      <c r="F839" s="421"/>
      <c r="G839" s="421"/>
      <c r="H839" s="421"/>
      <c r="I839" s="421"/>
      <c r="J839" s="421"/>
      <c r="K839" s="421"/>
      <c r="L839" s="422"/>
      <c r="M839" s="28"/>
      <c r="N839" s="64"/>
      <c r="O839" s="408" t="s">
        <v>43</v>
      </c>
      <c r="P839" s="409"/>
      <c r="Q839" s="409"/>
      <c r="R839" s="410"/>
      <c r="S839" s="65"/>
      <c r="T839" s="408" t="s">
        <v>44</v>
      </c>
      <c r="U839" s="409"/>
      <c r="V839" s="409"/>
      <c r="W839" s="409"/>
      <c r="X839" s="409"/>
      <c r="Y839" s="410"/>
      <c r="Z839" s="66"/>
      <c r="AA839" s="28"/>
    </row>
    <row r="840" spans="1:27" s="29" customFormat="1" ht="21.4" customHeight="1" x14ac:dyDescent="0.2">
      <c r="A840" s="30"/>
      <c r="C840" s="398" t="s">
        <v>85</v>
      </c>
      <c r="D840" s="398"/>
      <c r="E840" s="398"/>
      <c r="F840" s="398"/>
      <c r="G840" s="31" t="str">
        <f>$J$1</f>
        <v>April</v>
      </c>
      <c r="H840" s="397">
        <f>$K$1</f>
        <v>2023</v>
      </c>
      <c r="I840" s="397"/>
      <c r="K840" s="32"/>
      <c r="L840" s="33"/>
      <c r="M840" s="32"/>
      <c r="N840" s="67"/>
      <c r="O840" s="68" t="s">
        <v>54</v>
      </c>
      <c r="P840" s="68" t="s">
        <v>7</v>
      </c>
      <c r="Q840" s="68" t="s">
        <v>6</v>
      </c>
      <c r="R840" s="68" t="s">
        <v>55</v>
      </c>
      <c r="S840" s="69"/>
      <c r="T840" s="68" t="s">
        <v>54</v>
      </c>
      <c r="U840" s="68" t="s">
        <v>56</v>
      </c>
      <c r="V840" s="68" t="s">
        <v>21</v>
      </c>
      <c r="W840" s="68" t="s">
        <v>20</v>
      </c>
      <c r="X840" s="68" t="s">
        <v>22</v>
      </c>
      <c r="Y840" s="68" t="s">
        <v>60</v>
      </c>
      <c r="Z840" s="70"/>
      <c r="AA840" s="32"/>
    </row>
    <row r="841" spans="1:27" s="29" customFormat="1" ht="21.4" customHeight="1" x14ac:dyDescent="0.2">
      <c r="A841" s="30"/>
      <c r="D841" s="35"/>
      <c r="E841" s="35"/>
      <c r="F841" s="35"/>
      <c r="G841" s="35"/>
      <c r="H841" s="35"/>
      <c r="J841" s="36" t="s">
        <v>1</v>
      </c>
      <c r="K841" s="37"/>
      <c r="L841" s="38"/>
      <c r="N841" s="71"/>
      <c r="O841" s="72" t="s">
        <v>46</v>
      </c>
      <c r="P841" s="72"/>
      <c r="Q841" s="72"/>
      <c r="R841" s="72">
        <f>15-Q841</f>
        <v>15</v>
      </c>
      <c r="S841" s="73"/>
      <c r="T841" s="72" t="s">
        <v>46</v>
      </c>
      <c r="U841" s="74"/>
      <c r="V841" s="74"/>
      <c r="W841" s="74">
        <f>V841+U841</f>
        <v>0</v>
      </c>
      <c r="X841" s="74"/>
      <c r="Y841" s="74">
        <f>W841-X841</f>
        <v>0</v>
      </c>
      <c r="Z841" s="70"/>
    </row>
    <row r="842" spans="1:27" s="29" customFormat="1" ht="21.4" customHeight="1" x14ac:dyDescent="0.2">
      <c r="A842" s="30"/>
      <c r="B842" s="29" t="s">
        <v>0</v>
      </c>
      <c r="C842" s="40"/>
      <c r="H842" s="41"/>
      <c r="I842" s="35"/>
      <c r="L842" s="42"/>
      <c r="M842" s="28"/>
      <c r="N842" s="75"/>
      <c r="O842" s="72" t="s">
        <v>72</v>
      </c>
      <c r="P842" s="72"/>
      <c r="Q842" s="72"/>
      <c r="R842" s="72" t="str">
        <f>IF(Q842="","",R841-Q842)</f>
        <v/>
      </c>
      <c r="S842" s="63"/>
      <c r="T842" s="72" t="s">
        <v>72</v>
      </c>
      <c r="U842" s="105">
        <f>Y841</f>
        <v>0</v>
      </c>
      <c r="V842" s="74"/>
      <c r="W842" s="105">
        <f>IF(U842="","",U842+V842)</f>
        <v>0</v>
      </c>
      <c r="X842" s="74"/>
      <c r="Y842" s="105">
        <f>IF(W842="","",W842-X842)</f>
        <v>0</v>
      </c>
      <c r="Z842" s="76"/>
      <c r="AA842" s="28"/>
    </row>
    <row r="843" spans="1:27" s="29" customFormat="1" ht="21.4" customHeight="1" x14ac:dyDescent="0.2">
      <c r="A843" s="30"/>
      <c r="B843" s="44" t="s">
        <v>42</v>
      </c>
      <c r="C843" s="62"/>
      <c r="F843" s="414" t="s">
        <v>44</v>
      </c>
      <c r="G843" s="414"/>
      <c r="I843" s="414" t="s">
        <v>45</v>
      </c>
      <c r="J843" s="414"/>
      <c r="K843" s="414"/>
      <c r="L843" s="46"/>
      <c r="N843" s="71"/>
      <c r="O843" s="72" t="s">
        <v>47</v>
      </c>
      <c r="P843" s="72"/>
      <c r="Q843" s="72"/>
      <c r="R843" s="72" t="str">
        <f t="shared" ref="R843:R852" si="168">IF(Q843="","",R842-Q843)</f>
        <v/>
      </c>
      <c r="S843" s="63"/>
      <c r="T843" s="72" t="s">
        <v>47</v>
      </c>
      <c r="U843" s="105">
        <f>IF($J$1="April",Y842,Y842)</f>
        <v>0</v>
      </c>
      <c r="V843" s="74"/>
      <c r="W843" s="105">
        <f t="shared" ref="W843:W852" si="169">IF(U843="","",U843+V843)</f>
        <v>0</v>
      </c>
      <c r="X843" s="74"/>
      <c r="Y843" s="105">
        <f t="shared" ref="Y843:Y852" si="170">IF(W843="","",W843-X843)</f>
        <v>0</v>
      </c>
      <c r="Z843" s="76"/>
    </row>
    <row r="844" spans="1:27" s="29" customFormat="1" ht="21.4" customHeight="1" x14ac:dyDescent="0.2">
      <c r="A844" s="30"/>
      <c r="H844" s="47"/>
      <c r="L844" s="34"/>
      <c r="N844" s="71"/>
      <c r="O844" s="72" t="s">
        <v>48</v>
      </c>
      <c r="P844" s="72"/>
      <c r="Q844" s="72"/>
      <c r="R844" s="72" t="str">
        <f t="shared" si="168"/>
        <v/>
      </c>
      <c r="S844" s="63"/>
      <c r="T844" s="72" t="s">
        <v>48</v>
      </c>
      <c r="U844" s="105">
        <f>IF($J$1="April",Y843,Y843)</f>
        <v>0</v>
      </c>
      <c r="V844" s="74"/>
      <c r="W844" s="105">
        <f t="shared" si="169"/>
        <v>0</v>
      </c>
      <c r="X844" s="74"/>
      <c r="Y844" s="105">
        <f t="shared" si="170"/>
        <v>0</v>
      </c>
      <c r="Z844" s="76"/>
    </row>
    <row r="845" spans="1:27" s="29" customFormat="1" ht="21.4" customHeight="1" x14ac:dyDescent="0.2">
      <c r="A845" s="30"/>
      <c r="B845" s="392" t="s">
        <v>43</v>
      </c>
      <c r="C845" s="393"/>
      <c r="F845" s="48" t="s">
        <v>65</v>
      </c>
      <c r="G845" s="43">
        <f>IF($J$1="January",U841,IF($J$1="February",U842,IF($J$1="March",U843,IF($J$1="April",U844,IF($J$1="May",U845,IF($J$1="June",U846,IF($J$1="July",U847,IF($J$1="August",U848,IF($J$1="August",U848,IF($J$1="September",U849,IF($J$1="October",U850,IF($J$1="November",U851,IF($J$1="December",U852)))))))))))))</f>
        <v>0</v>
      </c>
      <c r="H845" s="47"/>
      <c r="I845" s="49"/>
      <c r="J845" s="50" t="s">
        <v>62</v>
      </c>
      <c r="K845" s="51">
        <f>K841/$K$2*I845</f>
        <v>0</v>
      </c>
      <c r="L845" s="52"/>
      <c r="N845" s="71"/>
      <c r="O845" s="72" t="s">
        <v>49</v>
      </c>
      <c r="P845" s="72"/>
      <c r="Q845" s="72"/>
      <c r="R845" s="72" t="str">
        <f t="shared" si="168"/>
        <v/>
      </c>
      <c r="S845" s="63"/>
      <c r="T845" s="72" t="s">
        <v>49</v>
      </c>
      <c r="U845" s="105">
        <f>IF($J$1="May",Y844,Y844)</f>
        <v>0</v>
      </c>
      <c r="V845" s="74"/>
      <c r="W845" s="105">
        <f t="shared" si="169"/>
        <v>0</v>
      </c>
      <c r="X845" s="74"/>
      <c r="Y845" s="105">
        <f t="shared" si="170"/>
        <v>0</v>
      </c>
      <c r="Z845" s="76"/>
    </row>
    <row r="846" spans="1:27" s="29" customFormat="1" ht="21.4" customHeight="1" x14ac:dyDescent="0.2">
      <c r="A846" s="30"/>
      <c r="B846" s="39"/>
      <c r="C846" s="39"/>
      <c r="F846" s="48" t="s">
        <v>21</v>
      </c>
      <c r="G846" s="43">
        <f>IF($J$1="January",V841,IF($J$1="February",V842,IF($J$1="March",V843,IF($J$1="April",V844,IF($J$1="May",V845,IF($J$1="June",V846,IF($J$1="July",V847,IF($J$1="August",V848,IF($J$1="August",V848,IF($J$1="September",V849,IF($J$1="October",V850,IF($J$1="November",V851,IF($J$1="December",V852)))))))))))))</f>
        <v>0</v>
      </c>
      <c r="H846" s="47"/>
      <c r="I846" s="49"/>
      <c r="J846" s="50" t="s">
        <v>63</v>
      </c>
      <c r="K846" s="53"/>
      <c r="L846" s="54"/>
      <c r="N846" s="71"/>
      <c r="O846" s="72" t="s">
        <v>50</v>
      </c>
      <c r="P846" s="72"/>
      <c r="Q846" s="72"/>
      <c r="R846" s="72" t="str">
        <f t="shared" si="168"/>
        <v/>
      </c>
      <c r="S846" s="63"/>
      <c r="T846" s="72" t="s">
        <v>50</v>
      </c>
      <c r="U846" s="105">
        <f>IF($J$1="May",Y845,Y845)</f>
        <v>0</v>
      </c>
      <c r="V846" s="74"/>
      <c r="W846" s="105">
        <f t="shared" si="169"/>
        <v>0</v>
      </c>
      <c r="X846" s="74"/>
      <c r="Y846" s="105">
        <f t="shared" si="170"/>
        <v>0</v>
      </c>
      <c r="Z846" s="76"/>
    </row>
    <row r="847" spans="1:27" s="29" customFormat="1" ht="21.4" customHeight="1" x14ac:dyDescent="0.2">
      <c r="A847" s="30"/>
      <c r="B847" s="48" t="s">
        <v>7</v>
      </c>
      <c r="C847" s="39">
        <f>IF($J$1="January",P841,IF($J$1="February",P842,IF($J$1="March",P843,IF($J$1="April",P844,IF($J$1="May",P845,IF($J$1="June",P846,IF($J$1="July",P847,IF($J$1="August",P848,IF($J$1="August",P848,IF($J$1="September",P849,IF($J$1="October",P850,IF($J$1="November",P851,IF($J$1="December",P852)))))))))))))</f>
        <v>0</v>
      </c>
      <c r="F847" s="48" t="s">
        <v>66</v>
      </c>
      <c r="G847" s="43">
        <f>IF($J$1="January",W841,IF($J$1="February",W842,IF($J$1="March",W843,IF($J$1="April",W844,IF($J$1="May",W845,IF($J$1="June",W846,IF($J$1="July",W847,IF($J$1="August",W848,IF($J$1="August",W848,IF($J$1="September",W849,IF($J$1="October",W850,IF($J$1="November",W851,IF($J$1="December",W852)))))))))))))</f>
        <v>0</v>
      </c>
      <c r="H847" s="47"/>
      <c r="I847" s="405" t="s">
        <v>70</v>
      </c>
      <c r="J847" s="406"/>
      <c r="K847" s="53">
        <f>K845+K846</f>
        <v>0</v>
      </c>
      <c r="L847" s="54"/>
      <c r="N847" s="71"/>
      <c r="O847" s="72" t="s">
        <v>51</v>
      </c>
      <c r="P847" s="72"/>
      <c r="Q847" s="72"/>
      <c r="R847" s="72" t="str">
        <f t="shared" si="168"/>
        <v/>
      </c>
      <c r="S847" s="63"/>
      <c r="T847" s="72" t="s">
        <v>51</v>
      </c>
      <c r="U847" s="105">
        <f>IF($J$1="May",Y846,Y846)</f>
        <v>0</v>
      </c>
      <c r="V847" s="74"/>
      <c r="W847" s="105">
        <f t="shared" si="169"/>
        <v>0</v>
      </c>
      <c r="X847" s="74"/>
      <c r="Y847" s="105">
        <f t="shared" si="170"/>
        <v>0</v>
      </c>
      <c r="Z847" s="76"/>
    </row>
    <row r="848" spans="1:27" s="29" customFormat="1" ht="21.4" customHeight="1" x14ac:dyDescent="0.2">
      <c r="A848" s="30"/>
      <c r="B848" s="48" t="s">
        <v>6</v>
      </c>
      <c r="C848" s="39">
        <f>IF($J$1="January",Q841,IF($J$1="February",Q842,IF($J$1="March",Q843,IF($J$1="April",Q844,IF($J$1="May",Q845,IF($J$1="June",Q846,IF($J$1="July",Q847,IF($J$1="August",Q848,IF($J$1="August",Q848,IF($J$1="September",Q849,IF($J$1="October",Q850,IF($J$1="November",Q851,IF($J$1="December",Q852)))))))))))))</f>
        <v>0</v>
      </c>
      <c r="F848" s="48" t="s">
        <v>22</v>
      </c>
      <c r="G848" s="43">
        <f>IF($J$1="January",X841,IF($J$1="February",X842,IF($J$1="March",X843,IF($J$1="April",X844,IF($J$1="May",X845,IF($J$1="June",X846,IF($J$1="July",X847,IF($J$1="August",X848,IF($J$1="August",X848,IF($J$1="September",X849,IF($J$1="October",X850,IF($J$1="November",X851,IF($J$1="December",X852)))))))))))))</f>
        <v>0</v>
      </c>
      <c r="H848" s="47"/>
      <c r="I848" s="405" t="s">
        <v>71</v>
      </c>
      <c r="J848" s="406"/>
      <c r="K848" s="43">
        <f>G848</f>
        <v>0</v>
      </c>
      <c r="L848" s="55"/>
      <c r="N848" s="71"/>
      <c r="O848" s="72" t="s">
        <v>52</v>
      </c>
      <c r="P848" s="72"/>
      <c r="Q848" s="72"/>
      <c r="R848" s="72" t="str">
        <f t="shared" si="168"/>
        <v/>
      </c>
      <c r="S848" s="63"/>
      <c r="T848" s="72" t="s">
        <v>52</v>
      </c>
      <c r="U848" s="105" t="str">
        <f>IF($J$1="September",Y847,"")</f>
        <v/>
      </c>
      <c r="V848" s="74"/>
      <c r="W848" s="105" t="str">
        <f t="shared" si="169"/>
        <v/>
      </c>
      <c r="X848" s="74"/>
      <c r="Y848" s="105" t="str">
        <f t="shared" si="170"/>
        <v/>
      </c>
      <c r="Z848" s="76"/>
    </row>
    <row r="849" spans="1:27" s="29" customFormat="1" ht="21.4" customHeight="1" x14ac:dyDescent="0.2">
      <c r="A849" s="30"/>
      <c r="B849" s="56" t="s">
        <v>69</v>
      </c>
      <c r="C849" s="39" t="str">
        <f>IF($J$1="January",R841,IF($J$1="February",R842,IF($J$1="March",R843,IF($J$1="April",R844,IF($J$1="May",R845,IF($J$1="June",R846,IF($J$1="July",R847,IF($J$1="August",R848,IF($J$1="August",R848,IF($J$1="September",R849,IF($J$1="October",R850,IF($J$1="November",R851,IF($J$1="December",R852)))))))))))))</f>
        <v/>
      </c>
      <c r="F849" s="48" t="s">
        <v>68</v>
      </c>
      <c r="G849" s="43">
        <f>IF($J$1="January",Y841,IF($J$1="February",Y842,IF($J$1="March",Y843,IF($J$1="April",Y844,IF($J$1="May",Y845,IF($J$1="June",Y846,IF($J$1="July",Y847,IF($J$1="August",Y848,IF($J$1="August",Y848,IF($J$1="September",Y849,IF($J$1="October",Y850,IF($J$1="November",Y851,IF($J$1="December",Y852)))))))))))))</f>
        <v>0</v>
      </c>
      <c r="I849" s="394" t="s">
        <v>64</v>
      </c>
      <c r="J849" s="396"/>
      <c r="K849" s="57">
        <f>K847-K848</f>
        <v>0</v>
      </c>
      <c r="L849" s="58"/>
      <c r="N849" s="71"/>
      <c r="O849" s="72" t="s">
        <v>57</v>
      </c>
      <c r="P849" s="72"/>
      <c r="Q849" s="72"/>
      <c r="R849" s="72" t="str">
        <f t="shared" si="168"/>
        <v/>
      </c>
      <c r="S849" s="63"/>
      <c r="T849" s="72" t="s">
        <v>57</v>
      </c>
      <c r="U849" s="105" t="str">
        <f>IF($J$1="September",Y848,"")</f>
        <v/>
      </c>
      <c r="V849" s="74"/>
      <c r="W849" s="105" t="str">
        <f t="shared" si="169"/>
        <v/>
      </c>
      <c r="X849" s="74"/>
      <c r="Y849" s="105" t="str">
        <f t="shared" si="170"/>
        <v/>
      </c>
      <c r="Z849" s="76"/>
    </row>
    <row r="850" spans="1:27" s="29" customFormat="1" ht="21.4" customHeight="1" x14ac:dyDescent="0.2">
      <c r="A850" s="30"/>
      <c r="L850" s="46"/>
      <c r="N850" s="71"/>
      <c r="O850" s="72" t="s">
        <v>53</v>
      </c>
      <c r="P850" s="72"/>
      <c r="Q850" s="72"/>
      <c r="R850" s="72" t="str">
        <f t="shared" si="168"/>
        <v/>
      </c>
      <c r="S850" s="63"/>
      <c r="T850" s="72" t="s">
        <v>53</v>
      </c>
      <c r="U850" s="105" t="str">
        <f>IF($J$1="October",Y849,"")</f>
        <v/>
      </c>
      <c r="V850" s="74"/>
      <c r="W850" s="105" t="str">
        <f t="shared" si="169"/>
        <v/>
      </c>
      <c r="X850" s="74"/>
      <c r="Y850" s="105" t="str">
        <f t="shared" si="170"/>
        <v/>
      </c>
      <c r="Z850" s="76"/>
    </row>
    <row r="851" spans="1:27" s="29" customFormat="1" ht="21.4" customHeight="1" x14ac:dyDescent="0.2">
      <c r="A851" s="30"/>
      <c r="B851" s="407" t="s">
        <v>87</v>
      </c>
      <c r="C851" s="407"/>
      <c r="D851" s="407"/>
      <c r="E851" s="407"/>
      <c r="F851" s="407"/>
      <c r="G851" s="407"/>
      <c r="H851" s="407"/>
      <c r="I851" s="407"/>
      <c r="J851" s="407"/>
      <c r="K851" s="407"/>
      <c r="L851" s="46"/>
      <c r="N851" s="71"/>
      <c r="O851" s="72" t="s">
        <v>58</v>
      </c>
      <c r="P851" s="72"/>
      <c r="Q851" s="72"/>
      <c r="R851" s="72" t="str">
        <f t="shared" si="168"/>
        <v/>
      </c>
      <c r="S851" s="63"/>
      <c r="T851" s="72" t="s">
        <v>58</v>
      </c>
      <c r="U851" s="105" t="str">
        <f>IF($J$1="November",Y850,"")</f>
        <v/>
      </c>
      <c r="V851" s="74"/>
      <c r="W851" s="105" t="str">
        <f t="shared" si="169"/>
        <v/>
      </c>
      <c r="X851" s="74"/>
      <c r="Y851" s="105" t="str">
        <f t="shared" si="170"/>
        <v/>
      </c>
      <c r="Z851" s="76"/>
    </row>
    <row r="852" spans="1:27" s="29" customFormat="1" ht="21.4" customHeight="1" x14ac:dyDescent="0.2">
      <c r="A852" s="30"/>
      <c r="B852" s="407"/>
      <c r="C852" s="407"/>
      <c r="D852" s="407"/>
      <c r="E852" s="407"/>
      <c r="F852" s="407"/>
      <c r="G852" s="407"/>
      <c r="H852" s="407"/>
      <c r="I852" s="407"/>
      <c r="J852" s="407"/>
      <c r="K852" s="407"/>
      <c r="L852" s="46"/>
      <c r="N852" s="71"/>
      <c r="O852" s="72" t="s">
        <v>59</v>
      </c>
      <c r="P852" s="72"/>
      <c r="Q852" s="72"/>
      <c r="R852" s="72" t="str">
        <f t="shared" si="168"/>
        <v/>
      </c>
      <c r="S852" s="63"/>
      <c r="T852" s="72" t="s">
        <v>59</v>
      </c>
      <c r="U852" s="105" t="str">
        <f>IF($J$1="Dec",Y851,"")</f>
        <v/>
      </c>
      <c r="V852" s="74"/>
      <c r="W852" s="105" t="str">
        <f t="shared" si="169"/>
        <v/>
      </c>
      <c r="X852" s="74"/>
      <c r="Y852" s="105" t="str">
        <f t="shared" si="170"/>
        <v/>
      </c>
      <c r="Z852" s="76"/>
    </row>
    <row r="853" spans="1:27" s="29" customFormat="1" ht="21.4" customHeight="1" thickBot="1" x14ac:dyDescent="0.25">
      <c r="A853" s="59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1"/>
      <c r="N853" s="77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9"/>
    </row>
    <row r="854" spans="1:27" s="29" customFormat="1" ht="21.4" customHeight="1" thickBot="1" x14ac:dyDescent="0.25"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</row>
    <row r="855" spans="1:27" s="29" customFormat="1" ht="21.4" customHeight="1" x14ac:dyDescent="0.2">
      <c r="A855" s="411" t="s">
        <v>41</v>
      </c>
      <c r="B855" s="412"/>
      <c r="C855" s="412"/>
      <c r="D855" s="412"/>
      <c r="E855" s="412"/>
      <c r="F855" s="412"/>
      <c r="G855" s="412"/>
      <c r="H855" s="412"/>
      <c r="I855" s="412"/>
      <c r="J855" s="412"/>
      <c r="K855" s="412"/>
      <c r="L855" s="413"/>
      <c r="M855" s="28"/>
      <c r="N855" s="64"/>
      <c r="O855" s="408" t="s">
        <v>43</v>
      </c>
      <c r="P855" s="409"/>
      <c r="Q855" s="409"/>
      <c r="R855" s="410"/>
      <c r="S855" s="65"/>
      <c r="T855" s="408" t="s">
        <v>44</v>
      </c>
      <c r="U855" s="409"/>
      <c r="V855" s="409"/>
      <c r="W855" s="409"/>
      <c r="X855" s="409"/>
      <c r="Y855" s="410"/>
      <c r="Z855" s="66"/>
      <c r="AA855" s="28"/>
    </row>
    <row r="856" spans="1:27" s="29" customFormat="1" ht="21.4" customHeight="1" x14ac:dyDescent="0.2">
      <c r="A856" s="30"/>
      <c r="C856" s="398" t="s">
        <v>85</v>
      </c>
      <c r="D856" s="398"/>
      <c r="E856" s="398"/>
      <c r="F856" s="398"/>
      <c r="G856" s="31" t="str">
        <f>$J$1</f>
        <v>April</v>
      </c>
      <c r="H856" s="397">
        <f>$K$1</f>
        <v>2023</v>
      </c>
      <c r="I856" s="397"/>
      <c r="K856" s="32"/>
      <c r="L856" s="33"/>
      <c r="M856" s="32"/>
      <c r="N856" s="67"/>
      <c r="O856" s="68" t="s">
        <v>54</v>
      </c>
      <c r="P856" s="68" t="s">
        <v>7</v>
      </c>
      <c r="Q856" s="68" t="s">
        <v>6</v>
      </c>
      <c r="R856" s="68" t="s">
        <v>55</v>
      </c>
      <c r="S856" s="69"/>
      <c r="T856" s="68" t="s">
        <v>54</v>
      </c>
      <c r="U856" s="68" t="s">
        <v>56</v>
      </c>
      <c r="V856" s="68" t="s">
        <v>21</v>
      </c>
      <c r="W856" s="68" t="s">
        <v>20</v>
      </c>
      <c r="X856" s="68" t="s">
        <v>22</v>
      </c>
      <c r="Y856" s="68" t="s">
        <v>60</v>
      </c>
      <c r="Z856" s="70"/>
      <c r="AA856" s="32"/>
    </row>
    <row r="857" spans="1:27" s="29" customFormat="1" ht="21.4" customHeight="1" x14ac:dyDescent="0.2">
      <c r="A857" s="30"/>
      <c r="D857" s="35"/>
      <c r="E857" s="35"/>
      <c r="F857" s="35"/>
      <c r="G857" s="35"/>
      <c r="H857" s="35"/>
      <c r="J857" s="36" t="s">
        <v>1</v>
      </c>
      <c r="K857" s="37"/>
      <c r="L857" s="38"/>
      <c r="N857" s="71"/>
      <c r="O857" s="72" t="s">
        <v>46</v>
      </c>
      <c r="P857" s="72"/>
      <c r="Q857" s="72"/>
      <c r="R857" s="72">
        <v>0</v>
      </c>
      <c r="S857" s="73"/>
      <c r="T857" s="72" t="s">
        <v>46</v>
      </c>
      <c r="U857" s="74"/>
      <c r="V857" s="74"/>
      <c r="W857" s="74">
        <f>V857+U857</f>
        <v>0</v>
      </c>
      <c r="X857" s="74"/>
      <c r="Y857" s="74">
        <f>W857-X857</f>
        <v>0</v>
      </c>
      <c r="Z857" s="70"/>
    </row>
    <row r="858" spans="1:27" s="29" customFormat="1" ht="21.4" customHeight="1" x14ac:dyDescent="0.2">
      <c r="A858" s="30"/>
      <c r="B858" s="29" t="s">
        <v>0</v>
      </c>
      <c r="C858" s="40"/>
      <c r="H858" s="41"/>
      <c r="I858" s="35"/>
      <c r="L858" s="42"/>
      <c r="M858" s="28"/>
      <c r="N858" s="75"/>
      <c r="O858" s="72" t="s">
        <v>72</v>
      </c>
      <c r="P858" s="72"/>
      <c r="Q858" s="72"/>
      <c r="R858" s="72" t="str">
        <f>IF(Q858="","",R857-Q858)</f>
        <v/>
      </c>
      <c r="S858" s="63"/>
      <c r="T858" s="72" t="s">
        <v>72</v>
      </c>
      <c r="U858" s="105">
        <f>IF($J$1="January","",Y857)</f>
        <v>0</v>
      </c>
      <c r="V858" s="74"/>
      <c r="W858" s="105">
        <f>IF(U858="","",U858+V858)</f>
        <v>0</v>
      </c>
      <c r="X858" s="74"/>
      <c r="Y858" s="105">
        <f>IF(W858="","",W858-X858)</f>
        <v>0</v>
      </c>
      <c r="Z858" s="76"/>
      <c r="AA858" s="28"/>
    </row>
    <row r="859" spans="1:27" s="29" customFormat="1" ht="21.4" customHeight="1" x14ac:dyDescent="0.2">
      <c r="A859" s="30"/>
      <c r="B859" s="44" t="s">
        <v>42</v>
      </c>
      <c r="C859" s="45"/>
      <c r="F859" s="414" t="s">
        <v>44</v>
      </c>
      <c r="G859" s="414"/>
      <c r="I859" s="414" t="s">
        <v>45</v>
      </c>
      <c r="J859" s="414"/>
      <c r="K859" s="414"/>
      <c r="L859" s="46"/>
      <c r="N859" s="71"/>
      <c r="O859" s="72" t="s">
        <v>47</v>
      </c>
      <c r="P859" s="72"/>
      <c r="Q859" s="72"/>
      <c r="R859" s="72">
        <v>0</v>
      </c>
      <c r="S859" s="63"/>
      <c r="T859" s="72" t="s">
        <v>47</v>
      </c>
      <c r="U859" s="105">
        <f>IF($J$1="February","",Y858)</f>
        <v>0</v>
      </c>
      <c r="V859" s="74"/>
      <c r="W859" s="105">
        <f t="shared" ref="W859:W868" si="171">IF(U859="","",U859+V859)</f>
        <v>0</v>
      </c>
      <c r="X859" s="74"/>
      <c r="Y859" s="105">
        <f t="shared" ref="Y859:Y868" si="172">IF(W859="","",W859-X859)</f>
        <v>0</v>
      </c>
      <c r="Z859" s="76"/>
    </row>
    <row r="860" spans="1:27" s="29" customFormat="1" ht="21.4" customHeight="1" x14ac:dyDescent="0.2">
      <c r="A860" s="30"/>
      <c r="H860" s="47"/>
      <c r="L860" s="34"/>
      <c r="N860" s="71"/>
      <c r="O860" s="72" t="s">
        <v>48</v>
      </c>
      <c r="P860" s="72"/>
      <c r="Q860" s="72"/>
      <c r="R860" s="72">
        <v>0</v>
      </c>
      <c r="S860" s="63"/>
      <c r="T860" s="72" t="s">
        <v>48</v>
      </c>
      <c r="U860" s="105">
        <f>IF($J$1="March","",Y859)</f>
        <v>0</v>
      </c>
      <c r="V860" s="74"/>
      <c r="W860" s="105">
        <f t="shared" si="171"/>
        <v>0</v>
      </c>
      <c r="X860" s="74"/>
      <c r="Y860" s="105">
        <f t="shared" si="172"/>
        <v>0</v>
      </c>
      <c r="Z860" s="76"/>
    </row>
    <row r="861" spans="1:27" s="29" customFormat="1" ht="21.4" customHeight="1" x14ac:dyDescent="0.2">
      <c r="A861" s="30"/>
      <c r="B861" s="392" t="s">
        <v>43</v>
      </c>
      <c r="C861" s="393"/>
      <c r="F861" s="48" t="s">
        <v>65</v>
      </c>
      <c r="G861" s="43">
        <f>IF($J$1="January",U857,IF($J$1="February",U858,IF($J$1="March",U859,IF($J$1="April",U860,IF($J$1="May",U861,IF($J$1="June",U862,IF($J$1="July",U863,IF($J$1="August",U864,IF($J$1="August",U864,IF($J$1="September",U865,IF($J$1="October",U866,IF($J$1="November",U867,IF($J$1="December",U868)))))))))))))</f>
        <v>0</v>
      </c>
      <c r="H861" s="47"/>
      <c r="I861" s="49">
        <f>IF(C865&gt;0,$K$2,C863)</f>
        <v>0</v>
      </c>
      <c r="J861" s="50" t="s">
        <v>62</v>
      </c>
      <c r="K861" s="51">
        <f>K857/$K$2*I861</f>
        <v>0</v>
      </c>
      <c r="L861" s="52"/>
      <c r="N861" s="71"/>
      <c r="O861" s="72" t="s">
        <v>49</v>
      </c>
      <c r="P861" s="72"/>
      <c r="Q861" s="72"/>
      <c r="R861" s="72">
        <v>0</v>
      </c>
      <c r="S861" s="63"/>
      <c r="T861" s="72" t="s">
        <v>49</v>
      </c>
      <c r="U861" s="105" t="str">
        <f>IF($J$1="April","",Y860)</f>
        <v/>
      </c>
      <c r="V861" s="74"/>
      <c r="W861" s="105" t="str">
        <f t="shared" si="171"/>
        <v/>
      </c>
      <c r="X861" s="74"/>
      <c r="Y861" s="105" t="str">
        <f t="shared" si="172"/>
        <v/>
      </c>
      <c r="Z861" s="76"/>
    </row>
    <row r="862" spans="1:27" s="29" customFormat="1" ht="21.4" customHeight="1" x14ac:dyDescent="0.2">
      <c r="A862" s="30"/>
      <c r="B862" s="39"/>
      <c r="C862" s="39"/>
      <c r="F862" s="48" t="s">
        <v>21</v>
      </c>
      <c r="G862" s="43">
        <f>IF($J$1="January",V857,IF($J$1="February",V858,IF($J$1="March",V859,IF($J$1="April",V860,IF($J$1="May",V861,IF($J$1="June",V862,IF($J$1="July",V863,IF($J$1="August",V864,IF($J$1="August",V864,IF($J$1="September",V865,IF($J$1="October",V866,IF($J$1="November",V867,IF($J$1="December",V868)))))))))))))</f>
        <v>0</v>
      </c>
      <c r="H862" s="47"/>
      <c r="I862" s="84"/>
      <c r="J862" s="50" t="s">
        <v>63</v>
      </c>
      <c r="K862" s="53">
        <f>K857/$K$2/8*I862</f>
        <v>0</v>
      </c>
      <c r="L862" s="54"/>
      <c r="N862" s="71"/>
      <c r="O862" s="72" t="s">
        <v>50</v>
      </c>
      <c r="P862" s="72"/>
      <c r="Q862" s="72"/>
      <c r="R862" s="72" t="str">
        <f t="shared" ref="R862:R866" si="173">IF(Q862="","",R861-Q862)</f>
        <v/>
      </c>
      <c r="S862" s="63"/>
      <c r="T862" s="72" t="s">
        <v>50</v>
      </c>
      <c r="U862" s="105" t="str">
        <f>IF($J$1="May","",Y861)</f>
        <v/>
      </c>
      <c r="V862" s="74"/>
      <c r="W862" s="105" t="str">
        <f t="shared" si="171"/>
        <v/>
      </c>
      <c r="X862" s="74"/>
      <c r="Y862" s="105" t="str">
        <f t="shared" si="172"/>
        <v/>
      </c>
      <c r="Z862" s="76"/>
    </row>
    <row r="863" spans="1:27" s="29" customFormat="1" ht="21.4" customHeight="1" x14ac:dyDescent="0.2">
      <c r="A863" s="30"/>
      <c r="B863" s="48" t="s">
        <v>7</v>
      </c>
      <c r="C863" s="39">
        <f>IF($J$1="January",P857,IF($J$1="February",P858,IF($J$1="March",P859,IF($J$1="April",P860,IF($J$1="May",P861,IF($J$1="June",P862,IF($J$1="July",P863,IF($J$1="August",P864,IF($J$1="August",P864,IF($J$1="September",P865,IF($J$1="October",P866,IF($J$1="November",P867,IF($J$1="December",P868)))))))))))))</f>
        <v>0</v>
      </c>
      <c r="F863" s="48" t="s">
        <v>66</v>
      </c>
      <c r="G863" s="43">
        <f>IF($J$1="January",W857,IF($J$1="February",W858,IF($J$1="March",W859,IF($J$1="April",W860,IF($J$1="May",W861,IF($J$1="June",W862,IF($J$1="July",W863,IF($J$1="August",W864,IF($J$1="August",W864,IF($J$1="September",W865,IF($J$1="October",W866,IF($J$1="November",W867,IF($J$1="December",W868)))))))))))))</f>
        <v>0</v>
      </c>
      <c r="H863" s="47"/>
      <c r="I863" s="405" t="s">
        <v>70</v>
      </c>
      <c r="J863" s="406"/>
      <c r="K863" s="53">
        <f>K861+K862</f>
        <v>0</v>
      </c>
      <c r="L863" s="54"/>
      <c r="N863" s="71"/>
      <c r="O863" s="72" t="s">
        <v>51</v>
      </c>
      <c r="P863" s="72"/>
      <c r="Q863" s="72"/>
      <c r="R863" s="72">
        <v>0</v>
      </c>
      <c r="S863" s="63"/>
      <c r="T863" s="72" t="s">
        <v>51</v>
      </c>
      <c r="U863" s="105" t="str">
        <f>IF($J$1="June","",Y862)</f>
        <v/>
      </c>
      <c r="V863" s="74"/>
      <c r="W863" s="105" t="str">
        <f t="shared" si="171"/>
        <v/>
      </c>
      <c r="X863" s="74"/>
      <c r="Y863" s="105" t="str">
        <f t="shared" si="172"/>
        <v/>
      </c>
      <c r="Z863" s="76"/>
    </row>
    <row r="864" spans="1:27" s="29" customFormat="1" ht="21.4" customHeight="1" x14ac:dyDescent="0.2">
      <c r="A864" s="30"/>
      <c r="B864" s="48" t="s">
        <v>6</v>
      </c>
      <c r="C864" s="39">
        <f>IF($J$1="January",Q857,IF($J$1="February",Q858,IF($J$1="March",Q859,IF($J$1="April",Q860,IF($J$1="May",Q861,IF($J$1="June",Q862,IF($J$1="July",Q863,IF($J$1="August",Q864,IF($J$1="August",Q864,IF($J$1="September",Q865,IF($J$1="October",Q866,IF($J$1="November",Q867,IF($J$1="December",Q868)))))))))))))</f>
        <v>0</v>
      </c>
      <c r="F864" s="48" t="s">
        <v>22</v>
      </c>
      <c r="G864" s="43">
        <f>IF($J$1="January",X857,IF($J$1="February",X858,IF($J$1="March",X859,IF($J$1="April",X860,IF($J$1="May",X861,IF($J$1="June",X862,IF($J$1="July",X863,IF($J$1="August",X864,IF($J$1="August",X864,IF($J$1="September",X865,IF($J$1="October",X866,IF($J$1="November",X867,IF($J$1="December",X868)))))))))))))</f>
        <v>0</v>
      </c>
      <c r="H864" s="47"/>
      <c r="I864" s="405" t="s">
        <v>71</v>
      </c>
      <c r="J864" s="406"/>
      <c r="K864" s="43">
        <f>G864</f>
        <v>0</v>
      </c>
      <c r="L864" s="55"/>
      <c r="N864" s="71"/>
      <c r="O864" s="72" t="s">
        <v>52</v>
      </c>
      <c r="P864" s="72"/>
      <c r="Q864" s="72"/>
      <c r="R864" s="72" t="str">
        <f t="shared" si="173"/>
        <v/>
      </c>
      <c r="S864" s="63"/>
      <c r="T864" s="72" t="s">
        <v>52</v>
      </c>
      <c r="U864" s="105" t="str">
        <f>IF($J$1="July","",Y863)</f>
        <v/>
      </c>
      <c r="V864" s="74"/>
      <c r="W864" s="105" t="str">
        <f t="shared" si="171"/>
        <v/>
      </c>
      <c r="X864" s="74"/>
      <c r="Y864" s="105" t="str">
        <f t="shared" si="172"/>
        <v/>
      </c>
      <c r="Z864" s="76"/>
    </row>
    <row r="865" spans="1:27" s="29" customFormat="1" ht="21.4" customHeight="1" x14ac:dyDescent="0.2">
      <c r="A865" s="30"/>
      <c r="B865" s="56" t="s">
        <v>69</v>
      </c>
      <c r="C865" s="39">
        <f>IF($J$1="January",R857,IF($J$1="February",R858,IF($J$1="March",R859,IF($J$1="April",R860,IF($J$1="May",R861,IF($J$1="June",R862,IF($J$1="July",R863,IF($J$1="August",R864,IF($J$1="August",R864,IF($J$1="September",R865,IF($J$1="October",R866,IF($J$1="November",R867,IF($J$1="December",R868)))))))))))))</f>
        <v>0</v>
      </c>
      <c r="F865" s="48" t="s">
        <v>68</v>
      </c>
      <c r="G865" s="43">
        <f>IF($J$1="January",Y857,IF($J$1="February",Y858,IF($J$1="March",Y859,IF($J$1="April",Y860,IF($J$1="May",Y861,IF($J$1="June",Y862,IF($J$1="July",Y863,IF($J$1="August",Y864,IF($J$1="August",Y864,IF($J$1="September",Y865,IF($J$1="October",Y866,IF($J$1="November",Y867,IF($J$1="December",Y868)))))))))))))</f>
        <v>0</v>
      </c>
      <c r="I865" s="394" t="s">
        <v>64</v>
      </c>
      <c r="J865" s="396"/>
      <c r="K865" s="57">
        <f>K863-K864</f>
        <v>0</v>
      </c>
      <c r="L865" s="58"/>
      <c r="N865" s="71"/>
      <c r="O865" s="72" t="s">
        <v>57</v>
      </c>
      <c r="P865" s="72"/>
      <c r="Q865" s="72"/>
      <c r="R865" s="72"/>
      <c r="S865" s="63"/>
      <c r="T865" s="72" t="s">
        <v>57</v>
      </c>
      <c r="U865" s="105" t="str">
        <f>IF($J$1="August","",Y864)</f>
        <v/>
      </c>
      <c r="V865" s="74"/>
      <c r="W865" s="105" t="str">
        <f t="shared" si="171"/>
        <v/>
      </c>
      <c r="X865" s="74"/>
      <c r="Y865" s="105" t="str">
        <f t="shared" si="172"/>
        <v/>
      </c>
      <c r="Z865" s="76"/>
    </row>
    <row r="866" spans="1:27" s="29" customFormat="1" ht="21.4" customHeight="1" x14ac:dyDescent="0.2">
      <c r="A866" s="30"/>
      <c r="L866" s="46"/>
      <c r="N866" s="71"/>
      <c r="O866" s="72" t="s">
        <v>53</v>
      </c>
      <c r="P866" s="72"/>
      <c r="Q866" s="72"/>
      <c r="R866" s="72" t="str">
        <f t="shared" si="173"/>
        <v/>
      </c>
      <c r="S866" s="63"/>
      <c r="T866" s="72" t="s">
        <v>53</v>
      </c>
      <c r="U866" s="105" t="str">
        <f>IF($J$1="September","",Y865)</f>
        <v/>
      </c>
      <c r="V866" s="74"/>
      <c r="W866" s="105" t="str">
        <f t="shared" si="171"/>
        <v/>
      </c>
      <c r="X866" s="74"/>
      <c r="Y866" s="105" t="str">
        <f t="shared" si="172"/>
        <v/>
      </c>
      <c r="Z866" s="76"/>
    </row>
    <row r="867" spans="1:27" s="29" customFormat="1" ht="21.4" customHeight="1" x14ac:dyDescent="0.2">
      <c r="A867" s="30"/>
      <c r="B867" s="407" t="s">
        <v>87</v>
      </c>
      <c r="C867" s="407"/>
      <c r="D867" s="407"/>
      <c r="E867" s="407"/>
      <c r="F867" s="407"/>
      <c r="G867" s="407"/>
      <c r="H867" s="407"/>
      <c r="I867" s="407"/>
      <c r="J867" s="407"/>
      <c r="K867" s="407"/>
      <c r="L867" s="46"/>
      <c r="N867" s="71"/>
      <c r="O867" s="72" t="s">
        <v>58</v>
      </c>
      <c r="P867" s="72"/>
      <c r="Q867" s="72"/>
      <c r="R867" s="72">
        <v>0</v>
      </c>
      <c r="S867" s="63"/>
      <c r="T867" s="72" t="s">
        <v>58</v>
      </c>
      <c r="U867" s="105" t="str">
        <f>IF($J$1="October","",Y866)</f>
        <v/>
      </c>
      <c r="V867" s="74"/>
      <c r="W867" s="105" t="str">
        <f t="shared" si="171"/>
        <v/>
      </c>
      <c r="X867" s="74"/>
      <c r="Y867" s="105" t="str">
        <f t="shared" si="172"/>
        <v/>
      </c>
      <c r="Z867" s="76"/>
    </row>
    <row r="868" spans="1:27" s="29" customFormat="1" ht="21.4" customHeight="1" x14ac:dyDescent="0.2">
      <c r="A868" s="30"/>
      <c r="B868" s="407"/>
      <c r="C868" s="407"/>
      <c r="D868" s="407"/>
      <c r="E868" s="407"/>
      <c r="F868" s="407"/>
      <c r="G868" s="407"/>
      <c r="H868" s="407"/>
      <c r="I868" s="407"/>
      <c r="J868" s="407"/>
      <c r="K868" s="407"/>
      <c r="L868" s="46"/>
      <c r="N868" s="71"/>
      <c r="O868" s="72" t="s">
        <v>59</v>
      </c>
      <c r="P868" s="72"/>
      <c r="Q868" s="72"/>
      <c r="R868" s="72">
        <v>0</v>
      </c>
      <c r="S868" s="63"/>
      <c r="T868" s="72" t="s">
        <v>59</v>
      </c>
      <c r="U868" s="105" t="str">
        <f>IF($J$1="November","",Y867)</f>
        <v/>
      </c>
      <c r="V868" s="74"/>
      <c r="W868" s="105" t="str">
        <f t="shared" si="171"/>
        <v/>
      </c>
      <c r="X868" s="74"/>
      <c r="Y868" s="105" t="str">
        <f t="shared" si="172"/>
        <v/>
      </c>
      <c r="Z868" s="76"/>
    </row>
    <row r="869" spans="1:27" s="29" customFormat="1" ht="21.4" customHeight="1" thickBot="1" x14ac:dyDescent="0.25">
      <c r="A869" s="59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1"/>
      <c r="N869" s="77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9"/>
    </row>
    <row r="870" spans="1:27" s="29" customFormat="1" ht="21.4" customHeight="1" thickBot="1" x14ac:dyDescent="0.25"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</row>
    <row r="871" spans="1:27" s="29" customFormat="1" ht="21.4" customHeight="1" x14ac:dyDescent="0.2">
      <c r="A871" s="420" t="s">
        <v>41</v>
      </c>
      <c r="B871" s="421"/>
      <c r="C871" s="421"/>
      <c r="D871" s="421"/>
      <c r="E871" s="421"/>
      <c r="F871" s="421"/>
      <c r="G871" s="421"/>
      <c r="H871" s="421"/>
      <c r="I871" s="421"/>
      <c r="J871" s="421"/>
      <c r="K871" s="421"/>
      <c r="L871" s="422"/>
      <c r="M871" s="28"/>
      <c r="N871" s="64"/>
      <c r="O871" s="408" t="s">
        <v>43</v>
      </c>
      <c r="P871" s="409"/>
      <c r="Q871" s="409"/>
      <c r="R871" s="410"/>
      <c r="S871" s="65"/>
      <c r="T871" s="408" t="s">
        <v>44</v>
      </c>
      <c r="U871" s="409"/>
      <c r="V871" s="409"/>
      <c r="W871" s="409"/>
      <c r="X871" s="409"/>
      <c r="Y871" s="410"/>
      <c r="Z871" s="66"/>
      <c r="AA871" s="28"/>
    </row>
    <row r="872" spans="1:27" s="29" customFormat="1" ht="21.4" customHeight="1" x14ac:dyDescent="0.2">
      <c r="A872" s="30"/>
      <c r="C872" s="398" t="s">
        <v>85</v>
      </c>
      <c r="D872" s="398"/>
      <c r="E872" s="398"/>
      <c r="F872" s="398"/>
      <c r="G872" s="31" t="str">
        <f>$J$1</f>
        <v>April</v>
      </c>
      <c r="H872" s="397">
        <f>$K$1</f>
        <v>2023</v>
      </c>
      <c r="I872" s="397"/>
      <c r="K872" s="32"/>
      <c r="L872" s="33"/>
      <c r="M872" s="32"/>
      <c r="N872" s="67"/>
      <c r="O872" s="68" t="s">
        <v>54</v>
      </c>
      <c r="P872" s="68" t="s">
        <v>7</v>
      </c>
      <c r="Q872" s="68" t="s">
        <v>6</v>
      </c>
      <c r="R872" s="68" t="s">
        <v>55</v>
      </c>
      <c r="S872" s="69"/>
      <c r="T872" s="68" t="s">
        <v>54</v>
      </c>
      <c r="U872" s="68" t="s">
        <v>56</v>
      </c>
      <c r="V872" s="68" t="s">
        <v>21</v>
      </c>
      <c r="W872" s="68" t="s">
        <v>20</v>
      </c>
      <c r="X872" s="68" t="s">
        <v>22</v>
      </c>
      <c r="Y872" s="68" t="s">
        <v>60</v>
      </c>
      <c r="Z872" s="70"/>
      <c r="AA872" s="32"/>
    </row>
    <row r="873" spans="1:27" s="29" customFormat="1" ht="21.4" customHeight="1" x14ac:dyDescent="0.2">
      <c r="A873" s="30"/>
      <c r="D873" s="35"/>
      <c r="E873" s="35"/>
      <c r="F873" s="35"/>
      <c r="G873" s="35"/>
      <c r="H873" s="35"/>
      <c r="J873" s="36" t="s">
        <v>1</v>
      </c>
      <c r="K873" s="37"/>
      <c r="L873" s="38"/>
      <c r="N873" s="71"/>
      <c r="O873" s="72" t="s">
        <v>46</v>
      </c>
      <c r="P873" s="72"/>
      <c r="Q873" s="72"/>
      <c r="R873" s="72"/>
      <c r="S873" s="73"/>
      <c r="T873" s="72" t="s">
        <v>46</v>
      </c>
      <c r="U873" s="74"/>
      <c r="V873" s="74"/>
      <c r="W873" s="74">
        <f>V873+U873</f>
        <v>0</v>
      </c>
      <c r="X873" s="74"/>
      <c r="Y873" s="74">
        <f>W873-X873</f>
        <v>0</v>
      </c>
      <c r="Z873" s="70"/>
    </row>
    <row r="874" spans="1:27" s="29" customFormat="1" ht="21.4" customHeight="1" x14ac:dyDescent="0.2">
      <c r="A874" s="30"/>
      <c r="B874" s="29" t="s">
        <v>0</v>
      </c>
      <c r="C874" s="40"/>
      <c r="H874" s="41"/>
      <c r="I874" s="35"/>
      <c r="L874" s="42"/>
      <c r="M874" s="28"/>
      <c r="N874" s="75"/>
      <c r="O874" s="72" t="s">
        <v>72</v>
      </c>
      <c r="P874" s="72"/>
      <c r="Q874" s="72"/>
      <c r="R874" s="72" t="str">
        <f>IF(Q874="","",R873-Q874)</f>
        <v/>
      </c>
      <c r="S874" s="63"/>
      <c r="T874" s="72" t="s">
        <v>72</v>
      </c>
      <c r="U874" s="105">
        <f>Y873</f>
        <v>0</v>
      </c>
      <c r="V874" s="74"/>
      <c r="W874" s="105">
        <f>IF(U874="","",U874+V874)</f>
        <v>0</v>
      </c>
      <c r="X874" s="74"/>
      <c r="Y874" s="105">
        <f>IF(W874="","",W874-X874)</f>
        <v>0</v>
      </c>
      <c r="Z874" s="76"/>
      <c r="AA874" s="28"/>
    </row>
    <row r="875" spans="1:27" s="29" customFormat="1" ht="21.4" customHeight="1" x14ac:dyDescent="0.2">
      <c r="A875" s="30"/>
      <c r="B875" s="44" t="s">
        <v>42</v>
      </c>
      <c r="C875" s="45"/>
      <c r="F875" s="414" t="s">
        <v>44</v>
      </c>
      <c r="G875" s="414"/>
      <c r="I875" s="414" t="s">
        <v>45</v>
      </c>
      <c r="J875" s="414"/>
      <c r="K875" s="414"/>
      <c r="L875" s="46"/>
      <c r="N875" s="71"/>
      <c r="O875" s="72" t="s">
        <v>47</v>
      </c>
      <c r="P875" s="72"/>
      <c r="Q875" s="72"/>
      <c r="R875" s="72" t="str">
        <f t="shared" ref="R875:R884" si="174">IF(Q875="","",R874-Q875)</f>
        <v/>
      </c>
      <c r="S875" s="63"/>
      <c r="T875" s="72" t="s">
        <v>47</v>
      </c>
      <c r="U875" s="105">
        <f>IF($J$1="April",Y874,Y874)</f>
        <v>0</v>
      </c>
      <c r="V875" s="74"/>
      <c r="W875" s="105">
        <f t="shared" ref="W875:W884" si="175">IF(U875="","",U875+V875)</f>
        <v>0</v>
      </c>
      <c r="X875" s="74"/>
      <c r="Y875" s="105">
        <f t="shared" ref="Y875:Y884" si="176">IF(W875="","",W875-X875)</f>
        <v>0</v>
      </c>
      <c r="Z875" s="76"/>
    </row>
    <row r="876" spans="1:27" s="29" customFormat="1" ht="21.4" customHeight="1" x14ac:dyDescent="0.2">
      <c r="A876" s="30"/>
      <c r="H876" s="47"/>
      <c r="L876" s="34"/>
      <c r="N876" s="71"/>
      <c r="O876" s="72" t="s">
        <v>48</v>
      </c>
      <c r="P876" s="72"/>
      <c r="Q876" s="72"/>
      <c r="R876" s="72" t="str">
        <f t="shared" si="174"/>
        <v/>
      </c>
      <c r="S876" s="63"/>
      <c r="T876" s="72" t="s">
        <v>48</v>
      </c>
      <c r="U876" s="105">
        <f>IF($J$1="April",Y875,Y875)</f>
        <v>0</v>
      </c>
      <c r="V876" s="74"/>
      <c r="W876" s="105">
        <f t="shared" si="175"/>
        <v>0</v>
      </c>
      <c r="X876" s="74"/>
      <c r="Y876" s="105">
        <f t="shared" si="176"/>
        <v>0</v>
      </c>
      <c r="Z876" s="76"/>
    </row>
    <row r="877" spans="1:27" s="29" customFormat="1" ht="21.4" customHeight="1" x14ac:dyDescent="0.2">
      <c r="A877" s="30"/>
      <c r="B877" s="392" t="s">
        <v>43</v>
      </c>
      <c r="C877" s="393"/>
      <c r="F877" s="48" t="s">
        <v>65</v>
      </c>
      <c r="G877" s="109">
        <f>IF($J$1="January",U873,IF($J$1="February",U874,IF($J$1="March",U875,IF($J$1="April",U876,IF($J$1="May",U877,IF($J$1="June",U878,IF($J$1="July",U879,IF($J$1="August",U880,IF($J$1="August",U880,IF($J$1="September",U881,IF($J$1="October",U882,IF($J$1="November",U883,IF($J$1="December",U884)))))))))))))</f>
        <v>0</v>
      </c>
      <c r="H877" s="47"/>
      <c r="I877" s="49"/>
      <c r="J877" s="50" t="s">
        <v>62</v>
      </c>
      <c r="K877" s="51">
        <f>K873/$K$2*I877</f>
        <v>0</v>
      </c>
      <c r="L877" s="52"/>
      <c r="N877" s="71"/>
      <c r="O877" s="72" t="s">
        <v>49</v>
      </c>
      <c r="P877" s="72"/>
      <c r="Q877" s="72"/>
      <c r="R877" s="72" t="str">
        <f t="shared" si="174"/>
        <v/>
      </c>
      <c r="S877" s="63"/>
      <c r="T877" s="72" t="s">
        <v>49</v>
      </c>
      <c r="U877" s="105">
        <f>IF($J$1="May",Y876,Y876)</f>
        <v>0</v>
      </c>
      <c r="V877" s="74"/>
      <c r="W877" s="105">
        <f t="shared" si="175"/>
        <v>0</v>
      </c>
      <c r="X877" s="74"/>
      <c r="Y877" s="105">
        <f t="shared" si="176"/>
        <v>0</v>
      </c>
      <c r="Z877" s="76"/>
    </row>
    <row r="878" spans="1:27" s="29" customFormat="1" ht="21.4" customHeight="1" x14ac:dyDescent="0.2">
      <c r="A878" s="30"/>
      <c r="B878" s="39"/>
      <c r="C878" s="39"/>
      <c r="F878" s="48" t="s">
        <v>21</v>
      </c>
      <c r="G878" s="109">
        <f>IF($J$1="January",V873,IF($J$1="February",V874,IF($J$1="March",V875,IF($J$1="April",V876,IF($J$1="May",V877,IF($J$1="June",V878,IF($J$1="July",V879,IF($J$1="August",V880,IF($J$1="August",V880,IF($J$1="September",V881,IF($J$1="October",V882,IF($J$1="November",V883,IF($J$1="December",V884)))))))))))))</f>
        <v>0</v>
      </c>
      <c r="H878" s="47"/>
      <c r="I878" s="84"/>
      <c r="J878" s="50" t="s">
        <v>63</v>
      </c>
      <c r="K878" s="53">
        <f>K873/$K$2/8*I878</f>
        <v>0</v>
      </c>
      <c r="L878" s="54"/>
      <c r="N878" s="71"/>
      <c r="O878" s="72" t="s">
        <v>50</v>
      </c>
      <c r="P878" s="72"/>
      <c r="Q878" s="72"/>
      <c r="R878" s="72" t="str">
        <f t="shared" si="174"/>
        <v/>
      </c>
      <c r="S878" s="63"/>
      <c r="T878" s="72" t="s">
        <v>50</v>
      </c>
      <c r="U878" s="105">
        <f>IF($J$1="May",Y877,Y877)</f>
        <v>0</v>
      </c>
      <c r="V878" s="74"/>
      <c r="W878" s="105">
        <f t="shared" si="175"/>
        <v>0</v>
      </c>
      <c r="X878" s="74"/>
      <c r="Y878" s="105">
        <f t="shared" si="176"/>
        <v>0</v>
      </c>
      <c r="Z878" s="76"/>
    </row>
    <row r="879" spans="1:27" s="29" customFormat="1" ht="21.4" customHeight="1" x14ac:dyDescent="0.2">
      <c r="A879" s="30"/>
      <c r="B879" s="48" t="s">
        <v>7</v>
      </c>
      <c r="C879" s="39">
        <f>IF($J$1="January",P873,IF($J$1="February",P874,IF($J$1="March",P875,IF($J$1="April",P876,IF($J$1="May",P877,IF($J$1="June",P878,IF($J$1="July",P879,IF($J$1="August",P880,IF($J$1="August",P880,IF($J$1="September",P881,IF($J$1="October",P882,IF($J$1="November",P883,IF($J$1="December",P884)))))))))))))</f>
        <v>0</v>
      </c>
      <c r="F879" s="48" t="s">
        <v>66</v>
      </c>
      <c r="G879" s="109">
        <f>IF($J$1="January",W873,IF($J$1="February",W874,IF($J$1="March",W875,IF($J$1="April",W876,IF($J$1="May",W877,IF($J$1="June",W878,IF($J$1="July",W879,IF($J$1="August",W880,IF($J$1="August",W880,IF($J$1="September",W881,IF($J$1="October",W882,IF($J$1="November",W883,IF($J$1="December",W884)))))))))))))</f>
        <v>0</v>
      </c>
      <c r="H879" s="47"/>
      <c r="I879" s="405" t="s">
        <v>70</v>
      </c>
      <c r="J879" s="406"/>
      <c r="K879" s="53">
        <f>K877+K878</f>
        <v>0</v>
      </c>
      <c r="L879" s="54"/>
      <c r="N879" s="71"/>
      <c r="O879" s="72" t="s">
        <v>51</v>
      </c>
      <c r="P879" s="72"/>
      <c r="Q879" s="72"/>
      <c r="R879" s="72" t="str">
        <f t="shared" si="174"/>
        <v/>
      </c>
      <c r="S879" s="63"/>
      <c r="T879" s="72" t="s">
        <v>51</v>
      </c>
      <c r="U879" s="105">
        <f>Y878</f>
        <v>0</v>
      </c>
      <c r="V879" s="74"/>
      <c r="W879" s="105">
        <f t="shared" si="175"/>
        <v>0</v>
      </c>
      <c r="X879" s="74"/>
      <c r="Y879" s="105">
        <f t="shared" si="176"/>
        <v>0</v>
      </c>
      <c r="Z879" s="76"/>
    </row>
    <row r="880" spans="1:27" s="29" customFormat="1" ht="21.4" customHeight="1" x14ac:dyDescent="0.2">
      <c r="A880" s="30"/>
      <c r="B880" s="48" t="s">
        <v>6</v>
      </c>
      <c r="C880" s="39">
        <f>IF($J$1="January",Q873,IF($J$1="February",Q874,IF($J$1="March",Q875,IF($J$1="April",Q876,IF($J$1="May",Q877,IF($J$1="June",Q878,IF($J$1="July",Q879,IF($J$1="August",Q880,IF($J$1="August",Q880,IF($J$1="September",Q881,IF($J$1="October",Q882,IF($J$1="November",Q883,IF($J$1="December",Q884)))))))))))))</f>
        <v>0</v>
      </c>
      <c r="F880" s="48" t="s">
        <v>22</v>
      </c>
      <c r="G880" s="109">
        <f>IF($J$1="January",X873,IF($J$1="February",X874,IF($J$1="March",X875,IF($J$1="April",X876,IF($J$1="May",X877,IF($J$1="June",X878,IF($J$1="July",X879,IF($J$1="August",X880,IF($J$1="August",X880,IF($J$1="September",X881,IF($J$1="October",X882,IF($J$1="November",X883,IF($J$1="December",X884)))))))))))))</f>
        <v>0</v>
      </c>
      <c r="H880" s="47"/>
      <c r="I880" s="405" t="s">
        <v>71</v>
      </c>
      <c r="J880" s="406"/>
      <c r="K880" s="43">
        <f>G880</f>
        <v>0</v>
      </c>
      <c r="L880" s="55"/>
      <c r="N880" s="71"/>
      <c r="O880" s="72" t="s">
        <v>52</v>
      </c>
      <c r="P880" s="72"/>
      <c r="Q880" s="72"/>
      <c r="R880" s="72" t="str">
        <f t="shared" si="174"/>
        <v/>
      </c>
      <c r="S880" s="63"/>
      <c r="T880" s="72" t="s">
        <v>52</v>
      </c>
      <c r="U880" s="105">
        <f>Y879</f>
        <v>0</v>
      </c>
      <c r="V880" s="74"/>
      <c r="W880" s="105">
        <f t="shared" si="175"/>
        <v>0</v>
      </c>
      <c r="X880" s="74"/>
      <c r="Y880" s="105">
        <f t="shared" si="176"/>
        <v>0</v>
      </c>
      <c r="Z880" s="76"/>
    </row>
    <row r="881" spans="1:26" s="29" customFormat="1" ht="21.4" customHeight="1" x14ac:dyDescent="0.2">
      <c r="A881" s="30"/>
      <c r="B881" s="56" t="s">
        <v>69</v>
      </c>
      <c r="C881" s="39" t="str">
        <f>IF($J$1="January",R873,IF($J$1="February",R874,IF($J$1="March",R875,IF($J$1="April",R876,IF($J$1="May",R877,IF($J$1="June",R878,IF($J$1="July",R879,IF($J$1="August",R880,IF($J$1="August",R880,IF($J$1="September",R881,IF($J$1="October",R882,IF($J$1="November",R883,IF($J$1="December",R884)))))))))))))</f>
        <v/>
      </c>
      <c r="F881" s="48" t="s">
        <v>68</v>
      </c>
      <c r="G881" s="109">
        <f>IF($J$1="January",Y873,IF($J$1="February",Y874,IF($J$1="March",Y875,IF($J$1="April",Y876,IF($J$1="May",Y877,IF($J$1="June",Y878,IF($J$1="July",Y879,IF($J$1="August",Y880,IF($J$1="August",Y880,IF($J$1="September",Y881,IF($J$1="October",Y882,IF($J$1="November",Y883,IF($J$1="December",Y884)))))))))))))</f>
        <v>0</v>
      </c>
      <c r="I881" s="394" t="s">
        <v>64</v>
      </c>
      <c r="J881" s="396"/>
      <c r="K881" s="57">
        <f>K879-K880</f>
        <v>0</v>
      </c>
      <c r="L881" s="58"/>
      <c r="N881" s="71"/>
      <c r="O881" s="72" t="s">
        <v>57</v>
      </c>
      <c r="P881" s="72"/>
      <c r="Q881" s="72"/>
      <c r="R881" s="72" t="str">
        <f t="shared" si="174"/>
        <v/>
      </c>
      <c r="S881" s="63"/>
      <c r="T881" s="72" t="s">
        <v>57</v>
      </c>
      <c r="U881" s="105">
        <f>Y880</f>
        <v>0</v>
      </c>
      <c r="V881" s="74"/>
      <c r="W881" s="105">
        <f t="shared" si="175"/>
        <v>0</v>
      </c>
      <c r="X881" s="74"/>
      <c r="Y881" s="105">
        <f t="shared" si="176"/>
        <v>0</v>
      </c>
      <c r="Z881" s="76"/>
    </row>
    <row r="882" spans="1:26" s="29" customFormat="1" ht="21.4" customHeight="1" x14ac:dyDescent="0.2">
      <c r="A882" s="30"/>
      <c r="I882" s="111"/>
      <c r="K882" s="107"/>
      <c r="L882" s="46"/>
      <c r="N882" s="71"/>
      <c r="O882" s="72" t="s">
        <v>53</v>
      </c>
      <c r="P882" s="72"/>
      <c r="Q882" s="72"/>
      <c r="R882" s="72" t="str">
        <f t="shared" si="174"/>
        <v/>
      </c>
      <c r="S882" s="63"/>
      <c r="T882" s="72" t="s">
        <v>53</v>
      </c>
      <c r="U882" s="105"/>
      <c r="V882" s="74"/>
      <c r="W882" s="105" t="str">
        <f t="shared" si="175"/>
        <v/>
      </c>
      <c r="X882" s="74"/>
      <c r="Y882" s="105" t="str">
        <f t="shared" si="176"/>
        <v/>
      </c>
      <c r="Z882" s="76"/>
    </row>
    <row r="883" spans="1:26" s="29" customFormat="1" ht="21.4" customHeight="1" x14ac:dyDescent="0.2">
      <c r="A883" s="30"/>
      <c r="B883" s="407"/>
      <c r="C883" s="407"/>
      <c r="D883" s="407"/>
      <c r="E883" s="407"/>
      <c r="F883" s="407"/>
      <c r="G883" s="407"/>
      <c r="H883" s="407"/>
      <c r="I883" s="407"/>
      <c r="J883" s="407"/>
      <c r="K883" s="407"/>
      <c r="L883" s="46"/>
      <c r="N883" s="71"/>
      <c r="O883" s="72" t="s">
        <v>58</v>
      </c>
      <c r="P883" s="72"/>
      <c r="Q883" s="72"/>
      <c r="R883" s="72" t="str">
        <f t="shared" si="174"/>
        <v/>
      </c>
      <c r="S883" s="63"/>
      <c r="T883" s="72" t="s">
        <v>58</v>
      </c>
      <c r="U883" s="105"/>
      <c r="V883" s="74"/>
      <c r="W883" s="105" t="str">
        <f t="shared" si="175"/>
        <v/>
      </c>
      <c r="X883" s="74"/>
      <c r="Y883" s="105" t="str">
        <f t="shared" si="176"/>
        <v/>
      </c>
      <c r="Z883" s="76"/>
    </row>
    <row r="884" spans="1:26" s="29" customFormat="1" ht="21.4" customHeight="1" x14ac:dyDescent="0.2">
      <c r="A884" s="30"/>
      <c r="B884" s="407"/>
      <c r="C884" s="407"/>
      <c r="D884" s="407"/>
      <c r="E884" s="407"/>
      <c r="F884" s="407"/>
      <c r="G884" s="407"/>
      <c r="H884" s="407"/>
      <c r="I884" s="407"/>
      <c r="J884" s="407"/>
      <c r="K884" s="407"/>
      <c r="L884" s="46"/>
      <c r="N884" s="71"/>
      <c r="O884" s="72" t="s">
        <v>59</v>
      </c>
      <c r="P884" s="72"/>
      <c r="Q884" s="72"/>
      <c r="R884" s="72" t="str">
        <f t="shared" si="174"/>
        <v/>
      </c>
      <c r="S884" s="63"/>
      <c r="T884" s="72" t="s">
        <v>59</v>
      </c>
      <c r="U884" s="105"/>
      <c r="V884" s="74"/>
      <c r="W884" s="105" t="str">
        <f t="shared" si="175"/>
        <v/>
      </c>
      <c r="X884" s="74"/>
      <c r="Y884" s="105" t="str">
        <f t="shared" si="176"/>
        <v/>
      </c>
      <c r="Z884" s="76"/>
    </row>
    <row r="885" spans="1:26" s="29" customFormat="1" ht="21.4" customHeight="1" thickBot="1" x14ac:dyDescent="0.25">
      <c r="A885" s="59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1"/>
      <c r="N885" s="77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9"/>
    </row>
    <row r="886" spans="1:26" s="29" customFormat="1" ht="21.4" customHeight="1" x14ac:dyDescent="0.2"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</row>
  </sheetData>
  <mergeCells count="664">
    <mergeCell ref="B845:C845"/>
    <mergeCell ref="I467:J467"/>
    <mergeCell ref="I785:J785"/>
    <mergeCell ref="B687:C687"/>
    <mergeCell ref="I237:K237"/>
    <mergeCell ref="I737:J737"/>
    <mergeCell ref="I738:J738"/>
    <mergeCell ref="B740:K741"/>
    <mergeCell ref="B437:K438"/>
    <mergeCell ref="I515:J515"/>
    <mergeCell ref="I275:J275"/>
    <mergeCell ref="B277:K278"/>
    <mergeCell ref="A489:L489"/>
    <mergeCell ref="B431:C431"/>
    <mergeCell ref="I658:J658"/>
    <mergeCell ref="I659:J659"/>
    <mergeCell ref="I721:J721"/>
    <mergeCell ref="F653:G653"/>
    <mergeCell ref="B612:K613"/>
    <mergeCell ref="I610:J610"/>
    <mergeCell ref="I609:J609"/>
    <mergeCell ref="I691:J691"/>
    <mergeCell ref="A697:L697"/>
    <mergeCell ref="B693:K694"/>
    <mergeCell ref="T617:Y617"/>
    <mergeCell ref="T728:Y728"/>
    <mergeCell ref="T457:Y457"/>
    <mergeCell ref="A377:L377"/>
    <mergeCell ref="F525:G525"/>
    <mergeCell ref="I525:K525"/>
    <mergeCell ref="B527:C527"/>
    <mergeCell ref="I561:J561"/>
    <mergeCell ref="H824:I824"/>
    <mergeCell ref="B389:K390"/>
    <mergeCell ref="C522:F522"/>
    <mergeCell ref="B501:K502"/>
    <mergeCell ref="I497:J497"/>
    <mergeCell ref="I499:J499"/>
    <mergeCell ref="B819:K820"/>
    <mergeCell ref="C808:F808"/>
    <mergeCell ref="H808:I808"/>
    <mergeCell ref="I736:J736"/>
    <mergeCell ref="C792:F792"/>
    <mergeCell ref="I435:J435"/>
    <mergeCell ref="H458:I458"/>
    <mergeCell ref="B718:C718"/>
    <mergeCell ref="I720:J720"/>
    <mergeCell ref="O665:R665"/>
    <mergeCell ref="I881:J881"/>
    <mergeCell ref="F843:G843"/>
    <mergeCell ref="B495:C495"/>
    <mergeCell ref="I129:J129"/>
    <mergeCell ref="O457:R457"/>
    <mergeCell ref="I627:J627"/>
    <mergeCell ref="B851:K852"/>
    <mergeCell ref="I557:K557"/>
    <mergeCell ref="F461:G461"/>
    <mergeCell ref="O489:R489"/>
    <mergeCell ref="O855:R855"/>
    <mergeCell ref="O425:R425"/>
    <mergeCell ref="F429:G429"/>
    <mergeCell ref="I434:J434"/>
    <mergeCell ref="O871:R871"/>
    <mergeCell ref="F859:G859"/>
    <mergeCell ref="I859:K859"/>
    <mergeCell ref="B133:K134"/>
    <mergeCell ref="F349:G349"/>
    <mergeCell ref="I349:K349"/>
    <mergeCell ref="I130:J130"/>
    <mergeCell ref="C314:F314"/>
    <mergeCell ref="C729:F729"/>
    <mergeCell ref="B549:K550"/>
    <mergeCell ref="O56:R56"/>
    <mergeCell ref="T56:Y56"/>
    <mergeCell ref="T39:Y39"/>
    <mergeCell ref="I48:J48"/>
    <mergeCell ref="I49:J49"/>
    <mergeCell ref="B149:K150"/>
    <mergeCell ref="A600:L600"/>
    <mergeCell ref="I177:J177"/>
    <mergeCell ref="I178:J178"/>
    <mergeCell ref="A153:L153"/>
    <mergeCell ref="F141:G141"/>
    <mergeCell ref="I141:K141"/>
    <mergeCell ref="B143:C143"/>
    <mergeCell ref="I161:J161"/>
    <mergeCell ref="I162:J162"/>
    <mergeCell ref="I163:J163"/>
    <mergeCell ref="C138:F138"/>
    <mergeCell ref="H138:I138"/>
    <mergeCell ref="I131:J131"/>
    <mergeCell ref="O121:R121"/>
    <mergeCell ref="C122:F122"/>
    <mergeCell ref="H122:I122"/>
    <mergeCell ref="A121:L121"/>
    <mergeCell ref="B76:D76"/>
    <mergeCell ref="T153:Y153"/>
    <mergeCell ref="T600:Y600"/>
    <mergeCell ref="I227:J227"/>
    <mergeCell ref="C202:F202"/>
    <mergeCell ref="H202:I202"/>
    <mergeCell ref="H218:I218"/>
    <mergeCell ref="F221:G221"/>
    <mergeCell ref="I221:K221"/>
    <mergeCell ref="I211:J211"/>
    <mergeCell ref="I226:J226"/>
    <mergeCell ref="B207:C207"/>
    <mergeCell ref="A201:L201"/>
    <mergeCell ref="I225:J225"/>
    <mergeCell ref="O153:R153"/>
    <mergeCell ref="C154:F154"/>
    <mergeCell ref="B181:K182"/>
    <mergeCell ref="C234:F234"/>
    <mergeCell ref="B239:C239"/>
    <mergeCell ref="O281:R281"/>
    <mergeCell ref="T233:Y233"/>
    <mergeCell ref="T185:Y185"/>
    <mergeCell ref="T217:Y217"/>
    <mergeCell ref="I258:J258"/>
    <mergeCell ref="B159:C159"/>
    <mergeCell ref="C1:I1"/>
    <mergeCell ref="I657:J657"/>
    <mergeCell ref="B191:C191"/>
    <mergeCell ref="I43:K43"/>
    <mergeCell ref="F60:G60"/>
    <mergeCell ref="I589:K589"/>
    <mergeCell ref="C40:F40"/>
    <mergeCell ref="B45:C45"/>
    <mergeCell ref="I47:J47"/>
    <mergeCell ref="I243:J243"/>
    <mergeCell ref="H186:I186"/>
    <mergeCell ref="F189:G189"/>
    <mergeCell ref="I189:K189"/>
    <mergeCell ref="F604:G604"/>
    <mergeCell ref="H601:I601"/>
    <mergeCell ref="B165:K166"/>
    <mergeCell ref="I653:K653"/>
    <mergeCell ref="I64:J64"/>
    <mergeCell ref="C90:F90"/>
    <mergeCell ref="B62:C62"/>
    <mergeCell ref="A137:L137"/>
    <mergeCell ref="H154:I154"/>
    <mergeCell ref="F157:G157"/>
    <mergeCell ref="I157:K157"/>
    <mergeCell ref="F93:G93"/>
    <mergeCell ref="I93:K93"/>
    <mergeCell ref="B68:K69"/>
    <mergeCell ref="B591:C591"/>
    <mergeCell ref="A39:L39"/>
    <mergeCell ref="B597:K598"/>
    <mergeCell ref="I594:J594"/>
    <mergeCell ref="I66:J66"/>
    <mergeCell ref="C57:F57"/>
    <mergeCell ref="H57:I57"/>
    <mergeCell ref="I595:J595"/>
    <mergeCell ref="I193:J193"/>
    <mergeCell ref="F589:G589"/>
    <mergeCell ref="C170:F170"/>
    <mergeCell ref="H170:I170"/>
    <mergeCell ref="I179:J179"/>
    <mergeCell ref="F43:G43"/>
    <mergeCell ref="I194:J194"/>
    <mergeCell ref="A185:L185"/>
    <mergeCell ref="H234:I234"/>
    <mergeCell ref="B175:C175"/>
    <mergeCell ref="C186:F186"/>
    <mergeCell ref="I273:J273"/>
    <mergeCell ref="A105:L105"/>
    <mergeCell ref="I114:J114"/>
    <mergeCell ref="O89:R89"/>
    <mergeCell ref="B51:K52"/>
    <mergeCell ref="T521:Y521"/>
    <mergeCell ref="O681:R681"/>
    <mergeCell ref="O23:R23"/>
    <mergeCell ref="I65:J65"/>
    <mergeCell ref="A56:L56"/>
    <mergeCell ref="H40:I40"/>
    <mergeCell ref="T137:Y137"/>
    <mergeCell ref="I81:J81"/>
    <mergeCell ref="A585:L585"/>
    <mergeCell ref="O585:R585"/>
    <mergeCell ref="T585:Y585"/>
    <mergeCell ref="C586:F586"/>
    <mergeCell ref="H586:I586"/>
    <mergeCell ref="I593:J593"/>
    <mergeCell ref="I195:J195"/>
    <mergeCell ref="I60:K60"/>
    <mergeCell ref="T393:Y393"/>
    <mergeCell ref="B35:K36"/>
    <mergeCell ref="I33:J33"/>
    <mergeCell ref="O137:R137"/>
    <mergeCell ref="I370:J370"/>
    <mergeCell ref="T265:Y265"/>
    <mergeCell ref="H90:I90"/>
    <mergeCell ref="A169:L169"/>
    <mergeCell ref="F237:G237"/>
    <mergeCell ref="F685:G685"/>
    <mergeCell ref="B229:K230"/>
    <mergeCell ref="B245:K246"/>
    <mergeCell ref="I445:K445"/>
    <mergeCell ref="A505:L505"/>
    <mergeCell ref="C650:F650"/>
    <mergeCell ref="H650:I650"/>
    <mergeCell ref="A457:L457"/>
    <mergeCell ref="C458:F458"/>
    <mergeCell ref="F317:G317"/>
    <mergeCell ref="I461:K461"/>
    <mergeCell ref="C601:F601"/>
    <mergeCell ref="A649:L649"/>
    <mergeCell ref="B197:K198"/>
    <mergeCell ref="I291:J291"/>
    <mergeCell ref="H682:I682"/>
    <mergeCell ref="F669:G669"/>
    <mergeCell ref="I669:K669"/>
    <mergeCell ref="I386:J386"/>
    <mergeCell ref="B261:K262"/>
    <mergeCell ref="T649:Y649"/>
    <mergeCell ref="T665:Y665"/>
    <mergeCell ref="T297:Y297"/>
    <mergeCell ref="T697:Y697"/>
    <mergeCell ref="C666:F666"/>
    <mergeCell ref="A233:L233"/>
    <mergeCell ref="I674:J674"/>
    <mergeCell ref="I690:J690"/>
    <mergeCell ref="C250:F250"/>
    <mergeCell ref="B677:K678"/>
    <mergeCell ref="O233:R233"/>
    <mergeCell ref="I274:J274"/>
    <mergeCell ref="F253:G253"/>
    <mergeCell ref="B655:C655"/>
    <mergeCell ref="A249:L249"/>
    <mergeCell ref="B661:K662"/>
    <mergeCell ref="A297:L297"/>
    <mergeCell ref="O345:R345"/>
    <mergeCell ref="O409:R409"/>
    <mergeCell ref="O249:R249"/>
    <mergeCell ref="B335:C335"/>
    <mergeCell ref="B309:K310"/>
    <mergeCell ref="I290:J290"/>
    <mergeCell ref="I321:J321"/>
    <mergeCell ref="I701:K701"/>
    <mergeCell ref="A712:L712"/>
    <mergeCell ref="T89:Y89"/>
    <mergeCell ref="I241:J241"/>
    <mergeCell ref="O775:R775"/>
    <mergeCell ref="I242:J242"/>
    <mergeCell ref="I253:K253"/>
    <mergeCell ref="B255:C255"/>
    <mergeCell ref="I257:J257"/>
    <mergeCell ref="F173:G173"/>
    <mergeCell ref="I173:K173"/>
    <mergeCell ref="F333:G333"/>
    <mergeCell ref="B101:K102"/>
    <mergeCell ref="I259:J259"/>
    <mergeCell ref="H282:I282"/>
    <mergeCell ref="B341:K342"/>
    <mergeCell ref="B453:K454"/>
    <mergeCell ref="I301:K301"/>
    <mergeCell ref="B703:C703"/>
    <mergeCell ref="I333:K333"/>
    <mergeCell ref="T681:Y681"/>
    <mergeCell ref="C682:F682"/>
    <mergeCell ref="O169:R169"/>
    <mergeCell ref="T169:Y169"/>
    <mergeCell ref="F109:G109"/>
    <mergeCell ref="I483:J483"/>
    <mergeCell ref="A281:L281"/>
    <mergeCell ref="B303:C303"/>
    <mergeCell ref="C298:F298"/>
    <mergeCell ref="H792:I792"/>
    <mergeCell ref="H729:I729"/>
    <mergeCell ref="F732:G732"/>
    <mergeCell ref="C282:F282"/>
    <mergeCell ref="A681:L681"/>
    <mergeCell ref="B671:C671"/>
    <mergeCell ref="A329:L329"/>
    <mergeCell ref="I637:K637"/>
    <mergeCell ref="I685:K685"/>
    <mergeCell ref="H666:I666"/>
    <mergeCell ref="I675:J675"/>
    <mergeCell ref="I673:J673"/>
    <mergeCell ref="I705:J705"/>
    <mergeCell ref="I706:J706"/>
    <mergeCell ref="I707:J707"/>
    <mergeCell ref="B709:K710"/>
    <mergeCell ref="H713:I713"/>
    <mergeCell ref="I641:J641"/>
    <mergeCell ref="C634:F634"/>
    <mergeCell ref="I879:J879"/>
    <mergeCell ref="I579:J579"/>
    <mergeCell ref="O617:R617"/>
    <mergeCell ref="I880:J880"/>
    <mergeCell ref="F875:G875"/>
    <mergeCell ref="A871:L871"/>
    <mergeCell ref="T712:Y712"/>
    <mergeCell ref="O633:R633"/>
    <mergeCell ref="I784:J784"/>
    <mergeCell ref="A855:L855"/>
    <mergeCell ref="I849:J849"/>
    <mergeCell ref="B867:K868"/>
    <mergeCell ref="I864:J864"/>
    <mergeCell ref="B787:K788"/>
    <mergeCell ref="B645:K646"/>
    <mergeCell ref="I865:J865"/>
    <mergeCell ref="I843:K843"/>
    <mergeCell ref="B877:C877"/>
    <mergeCell ref="T871:Y871"/>
    <mergeCell ref="B861:C861"/>
    <mergeCell ref="C872:F872"/>
    <mergeCell ref="I875:K875"/>
    <mergeCell ref="C840:F840"/>
    <mergeCell ref="T855:Y855"/>
    <mergeCell ref="I625:J625"/>
    <mergeCell ref="I466:J466"/>
    <mergeCell ref="C618:F618"/>
    <mergeCell ref="H618:I618"/>
    <mergeCell ref="I451:J451"/>
    <mergeCell ref="F637:G637"/>
    <mergeCell ref="B479:C479"/>
    <mergeCell ref="I642:J642"/>
    <mergeCell ref="F445:G445"/>
    <mergeCell ref="A839:L839"/>
    <mergeCell ref="A760:L760"/>
    <mergeCell ref="H761:I761"/>
    <mergeCell ref="C776:F776"/>
    <mergeCell ref="I748:K748"/>
    <mergeCell ref="A823:L823"/>
    <mergeCell ref="B829:C829"/>
    <mergeCell ref="I816:J816"/>
    <mergeCell ref="A807:L807"/>
    <mergeCell ref="B813:C813"/>
    <mergeCell ref="B781:C781"/>
    <mergeCell ref="I783:J783"/>
    <mergeCell ref="F748:G748"/>
    <mergeCell ref="I764:K764"/>
    <mergeCell ref="F764:G764"/>
    <mergeCell ref="I109:K109"/>
    <mergeCell ref="B111:C111"/>
    <mergeCell ref="C106:F106"/>
    <mergeCell ref="I800:J800"/>
    <mergeCell ref="A313:L313"/>
    <mergeCell ref="B756:K757"/>
    <mergeCell ref="A775:L775"/>
    <mergeCell ref="H106:I106"/>
    <mergeCell ref="I115:J115"/>
    <mergeCell ref="H330:I330"/>
    <mergeCell ref="B351:C351"/>
    <mergeCell ref="B629:K630"/>
    <mergeCell ref="A425:L425"/>
    <mergeCell ref="B213:K214"/>
    <mergeCell ref="I205:K205"/>
    <mergeCell ref="I413:K413"/>
    <mergeCell ref="H346:I346"/>
    <mergeCell ref="B357:K358"/>
    <mergeCell ref="I353:J353"/>
    <mergeCell ref="B127:C127"/>
    <mergeCell ref="A265:L265"/>
    <mergeCell ref="I305:J305"/>
    <mergeCell ref="I563:J563"/>
    <mergeCell ref="I289:J289"/>
    <mergeCell ref="I80:J80"/>
    <mergeCell ref="B623:C623"/>
    <mergeCell ref="C538:F538"/>
    <mergeCell ref="I811:K811"/>
    <mergeCell ref="F827:G827"/>
    <mergeCell ref="B581:K582"/>
    <mergeCell ref="I768:J768"/>
    <mergeCell ref="I815:J815"/>
    <mergeCell ref="A569:L569"/>
    <mergeCell ref="A633:L633"/>
    <mergeCell ref="C266:F266"/>
    <mergeCell ref="B447:C447"/>
    <mergeCell ref="F779:G779"/>
    <mergeCell ref="F477:G477"/>
    <mergeCell ref="B271:C271"/>
    <mergeCell ref="I481:J481"/>
    <mergeCell ref="I482:J482"/>
    <mergeCell ref="I477:K477"/>
    <mergeCell ref="I337:J337"/>
    <mergeCell ref="H474:I474"/>
    <mergeCell ref="A553:L553"/>
    <mergeCell ref="F557:G557"/>
    <mergeCell ref="B367:C367"/>
    <mergeCell ref="B415:C415"/>
    <mergeCell ref="I354:J354"/>
    <mergeCell ref="H776:I776"/>
    <mergeCell ref="B797:C797"/>
    <mergeCell ref="I387:J387"/>
    <mergeCell ref="F541:G541"/>
    <mergeCell ref="I541:K541"/>
    <mergeCell ref="B543:C543"/>
    <mergeCell ref="I545:J545"/>
    <mergeCell ref="I546:J546"/>
    <mergeCell ref="B575:C575"/>
    <mergeCell ref="A441:L441"/>
    <mergeCell ref="B469:K470"/>
    <mergeCell ref="C761:F761"/>
    <mergeCell ref="I628:J628"/>
    <mergeCell ref="B463:C463"/>
    <mergeCell ref="I722:J722"/>
    <mergeCell ref="B724:K725"/>
    <mergeCell ref="I779:K779"/>
    <mergeCell ref="H745:I745"/>
    <mergeCell ref="C442:F442"/>
    <mergeCell ref="F716:G716"/>
    <mergeCell ref="I716:K716"/>
    <mergeCell ref="A665:L665"/>
    <mergeCell ref="I626:J626"/>
    <mergeCell ref="T105:Y105"/>
    <mergeCell ref="C570:F570"/>
    <mergeCell ref="H570:I570"/>
    <mergeCell ref="F573:G573"/>
    <mergeCell ref="I573:K573"/>
    <mergeCell ref="I578:J578"/>
    <mergeCell ref="I369:J369"/>
    <mergeCell ref="A393:L393"/>
    <mergeCell ref="I449:J449"/>
    <mergeCell ref="I450:J450"/>
    <mergeCell ref="H410:I410"/>
    <mergeCell ref="F413:G413"/>
    <mergeCell ref="I125:K125"/>
    <mergeCell ref="A361:L361"/>
    <mergeCell ref="I397:K397"/>
    <mergeCell ref="B399:C399"/>
    <mergeCell ref="I385:J385"/>
    <mergeCell ref="F301:G301"/>
    <mergeCell ref="T281:Y281"/>
    <mergeCell ref="O361:R361"/>
    <mergeCell ref="T361:Y361"/>
    <mergeCell ref="T249:Y249"/>
    <mergeCell ref="O441:R441"/>
    <mergeCell ref="I306:J306"/>
    <mergeCell ref="O7:R7"/>
    <mergeCell ref="I753:J753"/>
    <mergeCell ref="A744:L744"/>
    <mergeCell ref="O744:R744"/>
    <mergeCell ref="O39:R39"/>
    <mergeCell ref="B405:K406"/>
    <mergeCell ref="I401:J401"/>
    <mergeCell ref="I402:J402"/>
    <mergeCell ref="I403:J403"/>
    <mergeCell ref="C394:F394"/>
    <mergeCell ref="H394:I394"/>
    <mergeCell ref="F397:G397"/>
    <mergeCell ref="B606:C606"/>
    <mergeCell ref="I417:J417"/>
    <mergeCell ref="I418:J418"/>
    <mergeCell ref="I419:J419"/>
    <mergeCell ref="C410:F410"/>
    <mergeCell ref="I689:J689"/>
    <mergeCell ref="I145:J145"/>
    <mergeCell ref="I146:J146"/>
    <mergeCell ref="I147:J147"/>
    <mergeCell ref="A728:L728"/>
    <mergeCell ref="A7:L7"/>
    <mergeCell ref="B639:C639"/>
    <mergeCell ref="I99:J99"/>
    <mergeCell ref="F205:G205"/>
    <mergeCell ref="I307:J307"/>
    <mergeCell ref="B883:K884"/>
    <mergeCell ref="H250:I250"/>
    <mergeCell ref="B95:C95"/>
    <mergeCell ref="O185:R185"/>
    <mergeCell ref="O600:R600"/>
    <mergeCell ref="O697:R697"/>
    <mergeCell ref="O823:R823"/>
    <mergeCell ref="F285:G285"/>
    <mergeCell ref="I285:K285"/>
    <mergeCell ref="B287:C287"/>
    <mergeCell ref="I338:J338"/>
    <mergeCell ref="I339:J339"/>
    <mergeCell ref="B750:C750"/>
    <mergeCell ref="I770:J770"/>
    <mergeCell ref="I530:J530"/>
    <mergeCell ref="F811:G811"/>
    <mergeCell ref="I210:J210"/>
    <mergeCell ref="B373:K374"/>
    <mergeCell ref="I317:K317"/>
    <mergeCell ref="A217:L217"/>
    <mergeCell ref="I817:J817"/>
    <mergeCell ref="T313:Y313"/>
    <mergeCell ref="I847:J847"/>
    <mergeCell ref="A617:L617"/>
    <mergeCell ref="O537:R537"/>
    <mergeCell ref="O807:R807"/>
    <mergeCell ref="O839:R839"/>
    <mergeCell ref="C856:F856"/>
    <mergeCell ref="H856:I856"/>
    <mergeCell ref="O649:R649"/>
    <mergeCell ref="B319:C319"/>
    <mergeCell ref="I433:J433"/>
    <mergeCell ref="I732:K732"/>
    <mergeCell ref="I322:J322"/>
    <mergeCell ref="B533:K534"/>
    <mergeCell ref="O712:R712"/>
    <mergeCell ref="I832:J832"/>
    <mergeCell ref="I833:J833"/>
    <mergeCell ref="C824:F824"/>
    <mergeCell ref="T473:Y473"/>
    <mergeCell ref="F381:G381"/>
    <mergeCell ref="I381:K381"/>
    <mergeCell ref="B383:C383"/>
    <mergeCell ref="T807:Y807"/>
    <mergeCell ref="O393:R393"/>
    <mergeCell ref="T72:Y72"/>
    <mergeCell ref="O217:R217"/>
    <mergeCell ref="I621:K621"/>
    <mergeCell ref="O553:R553"/>
    <mergeCell ref="B461:C461"/>
    <mergeCell ref="F621:G621"/>
    <mergeCell ref="B565:K566"/>
    <mergeCell ref="I323:J323"/>
    <mergeCell ref="B325:K326"/>
    <mergeCell ref="O569:R569"/>
    <mergeCell ref="C554:F554"/>
    <mergeCell ref="H554:I554"/>
    <mergeCell ref="I98:J98"/>
    <mergeCell ref="O105:R105"/>
    <mergeCell ref="O297:R297"/>
    <mergeCell ref="A89:L89"/>
    <mergeCell ref="I113:J113"/>
    <mergeCell ref="H266:I266"/>
    <mergeCell ref="F269:G269"/>
    <mergeCell ref="I269:K269"/>
    <mergeCell ref="A345:L345"/>
    <mergeCell ref="T329:Y329"/>
    <mergeCell ref="C330:F330"/>
    <mergeCell ref="I82:J82"/>
    <mergeCell ref="T425:Y425"/>
    <mergeCell ref="I801:J801"/>
    <mergeCell ref="T633:Y633"/>
    <mergeCell ref="I795:K795"/>
    <mergeCell ref="B766:C766"/>
    <mergeCell ref="I754:J754"/>
    <mergeCell ref="A791:L791"/>
    <mergeCell ref="C713:F713"/>
    <mergeCell ref="I608:J608"/>
    <mergeCell ref="I604:K604"/>
    <mergeCell ref="C474:F474"/>
    <mergeCell ref="H698:I698"/>
    <mergeCell ref="C490:F490"/>
    <mergeCell ref="C698:F698"/>
    <mergeCell ref="O521:R521"/>
    <mergeCell ref="T441:Y441"/>
    <mergeCell ref="T505:Y505"/>
    <mergeCell ref="T489:Y489"/>
    <mergeCell ref="A521:L521"/>
    <mergeCell ref="I498:J498"/>
    <mergeCell ref="C745:F745"/>
    <mergeCell ref="T775:Y775"/>
    <mergeCell ref="B734:C734"/>
    <mergeCell ref="H442:I442"/>
    <mergeCell ref="H872:I872"/>
    <mergeCell ref="B559:C559"/>
    <mergeCell ref="H538:I538"/>
    <mergeCell ref="T201:Y201"/>
    <mergeCell ref="B772:K773"/>
    <mergeCell ref="B803:K804"/>
    <mergeCell ref="I799:J799"/>
    <mergeCell ref="O265:R265"/>
    <mergeCell ref="O760:R760"/>
    <mergeCell ref="T760:Y760"/>
    <mergeCell ref="T345:Y345"/>
    <mergeCell ref="I355:J355"/>
    <mergeCell ref="C346:F346"/>
    <mergeCell ref="O728:R728"/>
    <mergeCell ref="F795:G795"/>
    <mergeCell ref="B421:K422"/>
    <mergeCell ref="T744:Y744"/>
    <mergeCell ref="T791:Y791"/>
    <mergeCell ref="H314:I314"/>
    <mergeCell ref="O791:R791"/>
    <mergeCell ref="I769:J769"/>
    <mergeCell ref="H840:I840"/>
    <mergeCell ref="I848:J848"/>
    <mergeCell ref="I863:J863"/>
    <mergeCell ref="O72:R72"/>
    <mergeCell ref="A72:L72"/>
    <mergeCell ref="C218:F218"/>
    <mergeCell ref="O313:R313"/>
    <mergeCell ref="H490:I490"/>
    <mergeCell ref="F493:G493"/>
    <mergeCell ref="I493:K493"/>
    <mergeCell ref="B223:C223"/>
    <mergeCell ref="O377:R377"/>
    <mergeCell ref="C378:F378"/>
    <mergeCell ref="H378:I378"/>
    <mergeCell ref="I465:J465"/>
    <mergeCell ref="O201:R201"/>
    <mergeCell ref="I209:J209"/>
    <mergeCell ref="I429:K429"/>
    <mergeCell ref="O329:R329"/>
    <mergeCell ref="B78:C78"/>
    <mergeCell ref="B84:K85"/>
    <mergeCell ref="I97:J97"/>
    <mergeCell ref="H362:I362"/>
    <mergeCell ref="F365:G365"/>
    <mergeCell ref="I365:K365"/>
    <mergeCell ref="I76:K76"/>
    <mergeCell ref="B117:K118"/>
    <mergeCell ref="T121:Y121"/>
    <mergeCell ref="C73:F73"/>
    <mergeCell ref="H73:I73"/>
    <mergeCell ref="F76:G76"/>
    <mergeCell ref="F125:G125"/>
    <mergeCell ref="T377:Y377"/>
    <mergeCell ref="T839:Y839"/>
    <mergeCell ref="T823:Y823"/>
    <mergeCell ref="T569:Y569"/>
    <mergeCell ref="T553:Y553"/>
    <mergeCell ref="I831:J831"/>
    <mergeCell ref="B517:K518"/>
    <mergeCell ref="I513:J513"/>
    <mergeCell ref="I514:J514"/>
    <mergeCell ref="I827:K827"/>
    <mergeCell ref="I577:J577"/>
    <mergeCell ref="B835:K836"/>
    <mergeCell ref="I562:J562"/>
    <mergeCell ref="O473:R473"/>
    <mergeCell ref="T537:Y537"/>
    <mergeCell ref="B485:K486"/>
    <mergeCell ref="I529:J529"/>
    <mergeCell ref="I752:J752"/>
    <mergeCell ref="F701:G701"/>
    <mergeCell ref="T7:Y7"/>
    <mergeCell ref="I31:J31"/>
    <mergeCell ref="I32:J32"/>
    <mergeCell ref="B293:K294"/>
    <mergeCell ref="I643:J643"/>
    <mergeCell ref="A537:L537"/>
    <mergeCell ref="I547:J547"/>
    <mergeCell ref="C426:F426"/>
    <mergeCell ref="C506:F506"/>
    <mergeCell ref="H506:I506"/>
    <mergeCell ref="F509:G509"/>
    <mergeCell ref="H298:I298"/>
    <mergeCell ref="B511:C511"/>
    <mergeCell ref="I509:K509"/>
    <mergeCell ref="T409:Y409"/>
    <mergeCell ref="C362:F362"/>
    <mergeCell ref="I371:J371"/>
    <mergeCell ref="A409:L409"/>
    <mergeCell ref="H634:I634"/>
    <mergeCell ref="H522:I522"/>
    <mergeCell ref="A473:L473"/>
    <mergeCell ref="O505:R505"/>
    <mergeCell ref="H426:I426"/>
    <mergeCell ref="I531:J531"/>
    <mergeCell ref="B29:C29"/>
    <mergeCell ref="I27:K27"/>
    <mergeCell ref="H24:I24"/>
    <mergeCell ref="C24:F24"/>
    <mergeCell ref="T23:Y23"/>
    <mergeCell ref="A23:L23"/>
    <mergeCell ref="I11:K11"/>
    <mergeCell ref="H8:I8"/>
    <mergeCell ref="C8:F8"/>
    <mergeCell ref="B13:C13"/>
    <mergeCell ref="F11:G11"/>
    <mergeCell ref="I15:J15"/>
    <mergeCell ref="I16:J16"/>
    <mergeCell ref="I17:J17"/>
    <mergeCell ref="B19:K20"/>
    <mergeCell ref="F27:G27"/>
  </mergeCells>
  <phoneticPr fontId="3" type="noConversion"/>
  <printOptions horizontalCentered="1"/>
  <pageMargins left="0" right="0" top="0.25" bottom="1" header="0.5" footer="0.5"/>
  <pageSetup paperSize="9" scale="75" fitToHeight="0" orientation="portrait" r:id="rId1"/>
  <headerFooter alignWithMargins="0"/>
  <rowBreaks count="12" manualBreakCount="12">
    <brk id="103" max="11" man="1"/>
    <brk id="119" max="11" man="1"/>
    <brk id="151" max="11" man="1"/>
    <brk id="247" max="11" man="1"/>
    <brk id="311" max="11" man="1"/>
    <brk id="375" max="11" man="1"/>
    <brk id="407" max="11" man="1"/>
    <brk id="471" max="11" man="1"/>
    <brk id="535" max="11" man="1"/>
    <brk id="583" max="11" man="1"/>
    <brk id="614" max="11" man="1"/>
    <brk id="742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7"/>
  <sheetViews>
    <sheetView workbookViewId="0">
      <selection sqref="A1:XFD1048576"/>
    </sheetView>
  </sheetViews>
  <sheetFormatPr defaultRowHeight="12.75" x14ac:dyDescent="0.2"/>
  <cols>
    <col min="1" max="1" width="25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7" customWidth="1"/>
    <col min="10" max="10" width="17.42578125" customWidth="1"/>
    <col min="11" max="13" width="14.42578125" customWidth="1"/>
    <col min="14" max="14" width="16" customWidth="1"/>
    <col min="15" max="17" width="15.7109375" customWidth="1"/>
    <col min="18" max="18" width="23.85546875" customWidth="1"/>
  </cols>
  <sheetData>
    <row r="1" spans="1:26" ht="26.25" x14ac:dyDescent="0.4">
      <c r="A1" s="458" t="s">
        <v>153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458"/>
      <c r="O1" s="458"/>
      <c r="P1" s="458"/>
      <c r="Q1" s="458"/>
      <c r="R1" s="458"/>
    </row>
    <row r="2" spans="1:26" ht="48.75" customHeight="1" x14ac:dyDescent="0.2">
      <c r="A2" s="166" t="s">
        <v>99</v>
      </c>
      <c r="B2" s="167" t="s">
        <v>115</v>
      </c>
      <c r="C2" s="167" t="s">
        <v>113</v>
      </c>
      <c r="D2" s="167" t="s">
        <v>114</v>
      </c>
      <c r="E2" s="167" t="s">
        <v>116</v>
      </c>
      <c r="F2" s="167" t="s">
        <v>117</v>
      </c>
      <c r="G2" s="167" t="s">
        <v>118</v>
      </c>
      <c r="H2" s="168" t="s">
        <v>121</v>
      </c>
      <c r="I2" s="168" t="s">
        <v>140</v>
      </c>
      <c r="J2" s="168" t="s">
        <v>149</v>
      </c>
      <c r="K2" s="168" t="s">
        <v>150</v>
      </c>
      <c r="L2" s="168" t="s">
        <v>151</v>
      </c>
      <c r="M2" s="168" t="s">
        <v>152</v>
      </c>
      <c r="N2" s="168" t="s">
        <v>159</v>
      </c>
      <c r="O2" s="168" t="s">
        <v>161</v>
      </c>
      <c r="P2" s="168" t="s">
        <v>167</v>
      </c>
      <c r="Q2" s="168" t="s">
        <v>168</v>
      </c>
      <c r="R2" s="172" t="s">
        <v>154</v>
      </c>
      <c r="S2" s="2"/>
      <c r="T2" s="14"/>
      <c r="U2" s="2"/>
      <c r="V2" s="2"/>
      <c r="W2" s="114"/>
      <c r="X2" s="2"/>
      <c r="Y2" s="2"/>
    </row>
    <row r="3" spans="1:26" ht="20.25" customHeight="1" x14ac:dyDescent="0.25">
      <c r="A3" s="170" t="s">
        <v>100</v>
      </c>
      <c r="B3" s="160">
        <v>100000</v>
      </c>
      <c r="C3" s="161">
        <v>100000</v>
      </c>
      <c r="D3" s="161">
        <v>100000</v>
      </c>
      <c r="E3" s="161">
        <v>100000</v>
      </c>
      <c r="F3" s="161">
        <v>100000</v>
      </c>
      <c r="G3" s="161">
        <v>100000</v>
      </c>
      <c r="H3" s="173">
        <v>100000</v>
      </c>
      <c r="I3" s="173">
        <v>100000</v>
      </c>
      <c r="J3" s="173">
        <v>100000</v>
      </c>
      <c r="K3" s="173">
        <v>0</v>
      </c>
      <c r="L3" s="173">
        <v>100000</v>
      </c>
      <c r="M3" s="173">
        <v>100000</v>
      </c>
      <c r="N3" s="173">
        <v>100000</v>
      </c>
      <c r="O3" s="173">
        <v>100000</v>
      </c>
      <c r="P3" s="173">
        <v>100000</v>
      </c>
      <c r="Q3" s="173">
        <v>100000</v>
      </c>
      <c r="R3" s="173">
        <f>Q3-P3</f>
        <v>0</v>
      </c>
      <c r="S3" s="2"/>
      <c r="T3" s="14"/>
      <c r="U3" s="2"/>
      <c r="V3" s="2"/>
      <c r="W3" s="114"/>
      <c r="X3" s="2"/>
      <c r="Y3" s="2"/>
      <c r="Z3" s="8"/>
    </row>
    <row r="4" spans="1:26" ht="20.25" customHeight="1" x14ac:dyDescent="0.25">
      <c r="A4" s="171" t="s">
        <v>37</v>
      </c>
      <c r="B4" s="162">
        <v>60000</v>
      </c>
      <c r="C4" s="163">
        <v>60000</v>
      </c>
      <c r="D4" s="163">
        <v>60000</v>
      </c>
      <c r="E4" s="163">
        <v>60000</v>
      </c>
      <c r="F4" s="163">
        <v>60000</v>
      </c>
      <c r="G4" s="163">
        <v>60000</v>
      </c>
      <c r="H4" s="174">
        <v>60000</v>
      </c>
      <c r="I4" s="174">
        <v>60000</v>
      </c>
      <c r="J4" s="174">
        <v>60000</v>
      </c>
      <c r="K4" s="174">
        <v>60000</v>
      </c>
      <c r="L4" s="173">
        <v>60000</v>
      </c>
      <c r="M4" s="173">
        <v>60000</v>
      </c>
      <c r="N4" s="173">
        <v>60000</v>
      </c>
      <c r="O4" s="173">
        <v>62000</v>
      </c>
      <c r="P4" s="173">
        <v>62000</v>
      </c>
      <c r="Q4" s="173">
        <v>62000</v>
      </c>
      <c r="R4" s="173">
        <f t="shared" ref="R4:R15" si="0">Q4-P4</f>
        <v>0</v>
      </c>
      <c r="S4" s="2"/>
      <c r="T4" s="114"/>
      <c r="U4" s="2"/>
      <c r="V4" s="2"/>
      <c r="W4" s="114"/>
      <c r="X4" s="2"/>
      <c r="Y4" s="2"/>
    </row>
    <row r="5" spans="1:26" ht="20.25" customHeight="1" x14ac:dyDescent="0.25">
      <c r="A5" s="169" t="s">
        <v>35</v>
      </c>
      <c r="B5" s="164">
        <v>73206</v>
      </c>
      <c r="C5" s="163">
        <v>87000</v>
      </c>
      <c r="D5" s="163">
        <v>65000</v>
      </c>
      <c r="E5" s="163">
        <v>67000</v>
      </c>
      <c r="F5" s="163">
        <v>65000</v>
      </c>
      <c r="G5" s="163">
        <v>66000</v>
      </c>
      <c r="H5" s="174">
        <v>88000</v>
      </c>
      <c r="I5" s="174">
        <v>103489.58333333333</v>
      </c>
      <c r="J5" s="174">
        <v>87822.580645161288</v>
      </c>
      <c r="K5" s="174">
        <v>84933.333333333328</v>
      </c>
      <c r="L5" s="173">
        <v>66000</v>
      </c>
      <c r="M5" s="173">
        <v>103483.87096774194</v>
      </c>
      <c r="N5" s="173">
        <v>118000</v>
      </c>
      <c r="O5" s="173">
        <v>117387.09677419355</v>
      </c>
      <c r="P5" s="173">
        <v>119000</v>
      </c>
      <c r="Q5" s="173">
        <v>94000</v>
      </c>
      <c r="R5" s="173">
        <f t="shared" si="0"/>
        <v>-25000</v>
      </c>
      <c r="S5" s="2"/>
      <c r="T5" s="114"/>
      <c r="U5" s="2"/>
      <c r="V5" s="2"/>
      <c r="W5" s="114"/>
      <c r="X5" s="2"/>
      <c r="Y5" s="2"/>
    </row>
    <row r="6" spans="1:26" ht="20.25" customHeight="1" x14ac:dyDescent="0.25">
      <c r="A6" s="169" t="s">
        <v>101</v>
      </c>
      <c r="B6" s="164">
        <v>147448.27586206896</v>
      </c>
      <c r="C6" s="163">
        <v>116709.67741935482</v>
      </c>
      <c r="D6" s="163">
        <v>32250</v>
      </c>
      <c r="E6" s="163">
        <v>32250</v>
      </c>
      <c r="F6" s="163">
        <v>32250</v>
      </c>
      <c r="G6" s="163">
        <v>32250</v>
      </c>
      <c r="H6" s="174">
        <v>32250</v>
      </c>
      <c r="I6" s="174">
        <v>29300</v>
      </c>
      <c r="J6" s="174">
        <v>31750</v>
      </c>
      <c r="K6" s="174">
        <v>40875</v>
      </c>
      <c r="L6" s="173">
        <v>31500</v>
      </c>
      <c r="M6" s="173">
        <v>31500</v>
      </c>
      <c r="N6" s="173">
        <v>31500</v>
      </c>
      <c r="O6" s="173">
        <v>31500</v>
      </c>
      <c r="P6" s="173">
        <f>'Salary Sheets'!Q27</f>
        <v>150485.41666666666</v>
      </c>
      <c r="Q6" s="173">
        <v>37258.06451612903</v>
      </c>
      <c r="R6" s="173">
        <f t="shared" si="0"/>
        <v>-113227.35215053763</v>
      </c>
      <c r="S6" s="114"/>
      <c r="T6" s="14"/>
      <c r="U6" s="2"/>
      <c r="V6" s="2"/>
      <c r="W6" s="114"/>
      <c r="X6" s="2"/>
      <c r="Y6" s="2"/>
    </row>
    <row r="7" spans="1:26" ht="20.25" customHeight="1" x14ac:dyDescent="0.25">
      <c r="A7" s="169" t="s">
        <v>102</v>
      </c>
      <c r="B7" s="164">
        <v>132799.31034482759</v>
      </c>
      <c r="C7" s="163">
        <v>63387.096774193546</v>
      </c>
      <c r="D7" s="163">
        <v>41481.25</v>
      </c>
      <c r="E7" s="163">
        <v>53254.032258064515</v>
      </c>
      <c r="F7" s="163">
        <v>42143.75</v>
      </c>
      <c r="G7" s="163">
        <v>30919.354838709678</v>
      </c>
      <c r="H7" s="174">
        <v>35761.088709677424</v>
      </c>
      <c r="I7" s="174">
        <v>99415.625</v>
      </c>
      <c r="J7" s="174">
        <v>97959.677419354834</v>
      </c>
      <c r="K7" s="174">
        <v>54868.75</v>
      </c>
      <c r="L7" s="173">
        <v>52703.629032258061</v>
      </c>
      <c r="M7" s="173">
        <v>53987.145161290318</v>
      </c>
      <c r="N7" s="173">
        <v>92420.758928571435</v>
      </c>
      <c r="O7" s="173">
        <v>81163.548387096773</v>
      </c>
      <c r="P7" s="173">
        <v>72583.333333333328</v>
      </c>
      <c r="Q7" s="173">
        <v>75645.161290322576</v>
      </c>
      <c r="R7" s="173">
        <f t="shared" si="0"/>
        <v>3061.8279569892475</v>
      </c>
      <c r="S7" s="114"/>
      <c r="T7" s="14"/>
      <c r="U7" s="121"/>
      <c r="V7" s="121"/>
      <c r="W7" s="121"/>
      <c r="X7" s="121"/>
      <c r="Y7" s="2"/>
    </row>
    <row r="8" spans="1:26" ht="20.25" customHeight="1" x14ac:dyDescent="0.25">
      <c r="A8" s="169" t="s">
        <v>36</v>
      </c>
      <c r="B8" s="164">
        <v>372668.96551724145</v>
      </c>
      <c r="C8" s="163">
        <v>306071.05846774194</v>
      </c>
      <c r="D8" s="163">
        <v>205928.33333333331</v>
      </c>
      <c r="E8" s="163">
        <v>255428.46774193548</v>
      </c>
      <c r="F8" s="163">
        <v>285739.58333333343</v>
      </c>
      <c r="G8" s="163">
        <v>169628.98387096776</v>
      </c>
      <c r="H8" s="174">
        <v>214618.54838709679</v>
      </c>
      <c r="I8" s="174">
        <v>263865.91666666669</v>
      </c>
      <c r="J8" s="174">
        <v>288039.31451612909</v>
      </c>
      <c r="K8" s="174">
        <v>261683.95833333337</v>
      </c>
      <c r="L8" s="173">
        <v>193254.97580645161</v>
      </c>
      <c r="M8" s="173">
        <v>212582.85483870967</v>
      </c>
      <c r="N8" s="173">
        <v>232213.1696428571</v>
      </c>
      <c r="O8" s="173">
        <v>241484.47580645161</v>
      </c>
      <c r="P8" s="173">
        <f>'Salary Sheets'!Q45</f>
        <v>288595.83333333337</v>
      </c>
      <c r="Q8" s="173">
        <v>201483.87096774194</v>
      </c>
      <c r="R8" s="173">
        <f t="shared" si="0"/>
        <v>-87111.962365591433</v>
      </c>
      <c r="S8" s="114"/>
      <c r="T8" s="14"/>
      <c r="U8" s="2"/>
      <c r="V8" s="2"/>
      <c r="W8" s="114"/>
      <c r="X8" s="2"/>
      <c r="Y8" s="2"/>
    </row>
    <row r="9" spans="1:26" ht="20.25" customHeight="1" x14ac:dyDescent="0.25">
      <c r="A9" s="169" t="s">
        <v>103</v>
      </c>
      <c r="B9" s="164">
        <v>120506.03448275861</v>
      </c>
      <c r="C9" s="163">
        <v>131841.12903225809</v>
      </c>
      <c r="D9" s="163">
        <v>104362.49999999999</v>
      </c>
      <c r="E9" s="163">
        <v>104752.41935483871</v>
      </c>
      <c r="F9" s="163">
        <v>113883.33333333334</v>
      </c>
      <c r="G9" s="163">
        <v>105737.90322580645</v>
      </c>
      <c r="H9" s="174">
        <v>103883.06451612903</v>
      </c>
      <c r="I9" s="174">
        <v>109841.66666666667</v>
      </c>
      <c r="J9" s="174">
        <v>117032.25806451612</v>
      </c>
      <c r="K9" s="174">
        <v>105759.16666666667</v>
      </c>
      <c r="L9" s="173">
        <v>119633.06451612904</v>
      </c>
      <c r="M9" s="173">
        <v>122745.96774193548</v>
      </c>
      <c r="N9" s="173">
        <v>113383.92857142855</v>
      </c>
      <c r="O9" s="173">
        <v>100282.25806451612</v>
      </c>
      <c r="P9" s="173">
        <v>116254.16666666666</v>
      </c>
      <c r="Q9" s="173">
        <v>121334.67741935483</v>
      </c>
      <c r="R9" s="173">
        <f t="shared" si="0"/>
        <v>5080.5107526881766</v>
      </c>
      <c r="S9" s="114"/>
      <c r="T9" s="14"/>
      <c r="U9" s="2"/>
      <c r="V9" s="2"/>
      <c r="W9" s="114"/>
      <c r="X9" s="2"/>
      <c r="Y9" s="2"/>
      <c r="Z9" s="14"/>
    </row>
    <row r="10" spans="1:26" ht="20.25" customHeight="1" x14ac:dyDescent="0.25">
      <c r="A10" s="169" t="s">
        <v>104</v>
      </c>
      <c r="B10" s="164">
        <v>93330.732758620696</v>
      </c>
      <c r="C10" s="163">
        <v>87991.93548387097</v>
      </c>
      <c r="D10" s="163">
        <v>61687.5</v>
      </c>
      <c r="E10" s="163">
        <v>72469.354838709682</v>
      </c>
      <c r="F10" s="163">
        <v>92054.166666666672</v>
      </c>
      <c r="G10" s="163">
        <v>92983.870967741939</v>
      </c>
      <c r="H10" s="174">
        <v>95745.967741935485</v>
      </c>
      <c r="I10" s="174">
        <v>91266.666666666657</v>
      </c>
      <c r="J10" s="174">
        <v>82338.709677419363</v>
      </c>
      <c r="K10" s="174">
        <v>87658.333333333328</v>
      </c>
      <c r="L10" s="173">
        <v>98245.967741935485</v>
      </c>
      <c r="M10" s="173">
        <v>104427.41935483871</v>
      </c>
      <c r="N10" s="173">
        <v>89080.357142857145</v>
      </c>
      <c r="O10" s="173">
        <v>87447.580645161288</v>
      </c>
      <c r="P10" s="173">
        <v>92458.333333333343</v>
      </c>
      <c r="Q10" s="173">
        <v>89770.161290322576</v>
      </c>
      <c r="R10" s="173">
        <f t="shared" si="0"/>
        <v>-2688.1720430107671</v>
      </c>
      <c r="S10" s="114"/>
      <c r="T10" s="14"/>
      <c r="U10" s="8"/>
      <c r="V10" s="8"/>
      <c r="W10" s="140"/>
      <c r="X10" s="8"/>
      <c r="Y10" s="2"/>
      <c r="Z10" s="14"/>
    </row>
    <row r="11" spans="1:26" ht="20.25" customHeight="1" x14ac:dyDescent="0.25">
      <c r="A11" s="169" t="s">
        <v>105</v>
      </c>
      <c r="B11" s="164">
        <v>47469.310344827587</v>
      </c>
      <c r="C11" s="163">
        <v>29145.16129032258</v>
      </c>
      <c r="D11" s="163">
        <v>27083.333333333332</v>
      </c>
      <c r="E11" s="163">
        <v>28830.645161290322</v>
      </c>
      <c r="F11" s="163">
        <v>27083.333333333332</v>
      </c>
      <c r="G11" s="163">
        <v>29145.16129032258</v>
      </c>
      <c r="H11" s="174">
        <v>45596.774193548386</v>
      </c>
      <c r="I11" s="174">
        <v>45641.666666666672</v>
      </c>
      <c r="J11" s="174">
        <v>48903.225806451621</v>
      </c>
      <c r="K11" s="174">
        <v>39968.75</v>
      </c>
      <c r="L11" s="173">
        <v>48483.870967741939</v>
      </c>
      <c r="M11" s="173">
        <v>52201.612903225803</v>
      </c>
      <c r="N11" s="173">
        <v>67227.678571428565</v>
      </c>
      <c r="O11" s="173">
        <v>107939.51612903226</v>
      </c>
      <c r="P11" s="173">
        <v>81066.666666666672</v>
      </c>
      <c r="Q11" s="173">
        <v>84967.741935483878</v>
      </c>
      <c r="R11" s="173">
        <f t="shared" si="0"/>
        <v>3901.075268817207</v>
      </c>
      <c r="S11" s="114"/>
      <c r="T11" s="14"/>
      <c r="U11" s="2"/>
      <c r="V11" s="2"/>
      <c r="W11" s="114"/>
      <c r="X11" s="2"/>
      <c r="Y11" s="8"/>
    </row>
    <row r="12" spans="1:26" ht="36" customHeight="1" x14ac:dyDescent="0.25">
      <c r="A12" s="291" t="s">
        <v>166</v>
      </c>
      <c r="B12" s="164"/>
      <c r="C12" s="163"/>
      <c r="D12" s="163"/>
      <c r="E12" s="163"/>
      <c r="F12" s="163"/>
      <c r="G12" s="163"/>
      <c r="H12" s="174"/>
      <c r="I12" s="174"/>
      <c r="J12" s="174"/>
      <c r="K12" s="174"/>
      <c r="L12" s="173"/>
      <c r="M12" s="173"/>
      <c r="N12" s="173"/>
      <c r="O12" s="173"/>
      <c r="P12" s="173">
        <f>'Salary Sheets'!Q70</f>
        <v>243604.16666666666</v>
      </c>
      <c r="Q12" s="173">
        <v>254832.25806451612</v>
      </c>
      <c r="R12" s="173">
        <f t="shared" si="0"/>
        <v>11228.091397849465</v>
      </c>
      <c r="S12" s="114"/>
      <c r="T12" s="14"/>
      <c r="U12" s="2"/>
      <c r="V12" s="2"/>
      <c r="W12" s="114"/>
      <c r="X12" s="2"/>
      <c r="Y12" s="8"/>
    </row>
    <row r="13" spans="1:26" ht="20.25" customHeight="1" x14ac:dyDescent="0.25">
      <c r="A13" s="169" t="s">
        <v>169</v>
      </c>
      <c r="B13" s="164"/>
      <c r="C13" s="163"/>
      <c r="D13" s="163"/>
      <c r="E13" s="163"/>
      <c r="F13" s="163"/>
      <c r="G13" s="163"/>
      <c r="H13" s="174"/>
      <c r="I13" s="174"/>
      <c r="J13" s="174"/>
      <c r="K13" s="174"/>
      <c r="L13" s="173"/>
      <c r="M13" s="173"/>
      <c r="N13" s="173"/>
      <c r="O13" s="173"/>
      <c r="P13" s="173" t="e">
        <f>'Salary Sheets'!#REF!</f>
        <v>#REF!</v>
      </c>
      <c r="Q13" s="173" t="e">
        <f>'Salary Sheets'!#REF!</f>
        <v>#REF!</v>
      </c>
      <c r="R13" s="173" t="e">
        <f t="shared" si="0"/>
        <v>#REF!</v>
      </c>
      <c r="S13" s="114"/>
      <c r="T13" s="14"/>
      <c r="U13" s="2"/>
      <c r="V13" s="2"/>
      <c r="W13" s="114"/>
      <c r="X13" s="2"/>
      <c r="Y13" s="8"/>
    </row>
    <row r="14" spans="1:26" ht="20.25" customHeight="1" x14ac:dyDescent="0.25">
      <c r="A14" s="169" t="s">
        <v>165</v>
      </c>
      <c r="B14" s="164">
        <v>160366.37931034484</v>
      </c>
      <c r="C14" s="164">
        <v>169366.93548387097</v>
      </c>
      <c r="D14" s="164">
        <v>177360</v>
      </c>
      <c r="E14" s="164">
        <v>201414.11290322582</v>
      </c>
      <c r="F14" s="164">
        <v>185683.33333333334</v>
      </c>
      <c r="G14" s="164">
        <v>178671.93548387097</v>
      </c>
      <c r="H14" s="174">
        <v>186343.54838709679</v>
      </c>
      <c r="I14" s="174">
        <v>183710</v>
      </c>
      <c r="J14" s="174">
        <v>208798.38709677421</v>
      </c>
      <c r="K14" s="174">
        <v>172205.83333333334</v>
      </c>
      <c r="L14" s="173">
        <v>99483.870967741939</v>
      </c>
      <c r="M14" s="173">
        <v>104608.87096774192</v>
      </c>
      <c r="N14" s="173">
        <v>156408.92857142858</v>
      </c>
      <c r="O14" s="173">
        <v>106806.45161290321</v>
      </c>
      <c r="P14" s="173">
        <v>127450</v>
      </c>
      <c r="Q14" s="173">
        <v>0</v>
      </c>
      <c r="R14" s="173">
        <f t="shared" si="0"/>
        <v>-127450</v>
      </c>
      <c r="S14" s="2"/>
      <c r="T14" s="14"/>
      <c r="U14" s="2"/>
      <c r="V14" s="2"/>
      <c r="W14" s="114"/>
      <c r="X14" s="2"/>
      <c r="Y14" s="8"/>
      <c r="Z14" s="14"/>
    </row>
    <row r="15" spans="1:26" ht="31.5" x14ac:dyDescent="0.2">
      <c r="A15" s="175" t="s">
        <v>162</v>
      </c>
      <c r="B15" s="165">
        <v>214942.75862068965</v>
      </c>
      <c r="C15" s="164">
        <v>204628.70967741933</v>
      </c>
      <c r="D15" s="164">
        <v>91566.666666666672</v>
      </c>
      <c r="E15" s="164">
        <v>100387.09677419355</v>
      </c>
      <c r="F15" s="164">
        <v>41733.333333333336</v>
      </c>
      <c r="G15" s="164">
        <v>2580.6451612903224</v>
      </c>
      <c r="H15" s="174">
        <v>34870.967741935485</v>
      </c>
      <c r="I15" s="174">
        <v>61920.833333333336</v>
      </c>
      <c r="J15" s="174">
        <v>44959.677419354841</v>
      </c>
      <c r="K15" s="174">
        <v>38666.666666666672</v>
      </c>
      <c r="L15" s="173">
        <v>39516.129032258061</v>
      </c>
      <c r="M15" s="173">
        <v>43000</v>
      </c>
      <c r="N15" s="173">
        <v>50142.857142857145</v>
      </c>
      <c r="O15" s="173">
        <v>102443.54838709676</v>
      </c>
      <c r="P15" s="173">
        <f>'Salary Sheets'!Q74</f>
        <v>28000</v>
      </c>
      <c r="Q15" s="173">
        <f>'Salary Sheets'!Q74</f>
        <v>28000</v>
      </c>
      <c r="R15" s="173">
        <f t="shared" si="0"/>
        <v>0</v>
      </c>
      <c r="S15" s="2"/>
      <c r="U15" s="8"/>
      <c r="V15" s="8"/>
      <c r="W15" s="140"/>
      <c r="X15" s="8"/>
      <c r="Y15" s="8"/>
      <c r="Z15" s="14"/>
    </row>
    <row r="16" spans="1:26" ht="29.25" customHeight="1" x14ac:dyDescent="0.2">
      <c r="A16" s="221" t="s">
        <v>106</v>
      </c>
      <c r="B16" s="221">
        <f t="shared" ref="B16:R16" si="1">SUM(B3:B15)</f>
        <v>1522737.7672413792</v>
      </c>
      <c r="C16" s="221">
        <f t="shared" si="1"/>
        <v>1356141.7036290322</v>
      </c>
      <c r="D16" s="221">
        <f t="shared" si="1"/>
        <v>966719.58333333326</v>
      </c>
      <c r="E16" s="221">
        <f t="shared" si="1"/>
        <v>1075786.1290322579</v>
      </c>
      <c r="F16" s="221">
        <f>SUM(F3:F15)</f>
        <v>1045570.8333333336</v>
      </c>
      <c r="G16" s="221">
        <f>SUM(G3:G15)</f>
        <v>867917.8548387097</v>
      </c>
      <c r="H16" s="221">
        <f>SUM(H3:H15)</f>
        <v>997069.95967741939</v>
      </c>
      <c r="I16" s="221">
        <f>SUM(I3:I15)</f>
        <v>1148451.9583333333</v>
      </c>
      <c r="J16" s="221">
        <f>SUM(J3:J15)</f>
        <v>1167603.8306451614</v>
      </c>
      <c r="K16" s="221">
        <f t="shared" si="1"/>
        <v>946619.79166666674</v>
      </c>
      <c r="L16" s="221">
        <f t="shared" ref="L16:P16" si="2">SUM(L3:L15)</f>
        <v>908821.50806451624</v>
      </c>
      <c r="M16" s="221">
        <f t="shared" si="2"/>
        <v>988537.74193548388</v>
      </c>
      <c r="N16" s="221">
        <f t="shared" si="2"/>
        <v>1110377.6785714284</v>
      </c>
      <c r="O16" s="221">
        <f t="shared" si="2"/>
        <v>1138454.4758064516</v>
      </c>
      <c r="P16" s="221" t="e">
        <f t="shared" si="2"/>
        <v>#REF!</v>
      </c>
      <c r="Q16" s="221" t="e">
        <f>SUM(Q3:Q15)</f>
        <v>#REF!</v>
      </c>
      <c r="R16" s="221" t="e">
        <f t="shared" si="1"/>
        <v>#REF!</v>
      </c>
      <c r="S16" s="8"/>
      <c r="W16" s="140"/>
      <c r="Y16" s="2"/>
    </row>
    <row r="17" spans="16:17" x14ac:dyDescent="0.2">
      <c r="P17" s="8"/>
      <c r="Q17" s="8"/>
    </row>
  </sheetData>
  <mergeCells count="1">
    <mergeCell ref="A1:R1"/>
  </mergeCells>
  <printOptions horizontalCentered="1" verticalCentered="1"/>
  <pageMargins left="0" right="0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1A69-1AB5-4F7A-A4C2-73A1E09F711B}">
  <dimension ref="A1:E21"/>
  <sheetViews>
    <sheetView workbookViewId="0">
      <selection activeCell="E24" sqref="E24"/>
    </sheetView>
  </sheetViews>
  <sheetFormatPr defaultRowHeight="12.75" x14ac:dyDescent="0.2"/>
  <cols>
    <col min="1" max="1" width="25.5703125" customWidth="1"/>
    <col min="2" max="2" width="10.85546875" customWidth="1"/>
    <col min="3" max="3" width="12.5703125" customWidth="1"/>
    <col min="4" max="4" width="12.85546875" customWidth="1"/>
    <col min="5" max="5" width="13.7109375" customWidth="1"/>
  </cols>
  <sheetData>
    <row r="1" spans="1:5" ht="26.25" x14ac:dyDescent="0.4">
      <c r="A1" s="458" t="s">
        <v>212</v>
      </c>
      <c r="B1" s="458"/>
      <c r="C1" s="458"/>
      <c r="D1" s="458"/>
      <c r="E1" s="458"/>
    </row>
    <row r="2" spans="1:5" ht="18" x14ac:dyDescent="0.2">
      <c r="A2" s="353" t="s">
        <v>222</v>
      </c>
      <c r="B2" s="348"/>
      <c r="C2" s="354" t="s">
        <v>220</v>
      </c>
      <c r="D2" s="354" t="s">
        <v>221</v>
      </c>
      <c r="E2" s="354" t="s">
        <v>2</v>
      </c>
    </row>
    <row r="3" spans="1:5" ht="15.75" customHeight="1" x14ac:dyDescent="0.25">
      <c r="A3" s="170" t="s">
        <v>138</v>
      </c>
      <c r="B3" s="463" t="s">
        <v>231</v>
      </c>
      <c r="C3" s="355">
        <v>24500</v>
      </c>
      <c r="D3" s="355">
        <v>2000</v>
      </c>
      <c r="E3" s="173">
        <f t="shared" ref="E3:E6" si="0">D3+C3</f>
        <v>26500</v>
      </c>
    </row>
    <row r="4" spans="1:5" ht="15.75" x14ac:dyDescent="0.25">
      <c r="A4" s="170" t="s">
        <v>155</v>
      </c>
      <c r="B4" s="464"/>
      <c r="C4" s="355">
        <v>25000</v>
      </c>
      <c r="D4" s="355">
        <v>2000</v>
      </c>
      <c r="E4" s="173">
        <f t="shared" si="0"/>
        <v>27000</v>
      </c>
    </row>
    <row r="5" spans="1:5" ht="15.75" x14ac:dyDescent="0.25">
      <c r="A5" s="170" t="s">
        <v>230</v>
      </c>
      <c r="B5" s="464"/>
      <c r="C5" s="355">
        <v>32500</v>
      </c>
      <c r="D5" s="355">
        <v>2000</v>
      </c>
      <c r="E5" s="173">
        <f t="shared" si="0"/>
        <v>34500</v>
      </c>
    </row>
    <row r="6" spans="1:5" ht="15.75" x14ac:dyDescent="0.25">
      <c r="A6" s="170" t="s">
        <v>193</v>
      </c>
      <c r="B6" s="465"/>
      <c r="C6" s="355">
        <v>21000</v>
      </c>
      <c r="D6" s="355">
        <v>1000</v>
      </c>
      <c r="E6" s="173">
        <f t="shared" si="0"/>
        <v>22000</v>
      </c>
    </row>
    <row r="7" spans="1:5" ht="20.25" customHeight="1" x14ac:dyDescent="0.25">
      <c r="A7" s="170" t="s">
        <v>213</v>
      </c>
      <c r="B7" s="459" t="s">
        <v>219</v>
      </c>
      <c r="C7" s="173">
        <v>40000</v>
      </c>
      <c r="D7" s="173">
        <v>5000</v>
      </c>
      <c r="E7" s="173">
        <f>D7+C7</f>
        <v>45000</v>
      </c>
    </row>
    <row r="8" spans="1:5" ht="20.25" customHeight="1" x14ac:dyDescent="0.25">
      <c r="A8" s="171" t="s">
        <v>214</v>
      </c>
      <c r="B8" s="460"/>
      <c r="C8" s="174">
        <v>55000</v>
      </c>
      <c r="D8" s="174">
        <v>5000</v>
      </c>
      <c r="E8" s="173">
        <f t="shared" ref="E8:E14" si="1">D8+C8</f>
        <v>60000</v>
      </c>
    </row>
    <row r="9" spans="1:5" ht="20.25" customHeight="1" x14ac:dyDescent="0.25">
      <c r="A9" s="169" t="s">
        <v>80</v>
      </c>
      <c r="B9" s="460"/>
      <c r="C9" s="174">
        <v>30000</v>
      </c>
      <c r="D9" s="174">
        <v>5000</v>
      </c>
      <c r="E9" s="173">
        <f t="shared" si="1"/>
        <v>35000</v>
      </c>
    </row>
    <row r="10" spans="1:5" ht="20.25" customHeight="1" x14ac:dyDescent="0.25">
      <c r="A10" s="169" t="s">
        <v>215</v>
      </c>
      <c r="B10" s="460"/>
      <c r="C10" s="174">
        <v>38000</v>
      </c>
      <c r="D10" s="174">
        <v>5000</v>
      </c>
      <c r="E10" s="173">
        <f t="shared" si="1"/>
        <v>43000</v>
      </c>
    </row>
    <row r="11" spans="1:5" ht="20.25" customHeight="1" x14ac:dyDescent="0.25">
      <c r="A11" s="169" t="s">
        <v>216</v>
      </c>
      <c r="B11" s="460"/>
      <c r="C11" s="174">
        <v>28000</v>
      </c>
      <c r="D11" s="174">
        <v>3000</v>
      </c>
      <c r="E11" s="173">
        <f t="shared" si="1"/>
        <v>31000</v>
      </c>
    </row>
    <row r="12" spans="1:5" ht="20.25" customHeight="1" x14ac:dyDescent="0.25">
      <c r="A12" s="169" t="s">
        <v>217</v>
      </c>
      <c r="B12" s="460"/>
      <c r="C12" s="174">
        <v>22000</v>
      </c>
      <c r="D12" s="174">
        <v>3000</v>
      </c>
      <c r="E12" s="173">
        <f t="shared" si="1"/>
        <v>25000</v>
      </c>
    </row>
    <row r="13" spans="1:5" ht="20.25" customHeight="1" x14ac:dyDescent="0.25">
      <c r="A13" s="169" t="s">
        <v>218</v>
      </c>
      <c r="B13" s="460"/>
      <c r="C13" s="174">
        <v>24000</v>
      </c>
      <c r="D13" s="174">
        <v>2000</v>
      </c>
      <c r="E13" s="173">
        <f t="shared" si="1"/>
        <v>26000</v>
      </c>
    </row>
    <row r="14" spans="1:5" ht="20.25" customHeight="1" x14ac:dyDescent="0.25">
      <c r="A14" s="169" t="s">
        <v>75</v>
      </c>
      <c r="B14" s="461"/>
      <c r="C14" s="174">
        <v>27000</v>
      </c>
      <c r="D14" s="174">
        <v>3000</v>
      </c>
      <c r="E14" s="173">
        <f t="shared" si="1"/>
        <v>30000</v>
      </c>
    </row>
    <row r="15" spans="1:5" ht="20.25" customHeight="1" x14ac:dyDescent="0.25">
      <c r="A15" s="349" t="s">
        <v>224</v>
      </c>
      <c r="B15" s="462" t="s">
        <v>223</v>
      </c>
      <c r="C15" s="174">
        <v>54000</v>
      </c>
      <c r="D15" s="174">
        <v>5000</v>
      </c>
      <c r="E15" s="173">
        <f t="shared" ref="E15:E21" si="2">D15+C15</f>
        <v>59000</v>
      </c>
    </row>
    <row r="16" spans="1:5" ht="36" customHeight="1" x14ac:dyDescent="0.25">
      <c r="A16" s="350" t="s">
        <v>225</v>
      </c>
      <c r="B16" s="462"/>
      <c r="C16" s="174">
        <v>27500</v>
      </c>
      <c r="D16" s="174">
        <v>2000</v>
      </c>
      <c r="E16" s="173">
        <f t="shared" si="2"/>
        <v>29500</v>
      </c>
    </row>
    <row r="17" spans="1:5" ht="20.25" customHeight="1" x14ac:dyDescent="0.25">
      <c r="A17" s="349" t="s">
        <v>226</v>
      </c>
      <c r="B17" s="462"/>
      <c r="C17" s="174">
        <v>22500</v>
      </c>
      <c r="D17" s="174">
        <v>2000</v>
      </c>
      <c r="E17" s="173">
        <f t="shared" si="2"/>
        <v>24500</v>
      </c>
    </row>
    <row r="18" spans="1:5" ht="20.25" customHeight="1" x14ac:dyDescent="0.25">
      <c r="A18" s="349" t="s">
        <v>227</v>
      </c>
      <c r="B18" s="462"/>
      <c r="C18" s="174">
        <v>22500</v>
      </c>
      <c r="D18" s="174">
        <v>2000</v>
      </c>
      <c r="E18" s="173">
        <f t="shared" si="2"/>
        <v>24500</v>
      </c>
    </row>
    <row r="19" spans="1:5" ht="15.75" x14ac:dyDescent="0.25">
      <c r="A19" s="349" t="s">
        <v>76</v>
      </c>
      <c r="B19" s="466">
        <v>45017</v>
      </c>
      <c r="C19" s="351">
        <v>45000</v>
      </c>
      <c r="D19" s="174">
        <v>5000</v>
      </c>
      <c r="E19" s="173">
        <f t="shared" si="2"/>
        <v>50000</v>
      </c>
    </row>
    <row r="20" spans="1:5" ht="15.75" x14ac:dyDescent="0.25">
      <c r="A20" s="349" t="s">
        <v>228</v>
      </c>
      <c r="B20" s="467"/>
      <c r="C20" s="351">
        <v>19000</v>
      </c>
      <c r="D20" s="174">
        <v>3000</v>
      </c>
      <c r="E20" s="173">
        <f t="shared" si="2"/>
        <v>22000</v>
      </c>
    </row>
    <row r="21" spans="1:5" ht="15.75" x14ac:dyDescent="0.25">
      <c r="A21" s="349" t="s">
        <v>160</v>
      </c>
      <c r="B21" s="467"/>
      <c r="C21" s="351">
        <v>47000</v>
      </c>
      <c r="D21" s="174">
        <v>3000</v>
      </c>
      <c r="E21" s="173">
        <f t="shared" si="2"/>
        <v>50000</v>
      </c>
    </row>
  </sheetData>
  <autoFilter ref="A2:E2" xr:uid="{69971A69-1AB5-4F7A-A4C2-73A1E09F711B}"/>
  <mergeCells count="5">
    <mergeCell ref="B7:B14"/>
    <mergeCell ref="A1:E1"/>
    <mergeCell ref="B15:B18"/>
    <mergeCell ref="B3:B6"/>
    <mergeCell ref="B19:B21"/>
  </mergeCells>
  <phoneticPr fontId="6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Salary Sheets</vt:lpstr>
      <vt:lpstr>Salary Record</vt:lpstr>
      <vt:lpstr>Salary summary</vt:lpstr>
      <vt:lpstr>Salary increment</vt:lpstr>
      <vt:lpstr>'Salary Record'!Print_Area</vt:lpstr>
      <vt:lpstr>'Salary Sheets'!Print_Area</vt:lpstr>
      <vt:lpstr>'Salary Sheets'!Print_Titles</vt:lpstr>
    </vt:vector>
  </TitlesOfParts>
  <Company>CKS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2023-05-10T07:14:33Z</cp:lastPrinted>
  <dcterms:created xsi:type="dcterms:W3CDTF">2007-01-04T05:01:09Z</dcterms:created>
  <dcterms:modified xsi:type="dcterms:W3CDTF">2023-06-03T11:37:22Z</dcterms:modified>
</cp:coreProperties>
</file>