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D839F37A-B0FE-47BD-A338-083DC333CA29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Sheets'!$A$3:$Z$90</definedName>
    <definedName name="_xlnm.Print_Area" localSheetId="1">'Salary Record'!$A$51:$L$730</definedName>
    <definedName name="_xlnm.Print_Area" localSheetId="0">'Salary Sheets'!$A$1:$Q$81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I69" i="1" l="1"/>
  <c r="H69" i="1"/>
  <c r="B69" i="1"/>
  <c r="K691" i="8"/>
  <c r="V81" i="1"/>
  <c r="V91" i="8" l="1"/>
  <c r="V677" i="8"/>
  <c r="W670" i="8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62" i="8"/>
  <c r="W662" i="8" s="1"/>
  <c r="Y662" i="8" s="1"/>
  <c r="W646" i="8"/>
  <c r="Y646" i="8" s="1"/>
  <c r="V226" i="8"/>
  <c r="U77" i="8" l="1"/>
  <c r="U78" i="8"/>
  <c r="V135" i="8"/>
  <c r="V225" i="8"/>
  <c r="K564" i="8" l="1"/>
  <c r="K549" i="8"/>
  <c r="K534" i="8"/>
  <c r="K519" i="8"/>
  <c r="E26" i="13"/>
  <c r="E25" i="13"/>
  <c r="E24" i="13"/>
  <c r="E23" i="13"/>
  <c r="B63" i="1" l="1"/>
  <c r="R120" i="8"/>
  <c r="G16" i="8"/>
  <c r="K16" i="8" s="1"/>
  <c r="C16" i="8"/>
  <c r="C15" i="8"/>
  <c r="K14" i="8"/>
  <c r="G14" i="8"/>
  <c r="I13" i="8"/>
  <c r="K13" i="8" s="1"/>
  <c r="U790" i="8"/>
  <c r="W790" i="8" s="1"/>
  <c r="Y790" i="8" s="1"/>
  <c r="U789" i="8"/>
  <c r="W789" i="8" s="1"/>
  <c r="Y789" i="8" s="1"/>
  <c r="U648" i="8"/>
  <c r="W648" i="8" s="1"/>
  <c r="Y648" i="8" s="1"/>
  <c r="U647" i="8"/>
  <c r="W647" i="8" s="1"/>
  <c r="Y647" i="8" s="1"/>
  <c r="C647" i="8"/>
  <c r="U633" i="8"/>
  <c r="W633" i="8" s="1"/>
  <c r="Y633" i="8" s="1"/>
  <c r="U632" i="8"/>
  <c r="W632" i="8" s="1"/>
  <c r="Y632" i="8" s="1"/>
  <c r="U618" i="8"/>
  <c r="W618" i="8" s="1"/>
  <c r="Y618" i="8" s="1"/>
  <c r="W617" i="8"/>
  <c r="Y617" i="8" s="1"/>
  <c r="U603" i="8"/>
  <c r="W603" i="8" s="1"/>
  <c r="Y603" i="8" s="1"/>
  <c r="U602" i="8"/>
  <c r="W602" i="8" s="1"/>
  <c r="Y602" i="8" s="1"/>
  <c r="U588" i="8"/>
  <c r="W588" i="8" s="1"/>
  <c r="Y588" i="8" s="1"/>
  <c r="W587" i="8"/>
  <c r="Y587" i="8" s="1"/>
  <c r="U573" i="8"/>
  <c r="W573" i="8" s="1"/>
  <c r="Y573" i="8" s="1"/>
  <c r="W572" i="8"/>
  <c r="Y572" i="8" s="1"/>
  <c r="C572" i="8"/>
  <c r="U558" i="8"/>
  <c r="W558" i="8" s="1"/>
  <c r="Y558" i="8" s="1"/>
  <c r="W557" i="8"/>
  <c r="Y557" i="8" s="1"/>
  <c r="C557" i="8"/>
  <c r="U543" i="8"/>
  <c r="W543" i="8" s="1"/>
  <c r="Y543" i="8" s="1"/>
  <c r="U542" i="8"/>
  <c r="W542" i="8" s="1"/>
  <c r="Y542" i="8" s="1"/>
  <c r="C542" i="8"/>
  <c r="U528" i="8"/>
  <c r="W528" i="8" s="1"/>
  <c r="Y528" i="8" s="1"/>
  <c r="U527" i="8"/>
  <c r="W527" i="8" s="1"/>
  <c r="Y527" i="8" s="1"/>
  <c r="C527" i="8"/>
  <c r="U513" i="8"/>
  <c r="W513" i="8" s="1"/>
  <c r="Y513" i="8" s="1"/>
  <c r="U512" i="8"/>
  <c r="W512" i="8" s="1"/>
  <c r="Y512" i="8" s="1"/>
  <c r="C512" i="8"/>
  <c r="U498" i="8"/>
  <c r="W498" i="8" s="1"/>
  <c r="Y498" i="8" s="1"/>
  <c r="U497" i="8"/>
  <c r="W497" i="8" s="1"/>
  <c r="Y497" i="8" s="1"/>
  <c r="U483" i="8"/>
  <c r="W483" i="8" s="1"/>
  <c r="Y483" i="8" s="1"/>
  <c r="U482" i="8"/>
  <c r="W482" i="8" s="1"/>
  <c r="Y482" i="8" s="1"/>
  <c r="C482" i="8"/>
  <c r="U468" i="8"/>
  <c r="W468" i="8" s="1"/>
  <c r="Y468" i="8" s="1"/>
  <c r="U467" i="8"/>
  <c r="W467" i="8" s="1"/>
  <c r="Y467" i="8" s="1"/>
  <c r="C467" i="8"/>
  <c r="U453" i="8"/>
  <c r="W453" i="8" s="1"/>
  <c r="Y453" i="8" s="1"/>
  <c r="W452" i="8"/>
  <c r="Y452" i="8" s="1"/>
  <c r="U438" i="8"/>
  <c r="W438" i="8" s="1"/>
  <c r="Y438" i="8" s="1"/>
  <c r="W437" i="8"/>
  <c r="Y437" i="8" s="1"/>
  <c r="U423" i="8"/>
  <c r="W423" i="8" s="1"/>
  <c r="Y423" i="8" s="1"/>
  <c r="U422" i="8"/>
  <c r="W422" i="8" s="1"/>
  <c r="Y422" i="8" s="1"/>
  <c r="U408" i="8"/>
  <c r="W408" i="8" s="1"/>
  <c r="Y408" i="8" s="1"/>
  <c r="W407" i="8"/>
  <c r="Y407" i="8" s="1"/>
  <c r="U393" i="8"/>
  <c r="W393" i="8" s="1"/>
  <c r="Y393" i="8" s="1"/>
  <c r="U392" i="8"/>
  <c r="W392" i="8" s="1"/>
  <c r="Y392" i="8" s="1"/>
  <c r="C392" i="8"/>
  <c r="U378" i="8"/>
  <c r="W378" i="8" s="1"/>
  <c r="Y378" i="8" s="1"/>
  <c r="U377" i="8"/>
  <c r="W377" i="8" s="1"/>
  <c r="Y377" i="8" s="1"/>
  <c r="U363" i="8"/>
  <c r="W363" i="8" s="1"/>
  <c r="Y363" i="8" s="1"/>
  <c r="U362" i="8"/>
  <c r="W362" i="8" s="1"/>
  <c r="Y362" i="8" s="1"/>
  <c r="U348" i="8"/>
  <c r="W348" i="8" s="1"/>
  <c r="Y348" i="8" s="1"/>
  <c r="W347" i="8"/>
  <c r="Y347" i="8" s="1"/>
  <c r="U333" i="8"/>
  <c r="W333" i="8" s="1"/>
  <c r="Y333" i="8" s="1"/>
  <c r="W332" i="8"/>
  <c r="Y332" i="8" s="1"/>
  <c r="U318" i="8"/>
  <c r="W318" i="8" s="1"/>
  <c r="Y318" i="8" s="1"/>
  <c r="W317" i="8"/>
  <c r="Y317" i="8" s="1"/>
  <c r="U303" i="8"/>
  <c r="W303" i="8" s="1"/>
  <c r="Y303" i="8" s="1"/>
  <c r="W302" i="8"/>
  <c r="Y302" i="8" s="1"/>
  <c r="C302" i="8"/>
  <c r="U288" i="8"/>
  <c r="W288" i="8" s="1"/>
  <c r="Y288" i="8" s="1"/>
  <c r="U289" i="8" s="1"/>
  <c r="W289" i="8" s="1"/>
  <c r="Y289" i="8" s="1"/>
  <c r="U287" i="8"/>
  <c r="W287" i="8" s="1"/>
  <c r="Y287" i="8" s="1"/>
  <c r="R289" i="8"/>
  <c r="W304" i="8"/>
  <c r="Y304" i="8" s="1"/>
  <c r="C272" i="8"/>
  <c r="G272" i="8"/>
  <c r="U272" i="8"/>
  <c r="W272" i="8" s="1"/>
  <c r="Y272" i="8" s="1"/>
  <c r="U273" i="8"/>
  <c r="W273" i="8" s="1"/>
  <c r="Y273" i="8" s="1"/>
  <c r="U258" i="8"/>
  <c r="W258" i="8" s="1"/>
  <c r="Y258" i="8" s="1"/>
  <c r="U257" i="8"/>
  <c r="W257" i="8" s="1"/>
  <c r="Y257" i="8" s="1"/>
  <c r="U243" i="8"/>
  <c r="W243" i="8" s="1"/>
  <c r="Y243" i="8" s="1"/>
  <c r="W242" i="8"/>
  <c r="Y242" i="8" s="1"/>
  <c r="U228" i="8"/>
  <c r="W228" i="8" s="1"/>
  <c r="Y228" i="8" s="1"/>
  <c r="W227" i="8"/>
  <c r="Y227" i="8" s="1"/>
  <c r="C227" i="8"/>
  <c r="U213" i="8"/>
  <c r="W213" i="8" s="1"/>
  <c r="Y213" i="8" s="1"/>
  <c r="W212" i="8"/>
  <c r="Y212" i="8" s="1"/>
  <c r="U198" i="8"/>
  <c r="W198" i="8" s="1"/>
  <c r="Y198" i="8" s="1"/>
  <c r="W197" i="8"/>
  <c r="Y197" i="8" s="1"/>
  <c r="U183" i="8"/>
  <c r="W183" i="8" s="1"/>
  <c r="Y183" i="8" s="1"/>
  <c r="W182" i="8"/>
  <c r="Y182" i="8" s="1"/>
  <c r="U168" i="8"/>
  <c r="W168" i="8" s="1"/>
  <c r="Y168" i="8" s="1"/>
  <c r="W167" i="8"/>
  <c r="Y167" i="8" s="1"/>
  <c r="U153" i="8"/>
  <c r="W153" i="8" s="1"/>
  <c r="Y153" i="8" s="1"/>
  <c r="U152" i="8"/>
  <c r="W152" i="8" s="1"/>
  <c r="Y152" i="8" s="1"/>
  <c r="U138" i="8"/>
  <c r="W138" i="8" s="1"/>
  <c r="Y138" i="8" s="1"/>
  <c r="W137" i="8"/>
  <c r="Y137" i="8" s="1"/>
  <c r="U123" i="8"/>
  <c r="W123" i="8" s="1"/>
  <c r="Y123" i="8" s="1"/>
  <c r="W122" i="8"/>
  <c r="Y122" i="8" s="1"/>
  <c r="U108" i="8"/>
  <c r="W108" i="8" s="1"/>
  <c r="Y108" i="8" s="1"/>
  <c r="U109" i="8" s="1"/>
  <c r="W109" i="8" s="1"/>
  <c r="Y109" i="8" s="1"/>
  <c r="W107" i="8"/>
  <c r="Y107" i="8" s="1"/>
  <c r="R109" i="8"/>
  <c r="U93" i="8"/>
  <c r="W93" i="8" s="1"/>
  <c r="Y93" i="8" s="1"/>
  <c r="W92" i="8"/>
  <c r="Y92" i="8" s="1"/>
  <c r="W78" i="8"/>
  <c r="Y78" i="8" s="1"/>
  <c r="W77" i="8"/>
  <c r="Y77" i="8" s="1"/>
  <c r="C77" i="8"/>
  <c r="U63" i="8"/>
  <c r="W63" i="8" s="1"/>
  <c r="Y63" i="8" s="1"/>
  <c r="W62" i="8"/>
  <c r="Y62" i="8" s="1"/>
  <c r="R64" i="8"/>
  <c r="W64" i="8"/>
  <c r="Y64" i="8" s="1"/>
  <c r="U48" i="8"/>
  <c r="W48" i="8" s="1"/>
  <c r="Y48" i="8" s="1"/>
  <c r="W47" i="8"/>
  <c r="Y47" i="8" s="1"/>
  <c r="U33" i="8"/>
  <c r="W33" i="8" s="1"/>
  <c r="Y33" i="8" s="1"/>
  <c r="U32" i="8"/>
  <c r="W32" i="8" s="1"/>
  <c r="Y32" i="8" s="1"/>
  <c r="V435" i="8"/>
  <c r="V450" i="8"/>
  <c r="V195" i="8"/>
  <c r="V434" i="8"/>
  <c r="R121" i="8" l="1"/>
  <c r="C122" i="8" s="1"/>
  <c r="I118" i="8" s="1"/>
  <c r="K15" i="8"/>
  <c r="K17" i="8" s="1"/>
  <c r="K299" i="8"/>
  <c r="R122" i="8" l="1"/>
  <c r="R123" i="8" s="1"/>
  <c r="R124" i="8" s="1"/>
  <c r="R125" i="8" s="1"/>
  <c r="W74" i="8"/>
  <c r="Y254" i="8" l="1"/>
  <c r="V194" i="8"/>
  <c r="U269" i="8"/>
  <c r="W269" i="8" s="1"/>
  <c r="Y269" i="8" s="1"/>
  <c r="K31" i="8" l="1"/>
  <c r="V224" i="8" l="1"/>
  <c r="V344" i="8"/>
  <c r="W384" i="8"/>
  <c r="Y384" i="8" s="1"/>
  <c r="U385" i="8" s="1"/>
  <c r="W385" i="8" s="1"/>
  <c r="Y385" i="8" s="1"/>
  <c r="U386" i="8" s="1"/>
  <c r="W386" i="8" s="1"/>
  <c r="Y386" i="8" s="1"/>
  <c r="U387" i="8" s="1"/>
  <c r="W387" i="8" s="1"/>
  <c r="Y387" i="8" s="1"/>
  <c r="U388" i="8" s="1"/>
  <c r="W388" i="8" s="1"/>
  <c r="Y388" i="8" s="1"/>
  <c r="U389" i="8" s="1"/>
  <c r="W389" i="8" s="1"/>
  <c r="Y389" i="8" s="1"/>
  <c r="U390" i="8" s="1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V239" i="8"/>
  <c r="V314" i="8"/>
  <c r="V329" i="8"/>
  <c r="V134" i="8"/>
  <c r="V554" i="8"/>
  <c r="V524" i="8"/>
  <c r="V449" i="8"/>
  <c r="V104" i="8"/>
  <c r="E22" i="13"/>
  <c r="V448" i="8" l="1"/>
  <c r="V118" i="8"/>
  <c r="B42" i="1"/>
  <c r="R686" i="8"/>
  <c r="R687" i="8" s="1"/>
  <c r="R688" i="8" s="1"/>
  <c r="W639" i="8"/>
  <c r="Y639" i="8" s="1"/>
  <c r="U640" i="8" s="1"/>
  <c r="W640" i="8" s="1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V223" i="8" l="1"/>
  <c r="K69" i="8"/>
  <c r="W654" i="8" l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K189" i="8"/>
  <c r="E21" i="13"/>
  <c r="G8" i="8"/>
  <c r="H8" i="8"/>
  <c r="R9" i="8"/>
  <c r="R10" i="8" s="1"/>
  <c r="R11" i="8" s="1"/>
  <c r="R12" i="8" s="1"/>
  <c r="R13" i="8" s="1"/>
  <c r="R14" i="8" s="1"/>
  <c r="W9" i="8"/>
  <c r="Y9" i="8" s="1"/>
  <c r="U10" i="8"/>
  <c r="W10" i="8" s="1"/>
  <c r="Y10" i="8" s="1"/>
  <c r="U11" i="8"/>
  <c r="W11" i="8" s="1"/>
  <c r="Y11" i="8" s="1"/>
  <c r="U12" i="8" s="1"/>
  <c r="R15" i="8"/>
  <c r="C17" i="8" s="1"/>
  <c r="U17" i="8"/>
  <c r="W17" i="8" s="1"/>
  <c r="Y17" i="8" s="1"/>
  <c r="U18" i="8"/>
  <c r="W18" i="8" s="1"/>
  <c r="Y18" i="8" s="1"/>
  <c r="U19" i="8"/>
  <c r="W19" i="8" s="1"/>
  <c r="Y19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R34" i="8"/>
  <c r="W34" i="8"/>
  <c r="Y34" i="8" s="1"/>
  <c r="R35" i="8"/>
  <c r="W35" i="8"/>
  <c r="Y35" i="8" s="1"/>
  <c r="C32" i="8" l="1"/>
  <c r="G32" i="8"/>
  <c r="U28" i="8"/>
  <c r="W12" i="8"/>
  <c r="K339" i="8"/>
  <c r="X133" i="8"/>
  <c r="W28" i="8" l="1"/>
  <c r="Y12" i="8"/>
  <c r="E6" i="13"/>
  <c r="E5" i="13"/>
  <c r="E4" i="13"/>
  <c r="E3" i="13"/>
  <c r="Y28" i="8" l="1"/>
  <c r="U13" i="8"/>
  <c r="E20" i="13"/>
  <c r="E19" i="13"/>
  <c r="V207" i="8"/>
  <c r="V222" i="8"/>
  <c r="K84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K474" i="8"/>
  <c r="K504" i="8"/>
  <c r="K459" i="8"/>
  <c r="W29" i="8" l="1"/>
  <c r="Y29" i="8" s="1"/>
  <c r="G28" i="8"/>
  <c r="G30" i="8"/>
  <c r="Y13" i="8"/>
  <c r="P71" i="8"/>
  <c r="K129" i="8"/>
  <c r="P491" i="8"/>
  <c r="V131" i="8"/>
  <c r="U14" i="8" l="1"/>
  <c r="B60" i="1"/>
  <c r="V221" i="8"/>
  <c r="V296" i="8"/>
  <c r="K54" i="8"/>
  <c r="E112" i="1"/>
  <c r="E113" i="1" s="1"/>
  <c r="K579" i="8"/>
  <c r="K204" i="8"/>
  <c r="W14" i="8" l="1"/>
  <c r="V220" i="8"/>
  <c r="V130" i="8"/>
  <c r="K219" i="8"/>
  <c r="K609" i="8"/>
  <c r="Y14" i="8" l="1"/>
  <c r="R101" i="8"/>
  <c r="R103" i="8"/>
  <c r="R104" i="8" s="1"/>
  <c r="R105" i="8"/>
  <c r="C107" i="8" s="1"/>
  <c r="R110" i="8"/>
  <c r="R409" i="8"/>
  <c r="R410" i="8"/>
  <c r="R492" i="8"/>
  <c r="R493" i="8" s="1"/>
  <c r="R494" i="8" s="1"/>
  <c r="R495" i="8" s="1"/>
  <c r="R496" i="8" s="1"/>
  <c r="R499" i="8"/>
  <c r="R500" i="8"/>
  <c r="R490" i="8"/>
  <c r="R379" i="8"/>
  <c r="R380" i="8"/>
  <c r="R364" i="8"/>
  <c r="R365" i="8"/>
  <c r="R349" i="8"/>
  <c r="R350" i="8"/>
  <c r="R245" i="8"/>
  <c r="R244" i="8"/>
  <c r="R234" i="8"/>
  <c r="R235" i="8" s="1"/>
  <c r="R236" i="8" s="1"/>
  <c r="R237" i="8" s="1"/>
  <c r="R238" i="8" s="1"/>
  <c r="R239" i="8" s="1"/>
  <c r="R240" i="8" s="1"/>
  <c r="R283" i="8"/>
  <c r="C287" i="8"/>
  <c r="R290" i="8"/>
  <c r="R282" i="8"/>
  <c r="V40" i="8"/>
  <c r="R241" i="8" l="1"/>
  <c r="C242" i="8" s="1"/>
  <c r="C497" i="8"/>
  <c r="U15" i="8"/>
  <c r="V129" i="8"/>
  <c r="V219" i="8"/>
  <c r="W294" i="8"/>
  <c r="R670" i="8"/>
  <c r="R671" i="8" s="1"/>
  <c r="R672" i="8" s="1"/>
  <c r="R673" i="8" s="1"/>
  <c r="R674" i="8" s="1"/>
  <c r="R676" i="8" s="1"/>
  <c r="R678" i="8" s="1"/>
  <c r="R679" i="8" s="1"/>
  <c r="R680" i="8" s="1"/>
  <c r="R681" i="8" s="1"/>
  <c r="R354" i="8"/>
  <c r="R355" i="8" s="1"/>
  <c r="R356" i="8" s="1"/>
  <c r="R357" i="8" s="1"/>
  <c r="R358" i="8" s="1"/>
  <c r="R359" i="8" s="1"/>
  <c r="R360" i="8" s="1"/>
  <c r="R339" i="8"/>
  <c r="R174" i="8"/>
  <c r="R609" i="8"/>
  <c r="R159" i="8"/>
  <c r="R361" i="8" l="1"/>
  <c r="C362" i="8" s="1"/>
  <c r="W15" i="8"/>
  <c r="W204" i="8"/>
  <c r="Y15" i="8" l="1"/>
  <c r="W144" i="8"/>
  <c r="Y144" i="8" s="1"/>
  <c r="U145" i="8" s="1"/>
  <c r="W145" i="8" s="1"/>
  <c r="Y145" i="8" s="1"/>
  <c r="U146" i="8" s="1"/>
  <c r="W146" i="8" s="1"/>
  <c r="Y146" i="8" s="1"/>
  <c r="U147" i="8" s="1"/>
  <c r="W147" i="8" s="1"/>
  <c r="Y147" i="8" s="1"/>
  <c r="U148" i="8" s="1"/>
  <c r="W148" i="8" s="1"/>
  <c r="Y148" i="8" s="1"/>
  <c r="U149" i="8" s="1"/>
  <c r="W149" i="8" s="1"/>
  <c r="Y149" i="8" s="1"/>
  <c r="U150" i="8" s="1"/>
  <c r="W150" i="8" s="1"/>
  <c r="Y150" i="8" s="1"/>
  <c r="U16" i="8" l="1"/>
  <c r="U151" i="8"/>
  <c r="W151" i="8" s="1"/>
  <c r="Y151" i="8" s="1"/>
  <c r="U154" i="8" s="1"/>
  <c r="W154" i="8" s="1"/>
  <c r="Y154" i="8" s="1"/>
  <c r="U155" i="8" s="1"/>
  <c r="W155" i="8" s="1"/>
  <c r="Y155" i="8" s="1"/>
  <c r="G152" i="8"/>
  <c r="K234" i="8"/>
  <c r="W16" i="8" l="1"/>
  <c r="G13" i="8"/>
  <c r="H25" i="1"/>
  <c r="Y16" i="8" l="1"/>
  <c r="G17" i="8" s="1"/>
  <c r="G15" i="8"/>
  <c r="B58" i="1"/>
  <c r="B57" i="1" l="1"/>
  <c r="R200" i="8" l="1"/>
  <c r="R199" i="8"/>
  <c r="R189" i="8"/>
  <c r="R190" i="8" s="1"/>
  <c r="R191" i="8" s="1"/>
  <c r="R192" i="8" s="1"/>
  <c r="R193" i="8" s="1"/>
  <c r="R194" i="8" s="1"/>
  <c r="R195" i="8" s="1"/>
  <c r="R440" i="8"/>
  <c r="R429" i="8"/>
  <c r="R430" i="8" s="1"/>
  <c r="R431" i="8" s="1"/>
  <c r="R432" i="8" s="1"/>
  <c r="R433" i="8" s="1"/>
  <c r="R434" i="8" s="1"/>
  <c r="R435" i="8" s="1"/>
  <c r="R399" i="8"/>
  <c r="R400" i="8" s="1"/>
  <c r="R401" i="8" s="1"/>
  <c r="R402" i="8" s="1"/>
  <c r="R403" i="8" s="1"/>
  <c r="R404" i="8" s="1"/>
  <c r="R405" i="8" s="1"/>
  <c r="R369" i="8"/>
  <c r="R370" i="8" s="1"/>
  <c r="R371" i="8" s="1"/>
  <c r="R372" i="8" s="1"/>
  <c r="R373" i="8" s="1"/>
  <c r="R374" i="8" s="1"/>
  <c r="R375" i="8" s="1"/>
  <c r="R340" i="8"/>
  <c r="R341" i="8" s="1"/>
  <c r="R342" i="8" s="1"/>
  <c r="R343" i="8" s="1"/>
  <c r="R344" i="8" s="1"/>
  <c r="R345" i="8" s="1"/>
  <c r="R95" i="8"/>
  <c r="R94" i="8"/>
  <c r="R84" i="8"/>
  <c r="R85" i="8" s="1"/>
  <c r="R86" i="8" s="1"/>
  <c r="R87" i="8" s="1"/>
  <c r="R88" i="8" s="1"/>
  <c r="R89" i="8" s="1"/>
  <c r="R90" i="8" s="1"/>
  <c r="R229" i="8"/>
  <c r="R220" i="8"/>
  <c r="R280" i="8"/>
  <c r="R281" i="8" s="1"/>
  <c r="R204" i="8"/>
  <c r="R205" i="8" s="1"/>
  <c r="R206" i="8" s="1"/>
  <c r="R207" i="8" s="1"/>
  <c r="R208" i="8" s="1"/>
  <c r="R209" i="8" s="1"/>
  <c r="R210" i="8" s="1"/>
  <c r="R214" i="8"/>
  <c r="R175" i="8"/>
  <c r="R176" i="8" s="1"/>
  <c r="R177" i="8" s="1"/>
  <c r="R178" i="8" s="1"/>
  <c r="R179" i="8" s="1"/>
  <c r="R180" i="8" s="1"/>
  <c r="R185" i="8"/>
  <c r="R184" i="8"/>
  <c r="R610" i="8"/>
  <c r="R611" i="8" s="1"/>
  <c r="R612" i="8" s="1"/>
  <c r="R613" i="8" s="1"/>
  <c r="R614" i="8" s="1"/>
  <c r="R615" i="8" s="1"/>
  <c r="R616" i="8" s="1"/>
  <c r="R620" i="8"/>
  <c r="R619" i="8"/>
  <c r="R160" i="8"/>
  <c r="R161" i="8" s="1"/>
  <c r="R162" i="8" s="1"/>
  <c r="R163" i="8" s="1"/>
  <c r="R164" i="8" s="1"/>
  <c r="R165" i="8" s="1"/>
  <c r="R170" i="8"/>
  <c r="R155" i="8"/>
  <c r="R154" i="8"/>
  <c r="R144" i="8"/>
  <c r="R145" i="8" s="1"/>
  <c r="R146" i="8" s="1"/>
  <c r="R147" i="8" s="1"/>
  <c r="R148" i="8" s="1"/>
  <c r="R149" i="8" s="1"/>
  <c r="R150" i="8" s="1"/>
  <c r="R140" i="8"/>
  <c r="R129" i="8"/>
  <c r="R130" i="8" s="1"/>
  <c r="R131" i="8" s="1"/>
  <c r="R132" i="8" s="1"/>
  <c r="R133" i="8" s="1"/>
  <c r="R134" i="8" s="1"/>
  <c r="R135" i="8" s="1"/>
  <c r="R605" i="8"/>
  <c r="R604" i="8"/>
  <c r="R598" i="8"/>
  <c r="R599" i="8" s="1"/>
  <c r="R600" i="8" s="1"/>
  <c r="R595" i="8"/>
  <c r="R596" i="8" s="1"/>
  <c r="R54" i="8"/>
  <c r="R346" i="8" l="1"/>
  <c r="C347" i="8" s="1"/>
  <c r="R406" i="8"/>
  <c r="C407" i="8" s="1"/>
  <c r="C212" i="8"/>
  <c r="R211" i="8"/>
  <c r="R376" i="8"/>
  <c r="C377" i="8" s="1"/>
  <c r="C602" i="8"/>
  <c r="R166" i="8"/>
  <c r="R169" i="8" s="1"/>
  <c r="R91" i="8"/>
  <c r="C92" i="8" s="1"/>
  <c r="R196" i="8"/>
  <c r="C197" i="8"/>
  <c r="C617" i="8"/>
  <c r="R151" i="8"/>
  <c r="C152" i="8" s="1"/>
  <c r="R136" i="8"/>
  <c r="R139" i="8" s="1"/>
  <c r="C137" i="8"/>
  <c r="R181" i="8"/>
  <c r="C182" i="8" s="1"/>
  <c r="R436" i="8"/>
  <c r="R439" i="8" s="1"/>
  <c r="W219" i="8"/>
  <c r="C437" i="8" l="1"/>
  <c r="C167" i="8"/>
  <c r="S53" i="1"/>
  <c r="R46" i="1"/>
  <c r="R27" i="1"/>
  <c r="S20" i="1"/>
  <c r="R20" i="1"/>
  <c r="R4" i="12" l="1"/>
  <c r="R5" i="12"/>
  <c r="R7" i="12"/>
  <c r="R9" i="12"/>
  <c r="R10" i="12"/>
  <c r="R11" i="12"/>
  <c r="R14" i="12"/>
  <c r="R3" i="12"/>
  <c r="K599" i="8" l="1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635" i="8" l="1"/>
  <c r="R625" i="8"/>
  <c r="R626" i="8" s="1"/>
  <c r="R627" i="8" s="1"/>
  <c r="R628" i="8" s="1"/>
  <c r="R629" i="8" s="1"/>
  <c r="R662" i="8"/>
  <c r="R663" i="8" s="1"/>
  <c r="R664" i="8" s="1"/>
  <c r="R55" i="8"/>
  <c r="R56" i="8" s="1"/>
  <c r="R57" i="8" s="1"/>
  <c r="R58" i="8" s="1"/>
  <c r="R59" i="8" s="1"/>
  <c r="R60" i="8" s="1"/>
  <c r="R61" i="8" s="1"/>
  <c r="C632" i="8" l="1"/>
  <c r="R65" i="8"/>
  <c r="C62" i="8"/>
  <c r="K389" i="8" l="1"/>
  <c r="J51" i="1" s="1"/>
  <c r="W600" i="8" l="1"/>
  <c r="K74" i="8" l="1"/>
  <c r="B31" i="1" l="1"/>
  <c r="C107" i="1" l="1"/>
  <c r="R11" i="1" l="1"/>
  <c r="R566" i="8" l="1"/>
  <c r="W504" i="8" l="1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49" i="8"/>
  <c r="Y549" i="8" s="1"/>
  <c r="W474" i="8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279" i="8"/>
  <c r="Y279" i="8" s="1"/>
  <c r="U280" i="8" s="1"/>
  <c r="W444" i="8"/>
  <c r="Y44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96" i="8"/>
  <c r="W696" i="8" s="1"/>
  <c r="Y696" i="8" s="1"/>
  <c r="U697" i="8" s="1"/>
  <c r="W697" i="8" s="1"/>
  <c r="Y697" i="8" s="1"/>
  <c r="W99" i="8"/>
  <c r="Y99" i="8" s="1"/>
  <c r="U100" i="8" s="1"/>
  <c r="W100" i="8" s="1"/>
  <c r="Y100" i="8" s="1"/>
  <c r="U101" i="8" s="1"/>
  <c r="W101" i="8" s="1"/>
  <c r="Y101" i="8" s="1"/>
  <c r="U102" i="8" s="1"/>
  <c r="W102" i="8" s="1"/>
  <c r="Y102" i="8" s="1"/>
  <c r="U103" i="8" s="1"/>
  <c r="W103" i="8" s="1"/>
  <c r="Y103" i="8" s="1"/>
  <c r="U104" i="8" s="1"/>
  <c r="W104" i="8" s="1"/>
  <c r="Y104" i="8" s="1"/>
  <c r="U105" i="8" s="1"/>
  <c r="W105" i="8" s="1"/>
  <c r="Y105" i="8" s="1"/>
  <c r="U106" i="8" s="1"/>
  <c r="W189" i="8"/>
  <c r="Y189" i="8" s="1"/>
  <c r="U190" i="8" s="1"/>
  <c r="W190" i="8" s="1"/>
  <c r="Y190" i="8" s="1"/>
  <c r="U191" i="8" s="1"/>
  <c r="W191" i="8" s="1"/>
  <c r="Y191" i="8" s="1"/>
  <c r="U192" i="8" s="1"/>
  <c r="W609" i="8"/>
  <c r="Y609" i="8" s="1"/>
  <c r="U610" i="8" s="1"/>
  <c r="W324" i="8"/>
  <c r="Y324" i="8" s="1"/>
  <c r="W429" i="8"/>
  <c r="Y429" i="8" s="1"/>
  <c r="U430" i="8" s="1"/>
  <c r="W430" i="8" s="1"/>
  <c r="Y430" i="8" s="1"/>
  <c r="U431" i="8" s="1"/>
  <c r="W431" i="8" s="1"/>
  <c r="Y431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W624" i="8"/>
  <c r="Y624" i="8" s="1"/>
  <c r="U625" i="8" s="1"/>
  <c r="W564" i="8"/>
  <c r="Y564" i="8" s="1"/>
  <c r="U565" i="8" s="1"/>
  <c r="W565" i="8" s="1"/>
  <c r="Y565" i="8" s="1"/>
  <c r="U566" i="8" s="1"/>
  <c r="W566" i="8" s="1"/>
  <c r="Y566" i="8" s="1"/>
  <c r="U567" i="8" s="1"/>
  <c r="W567" i="8" s="1"/>
  <c r="Y567" i="8" s="1"/>
  <c r="W702" i="8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W399" i="8"/>
  <c r="Y399" i="8" s="1"/>
  <c r="U400" i="8" s="1"/>
  <c r="W489" i="8"/>
  <c r="Y489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W84" i="8"/>
  <c r="Y84" i="8" s="1"/>
  <c r="U85" i="8" s="1"/>
  <c r="U76" i="8" l="1"/>
  <c r="W76" i="8" s="1"/>
  <c r="Y76" i="8" s="1"/>
  <c r="G77" i="8" s="1"/>
  <c r="U481" i="8"/>
  <c r="W481" i="8" s="1"/>
  <c r="Y481" i="8" s="1"/>
  <c r="G482" i="8" s="1"/>
  <c r="U541" i="8"/>
  <c r="W541" i="8" s="1"/>
  <c r="Y541" i="8" s="1"/>
  <c r="U544" i="8" s="1"/>
  <c r="W544" i="8" s="1"/>
  <c r="Y544" i="8" s="1"/>
  <c r="U545" i="8" s="1"/>
  <c r="W545" i="8" s="1"/>
  <c r="Y545" i="8" s="1"/>
  <c r="W106" i="8"/>
  <c r="Y106" i="8" s="1"/>
  <c r="G107" i="8" s="1"/>
  <c r="U511" i="8"/>
  <c r="W511" i="8" s="1"/>
  <c r="Y511" i="8" s="1"/>
  <c r="G512" i="8" s="1"/>
  <c r="U568" i="8"/>
  <c r="W568" i="8" s="1"/>
  <c r="Y568" i="8" s="1"/>
  <c r="U583" i="8"/>
  <c r="W583" i="8" s="1"/>
  <c r="Y583" i="8" s="1"/>
  <c r="U445" i="8"/>
  <c r="W445" i="8" s="1"/>
  <c r="Y445" i="8" s="1"/>
  <c r="U432" i="8"/>
  <c r="W432" i="8" s="1"/>
  <c r="Y432" i="8" s="1"/>
  <c r="U433" i="8" s="1"/>
  <c r="U325" i="8"/>
  <c r="W325" i="8" s="1"/>
  <c r="Y325" i="8" s="1"/>
  <c r="U550" i="8"/>
  <c r="W550" i="8" s="1"/>
  <c r="Y550" i="8" s="1"/>
  <c r="W110" i="8"/>
  <c r="Y110" i="8" s="1"/>
  <c r="U79" i="8"/>
  <c r="W79" i="8" s="1"/>
  <c r="Y79" i="8" s="1"/>
  <c r="W80" i="8" s="1"/>
  <c r="Y80" i="8" s="1"/>
  <c r="W514" i="8"/>
  <c r="Y514" i="8" s="1"/>
  <c r="W515" i="8" s="1"/>
  <c r="Y515" i="8" s="1"/>
  <c r="U484" i="8"/>
  <c r="W484" i="8" s="1"/>
  <c r="Y484" i="8" s="1"/>
  <c r="U485" i="8" s="1"/>
  <c r="W485" i="8" s="1"/>
  <c r="Y485" i="8" s="1"/>
  <c r="U344" i="8"/>
  <c r="W344" i="8" s="1"/>
  <c r="Y344" i="8" s="1"/>
  <c r="U345" i="8" s="1"/>
  <c r="U360" i="8"/>
  <c r="W360" i="8" s="1"/>
  <c r="Y360" i="8" s="1"/>
  <c r="W192" i="8"/>
  <c r="Y192" i="8" s="1"/>
  <c r="U193" i="8" s="1"/>
  <c r="W280" i="8"/>
  <c r="Y280" i="8" s="1"/>
  <c r="U281" i="8" s="1"/>
  <c r="W490" i="8"/>
  <c r="Y490" i="8" s="1"/>
  <c r="W400" i="8"/>
  <c r="Y400" i="8" s="1"/>
  <c r="U401" i="8" s="1"/>
  <c r="W625" i="8"/>
  <c r="Y625" i="8" s="1"/>
  <c r="W85" i="8"/>
  <c r="Y85" i="8" s="1"/>
  <c r="U86" i="8" s="1"/>
  <c r="W610" i="8"/>
  <c r="Y610" i="8" s="1"/>
  <c r="U611" i="8" s="1"/>
  <c r="D107" i="1"/>
  <c r="G542" i="8" l="1"/>
  <c r="U361" i="8"/>
  <c r="W361" i="8" s="1"/>
  <c r="Y361" i="8" s="1"/>
  <c r="U364" i="8" s="1"/>
  <c r="W364" i="8" s="1"/>
  <c r="Y364" i="8" s="1"/>
  <c r="U365" i="8" s="1"/>
  <c r="W365" i="8" s="1"/>
  <c r="Y365" i="8" s="1"/>
  <c r="U584" i="8"/>
  <c r="W584" i="8" s="1"/>
  <c r="Y584" i="8" s="1"/>
  <c r="U585" i="8" s="1"/>
  <c r="U569" i="8"/>
  <c r="W569" i="8" s="1"/>
  <c r="Y569" i="8" s="1"/>
  <c r="U570" i="8" s="1"/>
  <c r="U446" i="8"/>
  <c r="W446" i="8" s="1"/>
  <c r="Y446" i="8" s="1"/>
  <c r="W433" i="8"/>
  <c r="Y433" i="8" s="1"/>
  <c r="U326" i="8"/>
  <c r="W326" i="8" s="1"/>
  <c r="Y326" i="8" s="1"/>
  <c r="U551" i="8"/>
  <c r="W551" i="8" s="1"/>
  <c r="Y551" i="8" s="1"/>
  <c r="U552" i="8" s="1"/>
  <c r="W552" i="8" s="1"/>
  <c r="Y552" i="8" s="1"/>
  <c r="U553" i="8" s="1"/>
  <c r="W553" i="8" s="1"/>
  <c r="Y553" i="8" s="1"/>
  <c r="U554" i="8" s="1"/>
  <c r="U626" i="8"/>
  <c r="W626" i="8" s="1"/>
  <c r="Y626" i="8" s="1"/>
  <c r="U627" i="8" s="1"/>
  <c r="U349" i="8"/>
  <c r="W349" i="8" s="1"/>
  <c r="Y349" i="8" s="1"/>
  <c r="U350" i="8" s="1"/>
  <c r="W350" i="8" s="1"/>
  <c r="Y350" i="8" s="1"/>
  <c r="W345" i="8"/>
  <c r="Y345" i="8" s="1"/>
  <c r="U346" i="8" s="1"/>
  <c r="W193" i="8"/>
  <c r="Y193" i="8" s="1"/>
  <c r="W491" i="8"/>
  <c r="Y491" i="8" s="1"/>
  <c r="W281" i="8"/>
  <c r="Y281" i="8" s="1"/>
  <c r="U282" i="8" s="1"/>
  <c r="W86" i="8"/>
  <c r="Y86" i="8" s="1"/>
  <c r="U87" i="8" s="1"/>
  <c r="W401" i="8"/>
  <c r="Y401" i="8" s="1"/>
  <c r="U402" i="8" s="1"/>
  <c r="U645" i="8"/>
  <c r="W645" i="8" s="1"/>
  <c r="Y645" i="8" s="1"/>
  <c r="W611" i="8"/>
  <c r="Y611" i="8" s="1"/>
  <c r="U612" i="8" s="1"/>
  <c r="G362" i="8" l="1"/>
  <c r="W346" i="8"/>
  <c r="Y346" i="8" s="1"/>
  <c r="G347" i="8" s="1"/>
  <c r="W570" i="8"/>
  <c r="Y570" i="8" s="1"/>
  <c r="U571" i="8" s="1"/>
  <c r="W585" i="8"/>
  <c r="Y585" i="8" s="1"/>
  <c r="U586" i="8" s="1"/>
  <c r="U434" i="8"/>
  <c r="W434" i="8" s="1"/>
  <c r="Y434" i="8" s="1"/>
  <c r="U194" i="8"/>
  <c r="W194" i="8" s="1"/>
  <c r="Y194" i="8" s="1"/>
  <c r="U447" i="8"/>
  <c r="W447" i="8" s="1"/>
  <c r="Y447" i="8" s="1"/>
  <c r="W627" i="8"/>
  <c r="Y627" i="8" s="1"/>
  <c r="U628" i="8" s="1"/>
  <c r="U327" i="8"/>
  <c r="W327" i="8" s="1"/>
  <c r="Y327" i="8" s="1"/>
  <c r="U328" i="8" s="1"/>
  <c r="W282" i="8"/>
  <c r="Y282" i="8" s="1"/>
  <c r="W283" i="8" s="1"/>
  <c r="Y283" i="8" s="1"/>
  <c r="U284" i="8" s="1"/>
  <c r="W199" i="8"/>
  <c r="Y199" i="8" s="1"/>
  <c r="W554" i="8"/>
  <c r="Y554" i="8" s="1"/>
  <c r="U555" i="8" s="1"/>
  <c r="W87" i="8"/>
  <c r="Y87" i="8" s="1"/>
  <c r="U88" i="8" s="1"/>
  <c r="W402" i="8"/>
  <c r="Y402" i="8" s="1"/>
  <c r="U403" i="8" s="1"/>
  <c r="W492" i="8"/>
  <c r="Y492" i="8" s="1"/>
  <c r="G647" i="8"/>
  <c r="W612" i="8"/>
  <c r="Y612" i="8" s="1"/>
  <c r="U613" i="8" s="1"/>
  <c r="W586" i="8" l="1"/>
  <c r="Y586" i="8" s="1"/>
  <c r="U589" i="8" s="1"/>
  <c r="W589" i="8" s="1"/>
  <c r="Y589" i="8" s="1"/>
  <c r="U590" i="8" s="1"/>
  <c r="W590" i="8" s="1"/>
  <c r="Y590" i="8" s="1"/>
  <c r="G587" i="8"/>
  <c r="W571" i="8"/>
  <c r="Y571" i="8" s="1"/>
  <c r="U574" i="8" s="1"/>
  <c r="W574" i="8" s="1"/>
  <c r="Y574" i="8" s="1"/>
  <c r="U575" i="8" s="1"/>
  <c r="W575" i="8" s="1"/>
  <c r="Y575" i="8" s="1"/>
  <c r="U195" i="8"/>
  <c r="W195" i="8" s="1"/>
  <c r="Y195" i="8" s="1"/>
  <c r="U196" i="8" s="1"/>
  <c r="W678" i="8"/>
  <c r="Y678" i="8" s="1"/>
  <c r="U435" i="8"/>
  <c r="W435" i="8" s="1"/>
  <c r="Y435" i="8" s="1"/>
  <c r="U436" i="8" s="1"/>
  <c r="U448" i="8"/>
  <c r="W448" i="8" s="1"/>
  <c r="Y448" i="8" s="1"/>
  <c r="W328" i="8"/>
  <c r="Y328" i="8" s="1"/>
  <c r="W628" i="8"/>
  <c r="Y628" i="8" s="1"/>
  <c r="U629" i="8" s="1"/>
  <c r="W629" i="8" s="1"/>
  <c r="Y629" i="8" s="1"/>
  <c r="U630" i="8" s="1"/>
  <c r="W630" i="8" s="1"/>
  <c r="Y630" i="8" s="1"/>
  <c r="U631" i="8" s="1"/>
  <c r="W200" i="8"/>
  <c r="Y200" i="8" s="1"/>
  <c r="W375" i="8"/>
  <c r="Y375" i="8" s="1"/>
  <c r="W555" i="8"/>
  <c r="Y555" i="8" s="1"/>
  <c r="U556" i="8" s="1"/>
  <c r="W403" i="8"/>
  <c r="Y403" i="8" s="1"/>
  <c r="U404" i="8" s="1"/>
  <c r="W493" i="8"/>
  <c r="Y493" i="8" s="1"/>
  <c r="W613" i="8"/>
  <c r="Y613" i="8" s="1"/>
  <c r="U614" i="8" s="1"/>
  <c r="W88" i="8"/>
  <c r="Y88" i="8" s="1"/>
  <c r="U89" i="8" s="1"/>
  <c r="W284" i="8"/>
  <c r="Y284" i="8" s="1"/>
  <c r="G572" i="8" l="1"/>
  <c r="W436" i="8"/>
  <c r="Y436" i="8" s="1"/>
  <c r="U439" i="8" s="1"/>
  <c r="W439" i="8" s="1"/>
  <c r="Y439" i="8" s="1"/>
  <c r="U440" i="8" s="1"/>
  <c r="W440" i="8" s="1"/>
  <c r="Y440" i="8" s="1"/>
  <c r="W376" i="8"/>
  <c r="Y376" i="8" s="1"/>
  <c r="W379" i="8" s="1"/>
  <c r="Y379" i="8" s="1"/>
  <c r="W380" i="8" s="1"/>
  <c r="Y380" i="8" s="1"/>
  <c r="W631" i="8"/>
  <c r="Y631" i="8" s="1"/>
  <c r="U634" i="8" s="1"/>
  <c r="W634" i="8" s="1"/>
  <c r="Y634" i="8" s="1"/>
  <c r="U635" i="8" s="1"/>
  <c r="W635" i="8" s="1"/>
  <c r="Y635" i="8" s="1"/>
  <c r="W196" i="8"/>
  <c r="Y196" i="8" s="1"/>
  <c r="G197" i="8"/>
  <c r="U329" i="8"/>
  <c r="W329" i="8" s="1"/>
  <c r="Y329" i="8" s="1"/>
  <c r="U449" i="8"/>
  <c r="W449" i="8" s="1"/>
  <c r="Y449" i="8" s="1"/>
  <c r="U679" i="8"/>
  <c r="W679" i="8" s="1"/>
  <c r="Y679" i="8" s="1"/>
  <c r="W556" i="8"/>
  <c r="Y556" i="8" s="1"/>
  <c r="G557" i="8" s="1"/>
  <c r="W494" i="8"/>
  <c r="Y494" i="8" s="1"/>
  <c r="W404" i="8"/>
  <c r="Y404" i="8" s="1"/>
  <c r="U405" i="8" s="1"/>
  <c r="W89" i="8"/>
  <c r="Y89" i="8" s="1"/>
  <c r="U90" i="8" s="1"/>
  <c r="W614" i="8"/>
  <c r="Y614" i="8" s="1"/>
  <c r="U615" i="8" s="1"/>
  <c r="W285" i="8"/>
  <c r="Y285" i="8" s="1"/>
  <c r="G377" i="8" l="1"/>
  <c r="G632" i="8"/>
  <c r="G437" i="8"/>
  <c r="U286" i="8"/>
  <c r="W286" i="8" s="1"/>
  <c r="Y286" i="8" s="1"/>
  <c r="G287" i="8" s="1"/>
  <c r="U450" i="8"/>
  <c r="W450" i="8" s="1"/>
  <c r="Y450" i="8" s="1"/>
  <c r="U451" i="8" s="1"/>
  <c r="U330" i="8"/>
  <c r="W330" i="8" s="1"/>
  <c r="Y330" i="8" s="1"/>
  <c r="U331" i="8" s="1"/>
  <c r="U680" i="8"/>
  <c r="W680" i="8" s="1"/>
  <c r="Y680" i="8" s="1"/>
  <c r="W495" i="8"/>
  <c r="Y495" i="8" s="1"/>
  <c r="W90" i="8"/>
  <c r="Y90" i="8" s="1"/>
  <c r="U91" i="8" s="1"/>
  <c r="W615" i="8"/>
  <c r="Y615" i="8" s="1"/>
  <c r="U616" i="8" s="1"/>
  <c r="W405" i="8"/>
  <c r="Y405" i="8" s="1"/>
  <c r="U406" i="8" s="1"/>
  <c r="W451" i="8" l="1"/>
  <c r="Y451" i="8" s="1"/>
  <c r="U454" i="8" s="1"/>
  <c r="W454" i="8" s="1"/>
  <c r="Y454" i="8" s="1"/>
  <c r="U455" i="8" s="1"/>
  <c r="W455" i="8" s="1"/>
  <c r="Y455" i="8" s="1"/>
  <c r="G452" i="8"/>
  <c r="W496" i="8"/>
  <c r="Y496" i="8" s="1"/>
  <c r="G497" i="8" s="1"/>
  <c r="W331" i="8"/>
  <c r="Y331" i="8" s="1"/>
  <c r="U334" i="8" s="1"/>
  <c r="W334" i="8" s="1"/>
  <c r="Y334" i="8" s="1"/>
  <c r="U335" i="8" s="1"/>
  <c r="W335" i="8" s="1"/>
  <c r="Y335" i="8" s="1"/>
  <c r="U681" i="8"/>
  <c r="W681" i="8" s="1"/>
  <c r="Y681" i="8" s="1"/>
  <c r="W499" i="8"/>
  <c r="Y499" i="8" s="1"/>
  <c r="W500" i="8" s="1"/>
  <c r="Y500" i="8" s="1"/>
  <c r="W406" i="8"/>
  <c r="Y406" i="8" s="1"/>
  <c r="G407" i="8" s="1"/>
  <c r="W91" i="8"/>
  <c r="Y91" i="8" s="1"/>
  <c r="G92" i="8" s="1"/>
  <c r="W616" i="8"/>
  <c r="Y616" i="8" s="1"/>
  <c r="G617" i="8" s="1"/>
  <c r="W649" i="8"/>
  <c r="Y649" i="8" s="1"/>
  <c r="H43" i="1"/>
  <c r="E43" i="1"/>
  <c r="B43" i="1"/>
  <c r="G332" i="8" l="1"/>
  <c r="W559" i="8"/>
  <c r="Y559" i="8" s="1"/>
  <c r="W560" i="8" s="1"/>
  <c r="Y560" i="8" s="1"/>
  <c r="W650" i="8"/>
  <c r="Y650" i="8" s="1"/>
  <c r="U290" i="8" l="1"/>
  <c r="W94" i="8" l="1"/>
  <c r="Y94" i="8" s="1"/>
  <c r="W409" i="8"/>
  <c r="Y409" i="8" s="1"/>
  <c r="U619" i="8"/>
  <c r="W619" i="8" s="1"/>
  <c r="Y619" i="8" s="1"/>
  <c r="W290" i="8"/>
  <c r="Y290" i="8" s="1"/>
  <c r="W410" i="8" l="1"/>
  <c r="Y410" i="8" s="1"/>
  <c r="W95" i="8"/>
  <c r="Y95" i="8" s="1"/>
  <c r="U620" i="8"/>
  <c r="W620" i="8" s="1"/>
  <c r="Y620" i="8" s="1"/>
  <c r="K344" i="8" l="1"/>
  <c r="B72" i="1" l="1"/>
  <c r="W314" i="8" l="1"/>
  <c r="R250" i="8" l="1"/>
  <c r="K104" i="8" l="1"/>
  <c r="B50" i="1" l="1"/>
  <c r="R324" i="8" l="1"/>
  <c r="R325" i="8" s="1"/>
  <c r="R326" i="8" l="1"/>
  <c r="R327" i="8" s="1"/>
  <c r="R328" i="8" s="1"/>
  <c r="R329" i="8" s="1"/>
  <c r="R330" i="8" s="1"/>
  <c r="B71" i="1"/>
  <c r="R331" i="8" l="1"/>
  <c r="R334" i="8" s="1"/>
  <c r="R335" i="8" s="1"/>
  <c r="G511" i="8"/>
  <c r="K511" i="8" s="1"/>
  <c r="C511" i="8"/>
  <c r="G23" i="1" s="1"/>
  <c r="C510" i="8"/>
  <c r="F23" i="1" s="1"/>
  <c r="K509" i="8"/>
  <c r="J23" i="1" s="1"/>
  <c r="G509" i="8"/>
  <c r="M23" i="1" s="1"/>
  <c r="H503" i="8"/>
  <c r="G503" i="8"/>
  <c r="G556" i="8"/>
  <c r="C556" i="8"/>
  <c r="G30" i="1" s="1"/>
  <c r="C555" i="8"/>
  <c r="F30" i="1" s="1"/>
  <c r="K554" i="8"/>
  <c r="J30" i="1" s="1"/>
  <c r="G554" i="8"/>
  <c r="M30" i="1" s="1"/>
  <c r="H548" i="8"/>
  <c r="G548" i="8"/>
  <c r="U395" i="8"/>
  <c r="W395" i="8" s="1"/>
  <c r="Y395" i="8" s="1"/>
  <c r="R395" i="8"/>
  <c r="G391" i="8"/>
  <c r="C391" i="8"/>
  <c r="G51" i="1" s="1"/>
  <c r="C390" i="8"/>
  <c r="F51" i="1" s="1"/>
  <c r="G389" i="8"/>
  <c r="M51" i="1" s="1"/>
  <c r="H383" i="8"/>
  <c r="G383" i="8"/>
  <c r="G241" i="8"/>
  <c r="C241" i="8"/>
  <c r="G64" i="1" s="1"/>
  <c r="C240" i="8"/>
  <c r="F64" i="1" s="1"/>
  <c r="K239" i="8"/>
  <c r="J64" i="1" s="1"/>
  <c r="G239" i="8"/>
  <c r="M64" i="1" s="1"/>
  <c r="W234" i="8"/>
  <c r="Y234" i="8" s="1"/>
  <c r="U235" i="8" s="1"/>
  <c r="W235" i="8" s="1"/>
  <c r="Y235" i="8" s="1"/>
  <c r="U236" i="8" s="1"/>
  <c r="H233" i="8"/>
  <c r="G233" i="8"/>
  <c r="G481" i="8"/>
  <c r="C481" i="8"/>
  <c r="G24" i="1" s="1"/>
  <c r="C480" i="8"/>
  <c r="F24" i="1" s="1"/>
  <c r="K479" i="8"/>
  <c r="J24" i="1" s="1"/>
  <c r="G479" i="8"/>
  <c r="M24" i="1" s="1"/>
  <c r="H473" i="8"/>
  <c r="G473" i="8"/>
  <c r="G121" i="8"/>
  <c r="C121" i="8"/>
  <c r="G17" i="1" s="1"/>
  <c r="C120" i="8"/>
  <c r="K119" i="8"/>
  <c r="J17" i="1" s="1"/>
  <c r="G119" i="8"/>
  <c r="M17" i="1" s="1"/>
  <c r="W114" i="8"/>
  <c r="Y114" i="8" s="1"/>
  <c r="H113" i="8"/>
  <c r="G113" i="8"/>
  <c r="G286" i="8"/>
  <c r="K286" i="8" s="1"/>
  <c r="C286" i="8"/>
  <c r="G59" i="1" s="1"/>
  <c r="C285" i="8"/>
  <c r="F59" i="1" s="1"/>
  <c r="K284" i="8"/>
  <c r="J59" i="1" s="1"/>
  <c r="G284" i="8"/>
  <c r="M59" i="1" s="1"/>
  <c r="H278" i="8"/>
  <c r="G278" i="8"/>
  <c r="G677" i="8"/>
  <c r="C677" i="8"/>
  <c r="G43" i="1" s="1"/>
  <c r="C676" i="8"/>
  <c r="K675" i="8"/>
  <c r="G675" i="8"/>
  <c r="M43" i="1" s="1"/>
  <c r="H669" i="8"/>
  <c r="G669" i="8"/>
  <c r="G451" i="8"/>
  <c r="K451" i="8" s="1"/>
  <c r="C451" i="8"/>
  <c r="G75" i="1" s="1"/>
  <c r="C450" i="8"/>
  <c r="K449" i="8"/>
  <c r="J75" i="1" s="1"/>
  <c r="G449" i="8"/>
  <c r="M75" i="1" s="1"/>
  <c r="R445" i="8"/>
  <c r="R446" i="8" s="1"/>
  <c r="R447" i="8" s="1"/>
  <c r="H443" i="8"/>
  <c r="G443" i="8"/>
  <c r="G376" i="8"/>
  <c r="O50" i="1" s="1"/>
  <c r="C376" i="8"/>
  <c r="G50" i="1" s="1"/>
  <c r="C375" i="8"/>
  <c r="I373" i="8"/>
  <c r="K374" i="8"/>
  <c r="J50" i="1" s="1"/>
  <c r="G374" i="8"/>
  <c r="M50" i="1" s="1"/>
  <c r="H368" i="8"/>
  <c r="G368" i="8"/>
  <c r="G76" i="8"/>
  <c r="K76" i="8" s="1"/>
  <c r="C76" i="8"/>
  <c r="G14" i="1" s="1"/>
  <c r="C75" i="8"/>
  <c r="J14" i="1"/>
  <c r="G74" i="8"/>
  <c r="M14" i="1" s="1"/>
  <c r="H68" i="8"/>
  <c r="G68" i="8"/>
  <c r="G693" i="8"/>
  <c r="C693" i="8"/>
  <c r="G44" i="1" s="1"/>
  <c r="C692" i="8"/>
  <c r="J44" i="1"/>
  <c r="G691" i="8"/>
  <c r="M44" i="1" s="1"/>
  <c r="C694" i="8"/>
  <c r="I690" i="8" s="1"/>
  <c r="K690" i="8" s="1"/>
  <c r="H685" i="8"/>
  <c r="G685" i="8"/>
  <c r="G361" i="8"/>
  <c r="K361" i="8" s="1"/>
  <c r="C361" i="8"/>
  <c r="G49" i="1" s="1"/>
  <c r="C360" i="8"/>
  <c r="F49" i="1" s="1"/>
  <c r="K359" i="8"/>
  <c r="G359" i="8"/>
  <c r="M49" i="1" s="1"/>
  <c r="H353" i="8"/>
  <c r="G353" i="8"/>
  <c r="U792" i="8"/>
  <c r="W792" i="8" s="1"/>
  <c r="Y792" i="8" s="1"/>
  <c r="R791" i="8"/>
  <c r="U791" i="8"/>
  <c r="R788" i="8"/>
  <c r="C789" i="8" s="1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106" i="8"/>
  <c r="K106" i="8" s="1"/>
  <c r="C106" i="8"/>
  <c r="G73" i="1" s="1"/>
  <c r="C105" i="8"/>
  <c r="F73" i="1" s="1"/>
  <c r="G104" i="8"/>
  <c r="M73" i="1" s="1"/>
  <c r="H98" i="8"/>
  <c r="G98" i="8"/>
  <c r="G196" i="8"/>
  <c r="C196" i="8"/>
  <c r="G41" i="1" s="1"/>
  <c r="C195" i="8"/>
  <c r="F41" i="1" s="1"/>
  <c r="K194" i="8"/>
  <c r="J41" i="1" s="1"/>
  <c r="G194" i="8"/>
  <c r="M41" i="1" s="1"/>
  <c r="H188" i="8"/>
  <c r="G188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45" i="8"/>
  <c r="W745" i="8" s="1"/>
  <c r="Y745" i="8" s="1"/>
  <c r="R745" i="8"/>
  <c r="R744" i="8"/>
  <c r="R743" i="8"/>
  <c r="U742" i="8"/>
  <c r="W742" i="8" s="1"/>
  <c r="Y742" i="8" s="1"/>
  <c r="U743" i="8" s="1"/>
  <c r="W743" i="8" s="1"/>
  <c r="Y743" i="8" s="1"/>
  <c r="U744" i="8" s="1"/>
  <c r="R742" i="8"/>
  <c r="R741" i="8"/>
  <c r="G741" i="8"/>
  <c r="K741" i="8" s="1"/>
  <c r="C741" i="8"/>
  <c r="R740" i="8"/>
  <c r="C740" i="8"/>
  <c r="R739" i="8"/>
  <c r="K739" i="8"/>
  <c r="G739" i="8"/>
  <c r="R738" i="8"/>
  <c r="K738" i="8"/>
  <c r="R737" i="8"/>
  <c r="R736" i="8"/>
  <c r="R735" i="8"/>
  <c r="W734" i="8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H733" i="8"/>
  <c r="G733" i="8"/>
  <c r="R726" i="8"/>
  <c r="G725" i="8"/>
  <c r="C725" i="8"/>
  <c r="G69" i="1" s="1"/>
  <c r="C724" i="8"/>
  <c r="F69" i="1" s="1"/>
  <c r="R723" i="8"/>
  <c r="K723" i="8"/>
  <c r="J69" i="1" s="1"/>
  <c r="G723" i="8"/>
  <c r="M69" i="1" s="1"/>
  <c r="R720" i="8"/>
  <c r="R719" i="8"/>
  <c r="W718" i="8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H717" i="8"/>
  <c r="G717" i="8"/>
  <c r="G616" i="8"/>
  <c r="K616" i="8" s="1"/>
  <c r="C616" i="8"/>
  <c r="G40" i="1" s="1"/>
  <c r="C615" i="8"/>
  <c r="F40" i="1" s="1"/>
  <c r="K614" i="8"/>
  <c r="J40" i="1" s="1"/>
  <c r="G614" i="8"/>
  <c r="M40" i="1" s="1"/>
  <c r="H608" i="8"/>
  <c r="G608" i="8"/>
  <c r="G331" i="8"/>
  <c r="K331" i="8" s="1"/>
  <c r="C331" i="8"/>
  <c r="G57" i="1" s="1"/>
  <c r="C330" i="8"/>
  <c r="K329" i="8"/>
  <c r="J57" i="1" s="1"/>
  <c r="G329" i="8"/>
  <c r="M57" i="1" s="1"/>
  <c r="H323" i="8"/>
  <c r="G323" i="8"/>
  <c r="G436" i="8"/>
  <c r="O74" i="1" s="1"/>
  <c r="C436" i="8"/>
  <c r="G74" i="1" s="1"/>
  <c r="C435" i="8"/>
  <c r="K434" i="8"/>
  <c r="J74" i="1" s="1"/>
  <c r="G434" i="8"/>
  <c r="M74" i="1" s="1"/>
  <c r="H428" i="8"/>
  <c r="G428" i="8"/>
  <c r="G88" i="1"/>
  <c r="F88" i="1"/>
  <c r="J88" i="1"/>
  <c r="M88" i="1"/>
  <c r="G541" i="8"/>
  <c r="K541" i="8" s="1"/>
  <c r="C541" i="8"/>
  <c r="G32" i="1" s="1"/>
  <c r="C540" i="8"/>
  <c r="F32" i="1" s="1"/>
  <c r="K539" i="8"/>
  <c r="J32" i="1" s="1"/>
  <c r="G539" i="8"/>
  <c r="M32" i="1" s="1"/>
  <c r="H533" i="8"/>
  <c r="G533" i="8"/>
  <c r="R425" i="8"/>
  <c r="R424" i="8"/>
  <c r="R421" i="8"/>
  <c r="C422" i="8" s="1"/>
  <c r="G421" i="8"/>
  <c r="K421" i="8" s="1"/>
  <c r="C421" i="8"/>
  <c r="G72" i="1" s="1"/>
  <c r="C420" i="8"/>
  <c r="R419" i="8"/>
  <c r="K419" i="8"/>
  <c r="J72" i="1" s="1"/>
  <c r="G419" i="8"/>
  <c r="M72" i="1" s="1"/>
  <c r="R418" i="8"/>
  <c r="R417" i="8"/>
  <c r="R416" i="8"/>
  <c r="R415" i="8"/>
  <c r="W414" i="8"/>
  <c r="Y414" i="8" s="1"/>
  <c r="U415" i="8" s="1"/>
  <c r="W415" i="8" s="1"/>
  <c r="Y415" i="8" s="1"/>
  <c r="U416" i="8" s="1"/>
  <c r="W416" i="8" s="1"/>
  <c r="Y416" i="8" s="1"/>
  <c r="H413" i="8"/>
  <c r="G413" i="8"/>
  <c r="G631" i="8"/>
  <c r="K631" i="8" s="1"/>
  <c r="C631" i="8"/>
  <c r="G60" i="1" s="1"/>
  <c r="C630" i="8"/>
  <c r="F60" i="1" s="1"/>
  <c r="K629" i="8"/>
  <c r="J60" i="1" s="1"/>
  <c r="G629" i="8"/>
  <c r="M60" i="1" s="1"/>
  <c r="H623" i="8"/>
  <c r="G623" i="8"/>
  <c r="G571" i="8"/>
  <c r="K571" i="8" s="1"/>
  <c r="C571" i="8"/>
  <c r="G33" i="1" s="1"/>
  <c r="C570" i="8"/>
  <c r="F33" i="1" s="1"/>
  <c r="K569" i="8"/>
  <c r="J33" i="1" s="1"/>
  <c r="G569" i="8"/>
  <c r="M33" i="1" s="1"/>
  <c r="H563" i="8"/>
  <c r="G563" i="8"/>
  <c r="R711" i="8"/>
  <c r="G709" i="8"/>
  <c r="K709" i="8" s="1"/>
  <c r="C709" i="8"/>
  <c r="G70" i="1" s="1"/>
  <c r="C708" i="8"/>
  <c r="F70" i="1" s="1"/>
  <c r="R707" i="8"/>
  <c r="K707" i="8"/>
  <c r="J70" i="1" s="1"/>
  <c r="G707" i="8"/>
  <c r="M70" i="1" s="1"/>
  <c r="R703" i="8"/>
  <c r="H701" i="8"/>
  <c r="G701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590" i="8"/>
  <c r="G586" i="8"/>
  <c r="K586" i="8" s="1"/>
  <c r="C586" i="8"/>
  <c r="G77" i="1" s="1"/>
  <c r="R585" i="8"/>
  <c r="C587" i="8" s="1"/>
  <c r="C585" i="8"/>
  <c r="F77" i="1" s="1"/>
  <c r="K584" i="8"/>
  <c r="J77" i="1" s="1"/>
  <c r="G584" i="8"/>
  <c r="M77" i="1" s="1"/>
  <c r="R582" i="8"/>
  <c r="H578" i="8"/>
  <c r="G578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301" i="8"/>
  <c r="K301" i="8" s="1"/>
  <c r="C301" i="8"/>
  <c r="G56" i="1" s="1"/>
  <c r="C300" i="8"/>
  <c r="J56" i="1"/>
  <c r="G299" i="8"/>
  <c r="M56" i="1" s="1"/>
  <c r="Y294" i="8"/>
  <c r="U295" i="8" s="1"/>
  <c r="W295" i="8" s="1"/>
  <c r="Y295" i="8" s="1"/>
  <c r="U296" i="8" s="1"/>
  <c r="H293" i="8"/>
  <c r="G293" i="8"/>
  <c r="G406" i="8"/>
  <c r="O48" i="1" s="1"/>
  <c r="C406" i="8"/>
  <c r="G48" i="1" s="1"/>
  <c r="C405" i="8"/>
  <c r="F48" i="1" s="1"/>
  <c r="K404" i="8"/>
  <c r="J48" i="1" s="1"/>
  <c r="G404" i="8"/>
  <c r="M48" i="1" s="1"/>
  <c r="H398" i="8"/>
  <c r="G398" i="8"/>
  <c r="G496" i="8"/>
  <c r="C496" i="8"/>
  <c r="G25" i="1" s="1"/>
  <c r="C495" i="8"/>
  <c r="F25" i="1" s="1"/>
  <c r="K494" i="8"/>
  <c r="J25" i="1" s="1"/>
  <c r="G494" i="8"/>
  <c r="M25" i="1" s="1"/>
  <c r="H488" i="8"/>
  <c r="G488" i="8"/>
  <c r="G346" i="8"/>
  <c r="K346" i="8" s="1"/>
  <c r="C346" i="8"/>
  <c r="G52" i="1" s="1"/>
  <c r="C345" i="8"/>
  <c r="F52" i="1" s="1"/>
  <c r="J52" i="1"/>
  <c r="G344" i="8"/>
  <c r="M52" i="1" s="1"/>
  <c r="H338" i="8"/>
  <c r="G338" i="8"/>
  <c r="G646" i="8"/>
  <c r="K646" i="8" s="1"/>
  <c r="C646" i="8"/>
  <c r="G42" i="1" s="1"/>
  <c r="C645" i="8"/>
  <c r="F42" i="1" s="1"/>
  <c r="K644" i="8"/>
  <c r="J42" i="1" s="1"/>
  <c r="G644" i="8"/>
  <c r="M42" i="1" s="1"/>
  <c r="H638" i="8"/>
  <c r="G638" i="8"/>
  <c r="G91" i="8"/>
  <c r="K91" i="8" s="1"/>
  <c r="C91" i="8"/>
  <c r="G68" i="1" s="1"/>
  <c r="C90" i="8"/>
  <c r="K89" i="8"/>
  <c r="J68" i="1" s="1"/>
  <c r="G89" i="8"/>
  <c r="M68" i="1" s="1"/>
  <c r="H83" i="8"/>
  <c r="G83" i="8"/>
  <c r="G211" i="8"/>
  <c r="K211" i="8" s="1"/>
  <c r="C211" i="8"/>
  <c r="G76" i="1" s="1"/>
  <c r="C210" i="8"/>
  <c r="F76" i="1" s="1"/>
  <c r="K209" i="8"/>
  <c r="J76" i="1" s="1"/>
  <c r="G209" i="8"/>
  <c r="M76" i="1" s="1"/>
  <c r="Y204" i="8"/>
  <c r="U205" i="8" s="1"/>
  <c r="H203" i="8"/>
  <c r="G203" i="8"/>
  <c r="G526" i="8"/>
  <c r="K526" i="8" s="1"/>
  <c r="C526" i="8"/>
  <c r="G31" i="1" s="1"/>
  <c r="C525" i="8"/>
  <c r="F31" i="1" s="1"/>
  <c r="K524" i="8"/>
  <c r="J31" i="1" s="1"/>
  <c r="G524" i="8"/>
  <c r="M31" i="1" s="1"/>
  <c r="W519" i="8"/>
  <c r="Y519" i="8" s="1"/>
  <c r="U520" i="8" s="1"/>
  <c r="H518" i="8"/>
  <c r="G518" i="8"/>
  <c r="G181" i="8"/>
  <c r="K181" i="8" s="1"/>
  <c r="C181" i="8"/>
  <c r="G37" i="1" s="1"/>
  <c r="C180" i="8"/>
  <c r="F37" i="1" s="1"/>
  <c r="K179" i="8"/>
  <c r="J37" i="1" s="1"/>
  <c r="G179" i="8"/>
  <c r="M37" i="1" s="1"/>
  <c r="W174" i="8"/>
  <c r="Y174" i="8" s="1"/>
  <c r="U175" i="8" s="1"/>
  <c r="H173" i="8"/>
  <c r="G173" i="8"/>
  <c r="R469" i="8"/>
  <c r="R470" i="8" s="1"/>
  <c r="G466" i="8"/>
  <c r="K466" i="8" s="1"/>
  <c r="C466" i="8"/>
  <c r="G26" i="1" s="1"/>
  <c r="C465" i="8"/>
  <c r="F26" i="1" s="1"/>
  <c r="K464" i="8"/>
  <c r="J26" i="1" s="1"/>
  <c r="G464" i="8"/>
  <c r="M26" i="1" s="1"/>
  <c r="R460" i="8"/>
  <c r="W459" i="8"/>
  <c r="Y459" i="8" s="1"/>
  <c r="U460" i="8" s="1"/>
  <c r="W460" i="8" s="1"/>
  <c r="Y460" i="8" s="1"/>
  <c r="H458" i="8"/>
  <c r="G458" i="8"/>
  <c r="G316" i="8"/>
  <c r="K316" i="8" s="1"/>
  <c r="C316" i="8"/>
  <c r="G58" i="1" s="1"/>
  <c r="C315" i="8"/>
  <c r="F58" i="1" s="1"/>
  <c r="K314" i="8"/>
  <c r="J58" i="1" s="1"/>
  <c r="G314" i="8"/>
  <c r="M58" i="1" s="1"/>
  <c r="W309" i="8"/>
  <c r="Y309" i="8" s="1"/>
  <c r="U310" i="8" s="1"/>
  <c r="W310" i="8" s="1"/>
  <c r="Y310" i="8" s="1"/>
  <c r="U311" i="8" s="1"/>
  <c r="W311" i="8" s="1"/>
  <c r="Y311" i="8" s="1"/>
  <c r="R309" i="8"/>
  <c r="R310" i="8" s="1"/>
  <c r="R311" i="8" s="1"/>
  <c r="R312" i="8" s="1"/>
  <c r="R313" i="8" s="1"/>
  <c r="R314" i="8" s="1"/>
  <c r="R315" i="8" s="1"/>
  <c r="H308" i="8"/>
  <c r="G308" i="8"/>
  <c r="G87" i="1"/>
  <c r="F87" i="1"/>
  <c r="J87" i="1"/>
  <c r="M87" i="1"/>
  <c r="G226" i="8"/>
  <c r="O45" i="1" s="1"/>
  <c r="C226" i="8"/>
  <c r="G45" i="1" s="1"/>
  <c r="C225" i="8"/>
  <c r="F45" i="1" s="1"/>
  <c r="K224" i="8"/>
  <c r="J45" i="1" s="1"/>
  <c r="G224" i="8"/>
  <c r="M45" i="1" s="1"/>
  <c r="Y219" i="8"/>
  <c r="U220" i="8" s="1"/>
  <c r="H218" i="8"/>
  <c r="G218" i="8"/>
  <c r="R275" i="8"/>
  <c r="G271" i="8"/>
  <c r="K271" i="8" s="1"/>
  <c r="C271" i="8"/>
  <c r="G61" i="1" s="1"/>
  <c r="C270" i="8"/>
  <c r="F61" i="1" s="1"/>
  <c r="K269" i="8"/>
  <c r="J61" i="1" s="1"/>
  <c r="G269" i="8"/>
  <c r="M61" i="1" s="1"/>
  <c r="H263" i="8"/>
  <c r="G263" i="8"/>
  <c r="G256" i="8"/>
  <c r="K256" i="8" s="1"/>
  <c r="C256" i="8"/>
  <c r="G62" i="1" s="1"/>
  <c r="C255" i="8"/>
  <c r="F62" i="1" s="1"/>
  <c r="K254" i="8"/>
  <c r="J62" i="1" s="1"/>
  <c r="G254" i="8"/>
  <c r="M62" i="1" s="1"/>
  <c r="R252" i="8"/>
  <c r="R253" i="8" s="1"/>
  <c r="W250" i="8"/>
  <c r="Y250" i="8" s="1"/>
  <c r="W251" i="8" s="1"/>
  <c r="Y251" i="8" s="1"/>
  <c r="W252" i="8" s="1"/>
  <c r="Y252" i="8" s="1"/>
  <c r="W253" i="8" s="1"/>
  <c r="Y253" i="8" s="1"/>
  <c r="U254" i="8" s="1"/>
  <c r="H248" i="8"/>
  <c r="G248" i="8"/>
  <c r="C662" i="8"/>
  <c r="G661" i="8"/>
  <c r="K661" i="8" s="1"/>
  <c r="C661" i="8"/>
  <c r="G63" i="1" s="1"/>
  <c r="C660" i="8"/>
  <c r="K659" i="8"/>
  <c r="J63" i="1" s="1"/>
  <c r="G659" i="8"/>
  <c r="M63" i="1" s="1"/>
  <c r="H653" i="8"/>
  <c r="G653" i="8"/>
  <c r="G166" i="8"/>
  <c r="K166" i="8" s="1"/>
  <c r="C166" i="8"/>
  <c r="G78" i="1" s="1"/>
  <c r="C165" i="8"/>
  <c r="K164" i="8"/>
  <c r="J78" i="1" s="1"/>
  <c r="G164" i="8"/>
  <c r="M78" i="1" s="1"/>
  <c r="H158" i="8"/>
  <c r="G158" i="8"/>
  <c r="I148" i="8"/>
  <c r="G151" i="8"/>
  <c r="K151" i="8" s="1"/>
  <c r="C151" i="8"/>
  <c r="G39" i="1" s="1"/>
  <c r="C150" i="8"/>
  <c r="K149" i="8"/>
  <c r="J39" i="1" s="1"/>
  <c r="G149" i="8"/>
  <c r="M39" i="1" s="1"/>
  <c r="H143" i="8"/>
  <c r="G143" i="8"/>
  <c r="G136" i="8"/>
  <c r="K136" i="8" s="1"/>
  <c r="C136" i="8"/>
  <c r="G38" i="1" s="1"/>
  <c r="C135" i="8"/>
  <c r="K134" i="8"/>
  <c r="J38" i="1" s="1"/>
  <c r="G134" i="8"/>
  <c r="M38" i="1" s="1"/>
  <c r="W129" i="8"/>
  <c r="Y129" i="8" s="1"/>
  <c r="U130" i="8" s="1"/>
  <c r="H128" i="8"/>
  <c r="G128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K61" i="8" s="1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601" i="8"/>
  <c r="K601" i="8" s="1"/>
  <c r="C601" i="8"/>
  <c r="G71" i="1" s="1"/>
  <c r="C600" i="8"/>
  <c r="F71" i="1" s="1"/>
  <c r="J71" i="1"/>
  <c r="G599" i="8"/>
  <c r="M71" i="1" s="1"/>
  <c r="H593" i="8"/>
  <c r="G593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3" i="1"/>
  <c r="H73" i="1"/>
  <c r="E73" i="1"/>
  <c r="B73" i="1"/>
  <c r="H68" i="1"/>
  <c r="E68" i="1"/>
  <c r="H33" i="1"/>
  <c r="E33" i="1"/>
  <c r="B33" i="1"/>
  <c r="H57" i="1"/>
  <c r="E57" i="1"/>
  <c r="H50" i="1"/>
  <c r="E50" i="1"/>
  <c r="H76" i="1"/>
  <c r="E76" i="1"/>
  <c r="H87" i="1"/>
  <c r="E87" i="1"/>
  <c r="E25" i="1"/>
  <c r="B25" i="1"/>
  <c r="H42" i="1"/>
  <c r="E42" i="1"/>
  <c r="H48" i="1"/>
  <c r="E48" i="1"/>
  <c r="H60" i="1"/>
  <c r="E60" i="1"/>
  <c r="H56" i="1"/>
  <c r="E56" i="1"/>
  <c r="B56" i="1"/>
  <c r="H77" i="1"/>
  <c r="E77" i="1"/>
  <c r="B77" i="1"/>
  <c r="H52" i="1"/>
  <c r="E52" i="1"/>
  <c r="B52" i="1"/>
  <c r="H49" i="1"/>
  <c r="E49" i="1"/>
  <c r="B49" i="1"/>
  <c r="H88" i="1"/>
  <c r="E88" i="1"/>
  <c r="H72" i="1"/>
  <c r="E72" i="1"/>
  <c r="H45" i="1"/>
  <c r="E45" i="1"/>
  <c r="B45" i="1"/>
  <c r="H31" i="1"/>
  <c r="E31" i="1"/>
  <c r="H63" i="1"/>
  <c r="E63" i="1"/>
  <c r="H44" i="1"/>
  <c r="E44" i="1"/>
  <c r="B44" i="1"/>
  <c r="H58" i="1"/>
  <c r="E58" i="1"/>
  <c r="H78" i="1"/>
  <c r="E78" i="1"/>
  <c r="H75" i="1"/>
  <c r="E75" i="1"/>
  <c r="B75" i="1"/>
  <c r="H40" i="1"/>
  <c r="E40" i="1"/>
  <c r="H39" i="1"/>
  <c r="E39" i="1"/>
  <c r="H38" i="1"/>
  <c r="E38" i="1"/>
  <c r="B38" i="1"/>
  <c r="H37" i="1"/>
  <c r="E37" i="1"/>
  <c r="H30" i="1"/>
  <c r="E30" i="1"/>
  <c r="B30" i="1"/>
  <c r="H51" i="1"/>
  <c r="E51" i="1"/>
  <c r="B51" i="1"/>
  <c r="H64" i="1"/>
  <c r="E64" i="1"/>
  <c r="B64" i="1"/>
  <c r="H24" i="1"/>
  <c r="E24" i="1"/>
  <c r="B24" i="1"/>
  <c r="H23" i="1"/>
  <c r="E23" i="1"/>
  <c r="B23" i="1"/>
  <c r="H70" i="1"/>
  <c r="E70" i="1"/>
  <c r="B70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62" i="1"/>
  <c r="E62" i="1"/>
  <c r="B62" i="1"/>
  <c r="H14" i="1"/>
  <c r="E14" i="1"/>
  <c r="B14" i="1"/>
  <c r="H71" i="1"/>
  <c r="E71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I418" i="8" l="1"/>
  <c r="K725" i="8"/>
  <c r="O69" i="1"/>
  <c r="C332" i="8"/>
  <c r="I328" i="8" s="1"/>
  <c r="K328" i="8" s="1"/>
  <c r="K330" i="8" s="1"/>
  <c r="K332" i="8" s="1"/>
  <c r="F43" i="1"/>
  <c r="O43" i="1"/>
  <c r="K677" i="8"/>
  <c r="J65" i="1"/>
  <c r="F72" i="1"/>
  <c r="I658" i="8"/>
  <c r="K658" i="8" s="1"/>
  <c r="K660" i="8" s="1"/>
  <c r="K662" i="8" s="1"/>
  <c r="R316" i="8"/>
  <c r="R319" i="8" s="1"/>
  <c r="R320" i="8" s="1"/>
  <c r="C452" i="8"/>
  <c r="I448" i="8" s="1"/>
  <c r="U788" i="8"/>
  <c r="W788" i="8" s="1"/>
  <c r="Y788" i="8" s="1"/>
  <c r="G789" i="8" s="1"/>
  <c r="I298" i="8"/>
  <c r="K298" i="8" s="1"/>
  <c r="K300" i="8" s="1"/>
  <c r="K302" i="8" s="1"/>
  <c r="I268" i="8"/>
  <c r="K268" i="8" s="1"/>
  <c r="K270" i="8" s="1"/>
  <c r="K272" i="8" s="1"/>
  <c r="I568" i="8"/>
  <c r="K568" i="8" s="1"/>
  <c r="K570" i="8" s="1"/>
  <c r="K572" i="8" s="1"/>
  <c r="F75" i="1"/>
  <c r="U312" i="8"/>
  <c r="W312" i="8" s="1"/>
  <c r="Y312" i="8" s="1"/>
  <c r="U115" i="8"/>
  <c r="W115" i="8" s="1"/>
  <c r="Y115" i="8" s="1"/>
  <c r="I223" i="8"/>
  <c r="K223" i="8" s="1"/>
  <c r="K225" i="8" s="1"/>
  <c r="E46" i="1"/>
  <c r="I598" i="8"/>
  <c r="I71" i="1" s="1"/>
  <c r="I283" i="8"/>
  <c r="K283" i="8" s="1"/>
  <c r="K285" i="8" s="1"/>
  <c r="K287" i="8" s="1"/>
  <c r="F17" i="1"/>
  <c r="E34" i="1"/>
  <c r="E65" i="1"/>
  <c r="F14" i="1"/>
  <c r="I73" i="8"/>
  <c r="K73" i="8" s="1"/>
  <c r="K75" i="8" s="1"/>
  <c r="K77" i="8" s="1"/>
  <c r="J27" i="1"/>
  <c r="I553" i="8"/>
  <c r="K553" i="8" s="1"/>
  <c r="K555" i="8" s="1"/>
  <c r="E27" i="1"/>
  <c r="W520" i="8"/>
  <c r="Y520" i="8" s="1"/>
  <c r="U521" i="8" s="1"/>
  <c r="W296" i="8"/>
  <c r="Y296" i="8" s="1"/>
  <c r="U297" i="8" s="1"/>
  <c r="F68" i="1"/>
  <c r="K373" i="8"/>
  <c r="K375" i="8" s="1"/>
  <c r="F56" i="1"/>
  <c r="I478" i="8"/>
  <c r="J79" i="1"/>
  <c r="E53" i="1"/>
  <c r="J43" i="1"/>
  <c r="U1" i="8"/>
  <c r="C726" i="8"/>
  <c r="M81" i="1"/>
  <c r="I508" i="8"/>
  <c r="I23" i="1" s="1"/>
  <c r="I238" i="8"/>
  <c r="C678" i="8"/>
  <c r="I674" i="8" s="1"/>
  <c r="I43" i="8"/>
  <c r="C758" i="8"/>
  <c r="I523" i="8"/>
  <c r="K523" i="8" s="1"/>
  <c r="K525" i="8" s="1"/>
  <c r="K527" i="8" s="1"/>
  <c r="C838" i="8"/>
  <c r="K148" i="8"/>
  <c r="K150" i="8" s="1"/>
  <c r="W40" i="8"/>
  <c r="Y40" i="8" s="1"/>
  <c r="U41" i="8" s="1"/>
  <c r="C773" i="8"/>
  <c r="C742" i="8"/>
  <c r="I133" i="8"/>
  <c r="F63" i="1"/>
  <c r="F39" i="1"/>
  <c r="F74" i="1"/>
  <c r="F50" i="1"/>
  <c r="F44" i="1"/>
  <c r="C710" i="8"/>
  <c r="I706" i="8" s="1"/>
  <c r="K706" i="8" s="1"/>
  <c r="K708" i="8" s="1"/>
  <c r="K70" i="1" s="1"/>
  <c r="U461" i="8"/>
  <c r="W461" i="8" s="1"/>
  <c r="Y461" i="8" s="1"/>
  <c r="K756" i="8"/>
  <c r="W205" i="8"/>
  <c r="Y205" i="8" s="1"/>
  <c r="U206" i="8" s="1"/>
  <c r="N16" i="1"/>
  <c r="W55" i="8"/>
  <c r="Y55" i="8" s="1"/>
  <c r="U56" i="8" s="1"/>
  <c r="W175" i="8"/>
  <c r="Y175" i="8" s="1"/>
  <c r="U176" i="8" s="1"/>
  <c r="I343" i="8"/>
  <c r="W130" i="8"/>
  <c r="Y130" i="8" s="1"/>
  <c r="U131" i="8" s="1"/>
  <c r="W220" i="8"/>
  <c r="Y220" i="8" s="1"/>
  <c r="U221" i="8" s="1"/>
  <c r="U417" i="8"/>
  <c r="W417" i="8" s="1"/>
  <c r="Y417" i="8" s="1"/>
  <c r="I103" i="8"/>
  <c r="K103" i="8" s="1"/>
  <c r="O77" i="1"/>
  <c r="F78" i="1"/>
  <c r="I163" i="8"/>
  <c r="Y314" i="8"/>
  <c r="I358" i="8"/>
  <c r="I643" i="8"/>
  <c r="C806" i="8"/>
  <c r="I208" i="8"/>
  <c r="L88" i="1"/>
  <c r="K418" i="8"/>
  <c r="K420" i="8" s="1"/>
  <c r="K422" i="8" s="1"/>
  <c r="I388" i="8"/>
  <c r="C822" i="8"/>
  <c r="I818" i="8" s="1"/>
  <c r="O88" i="1"/>
  <c r="P88" i="1"/>
  <c r="O70" i="1"/>
  <c r="O49" i="1"/>
  <c r="W236" i="8"/>
  <c r="Y236" i="8" s="1"/>
  <c r="U237" i="8" s="1"/>
  <c r="I628" i="8"/>
  <c r="G615" i="8"/>
  <c r="N40" i="1" s="1"/>
  <c r="I463" i="8"/>
  <c r="I193" i="8"/>
  <c r="F38" i="1"/>
  <c r="K771" i="8"/>
  <c r="K773" i="8" s="1"/>
  <c r="O40" i="1"/>
  <c r="K722" i="8"/>
  <c r="K785" i="8"/>
  <c r="K787" i="8" s="1"/>
  <c r="K789" i="8" s="1"/>
  <c r="O73" i="1"/>
  <c r="O57" i="1"/>
  <c r="O56" i="1"/>
  <c r="O33" i="1"/>
  <c r="K196" i="8"/>
  <c r="O41" i="1"/>
  <c r="O64" i="1"/>
  <c r="K241" i="8"/>
  <c r="K556" i="8"/>
  <c r="O30" i="1"/>
  <c r="O39" i="1"/>
  <c r="K481" i="8"/>
  <c r="O24" i="1"/>
  <c r="O32" i="1"/>
  <c r="K121" i="8"/>
  <c r="O17" i="1"/>
  <c r="K496" i="8"/>
  <c r="O25" i="1"/>
  <c r="O62" i="1"/>
  <c r="O23" i="1"/>
  <c r="O38" i="1"/>
  <c r="O72" i="1"/>
  <c r="O61" i="1"/>
  <c r="F57" i="1"/>
  <c r="O31" i="1"/>
  <c r="O19" i="1"/>
  <c r="O42" i="1"/>
  <c r="O60" i="1"/>
  <c r="O78" i="1"/>
  <c r="I433" i="8"/>
  <c r="K740" i="8"/>
  <c r="K742" i="8" s="1"/>
  <c r="O15" i="1"/>
  <c r="K693" i="8"/>
  <c r="O44" i="1"/>
  <c r="K391" i="8"/>
  <c r="O51" i="1"/>
  <c r="O87" i="1"/>
  <c r="P40" i="1"/>
  <c r="O90" i="1"/>
  <c r="G538" i="8"/>
  <c r="L32" i="1" s="1"/>
  <c r="O68" i="1"/>
  <c r="O26" i="1"/>
  <c r="O58" i="1"/>
  <c r="O52" i="1"/>
  <c r="K802" i="8"/>
  <c r="K804" i="8" s="1"/>
  <c r="O76" i="1"/>
  <c r="K436" i="8"/>
  <c r="O37" i="1"/>
  <c r="O14" i="1"/>
  <c r="J49" i="1"/>
  <c r="J53" i="1" s="1"/>
  <c r="K376" i="8"/>
  <c r="K406" i="8"/>
  <c r="O63" i="1"/>
  <c r="O59" i="1"/>
  <c r="O75" i="1"/>
  <c r="G754" i="8"/>
  <c r="W760" i="8"/>
  <c r="Y760" i="8" s="1"/>
  <c r="K838" i="8"/>
  <c r="G834" i="8"/>
  <c r="W840" i="8"/>
  <c r="W424" i="8"/>
  <c r="O71" i="1"/>
  <c r="G88" i="8"/>
  <c r="L68" i="1" s="1"/>
  <c r="G769" i="8"/>
  <c r="W775" i="8"/>
  <c r="G343" i="8"/>
  <c r="L52" i="1" s="1"/>
  <c r="K226" i="8"/>
  <c r="Y722" i="8"/>
  <c r="G193" i="8"/>
  <c r="L41" i="1" s="1"/>
  <c r="G802" i="8"/>
  <c r="W808" i="8"/>
  <c r="G583" i="8"/>
  <c r="L77" i="1" s="1"/>
  <c r="G613" i="8"/>
  <c r="L40" i="1" s="1"/>
  <c r="N88" i="1"/>
  <c r="G508" i="8"/>
  <c r="L23" i="1" s="1"/>
  <c r="W744" i="8"/>
  <c r="G738" i="8"/>
  <c r="G785" i="8"/>
  <c r="W791" i="8"/>
  <c r="G358" i="8"/>
  <c r="L49" i="1" s="1"/>
  <c r="G674" i="8"/>
  <c r="L43" i="1" s="1"/>
  <c r="G103" i="8"/>
  <c r="L73" i="1" s="1"/>
  <c r="W394" i="8"/>
  <c r="G388" i="8"/>
  <c r="L51" i="1" s="1"/>
  <c r="K724" i="8" l="1"/>
  <c r="K69" i="1" s="1"/>
  <c r="E69" i="1"/>
  <c r="E79" i="1" s="1"/>
  <c r="C317" i="8"/>
  <c r="I313" i="8" s="1"/>
  <c r="K313" i="8" s="1"/>
  <c r="K315" i="8" s="1"/>
  <c r="K317" i="8" s="1"/>
  <c r="Q58" i="1" s="1"/>
  <c r="K227" i="8"/>
  <c r="R256" i="8"/>
  <c r="R259" i="8" s="1"/>
  <c r="R260" i="8" s="1"/>
  <c r="K557" i="8"/>
  <c r="K377" i="8"/>
  <c r="K39" i="1"/>
  <c r="K152" i="8"/>
  <c r="U315" i="8"/>
  <c r="W315" i="8" s="1"/>
  <c r="Y315" i="8" s="1"/>
  <c r="U316" i="8" s="1"/>
  <c r="W316" i="8" s="1"/>
  <c r="K59" i="1"/>
  <c r="U313" i="8"/>
  <c r="W313" i="8" s="1"/>
  <c r="Y313" i="8" s="1"/>
  <c r="U314" i="8" s="1"/>
  <c r="U116" i="8"/>
  <c r="W116" i="8" s="1"/>
  <c r="Y116" i="8" s="1"/>
  <c r="I583" i="8"/>
  <c r="K583" i="8" s="1"/>
  <c r="K585" i="8" s="1"/>
  <c r="I43" i="1"/>
  <c r="K118" i="8"/>
  <c r="K120" i="8" s="1"/>
  <c r="K122" i="8" s="1"/>
  <c r="K463" i="8"/>
  <c r="K465" i="8" s="1"/>
  <c r="K467" i="8" s="1"/>
  <c r="Q57" i="1"/>
  <c r="W521" i="8"/>
  <c r="Y521" i="8" s="1"/>
  <c r="U522" i="8" s="1"/>
  <c r="W297" i="8"/>
  <c r="Y297" i="8" s="1"/>
  <c r="U298" i="8" s="1"/>
  <c r="J46" i="1"/>
  <c r="K43" i="8"/>
  <c r="K45" i="8" s="1"/>
  <c r="K47" i="8" s="1"/>
  <c r="I538" i="8"/>
  <c r="K538" i="8" s="1"/>
  <c r="K540" i="8" s="1"/>
  <c r="K542" i="8" s="1"/>
  <c r="K388" i="8"/>
  <c r="K390" i="8" s="1"/>
  <c r="K392" i="8" s="1"/>
  <c r="K238" i="8"/>
  <c r="K240" i="8" s="1"/>
  <c r="K242" i="8" s="1"/>
  <c r="Q18" i="1"/>
  <c r="K56" i="1"/>
  <c r="K628" i="8"/>
  <c r="K630" i="8" s="1"/>
  <c r="K632" i="8" s="1"/>
  <c r="K358" i="8"/>
  <c r="K360" i="8" s="1"/>
  <c r="K362" i="8" s="1"/>
  <c r="O81" i="1"/>
  <c r="K133" i="8"/>
  <c r="K135" i="8" s="1"/>
  <c r="K137" i="8" s="1"/>
  <c r="I88" i="8"/>
  <c r="I58" i="8"/>
  <c r="K692" i="8"/>
  <c r="K45" i="1"/>
  <c r="W41" i="8"/>
  <c r="Y41" i="8" s="1"/>
  <c r="U42" i="8" s="1"/>
  <c r="I178" i="8"/>
  <c r="K178" i="8" s="1"/>
  <c r="K180" i="8" s="1"/>
  <c r="K182" i="8" s="1"/>
  <c r="K33" i="1"/>
  <c r="I74" i="1"/>
  <c r="K105" i="8"/>
  <c r="K107" i="8" s="1"/>
  <c r="K643" i="8"/>
  <c r="K645" i="8" s="1"/>
  <c r="U462" i="8"/>
  <c r="I18" i="1"/>
  <c r="W221" i="8"/>
  <c r="Y221" i="8" s="1"/>
  <c r="U222" i="8" s="1"/>
  <c r="W131" i="8"/>
  <c r="Y131" i="8" s="1"/>
  <c r="U132" i="8" s="1"/>
  <c r="W206" i="8"/>
  <c r="Y206" i="8" s="1"/>
  <c r="U207" i="8" s="1"/>
  <c r="W56" i="8"/>
  <c r="Y56" i="8" s="1"/>
  <c r="U57" i="8" s="1"/>
  <c r="W176" i="8"/>
  <c r="Y176" i="8" s="1"/>
  <c r="U177" i="8" s="1"/>
  <c r="K18" i="1"/>
  <c r="K710" i="8"/>
  <c r="Q70" i="1" s="1"/>
  <c r="I75" i="1"/>
  <c r="K14" i="1"/>
  <c r="Q14" i="1"/>
  <c r="K208" i="8"/>
  <c r="K210" i="8" s="1"/>
  <c r="K212" i="8" s="1"/>
  <c r="K343" i="8"/>
  <c r="K345" i="8" s="1"/>
  <c r="K347" i="8" s="1"/>
  <c r="I52" i="1"/>
  <c r="I57" i="1"/>
  <c r="U418" i="8"/>
  <c r="W418" i="8" s="1"/>
  <c r="Y418" i="8" s="1"/>
  <c r="W255" i="8"/>
  <c r="Y255" i="8" s="1"/>
  <c r="K818" i="8"/>
  <c r="K820" i="8" s="1"/>
  <c r="K163" i="8"/>
  <c r="K165" i="8" s="1"/>
  <c r="G710" i="8"/>
  <c r="P70" i="1" s="1"/>
  <c r="K193" i="8"/>
  <c r="K195" i="8" s="1"/>
  <c r="K197" i="8" s="1"/>
  <c r="I30" i="1"/>
  <c r="I58" i="1"/>
  <c r="I50" i="1"/>
  <c r="I14" i="1"/>
  <c r="I19" i="1"/>
  <c r="K598" i="8"/>
  <c r="K600" i="8" s="1"/>
  <c r="K602" i="8" s="1"/>
  <c r="W237" i="8"/>
  <c r="K508" i="8"/>
  <c r="K510" i="8" s="1"/>
  <c r="K512" i="8" s="1"/>
  <c r="I60" i="1"/>
  <c r="I61" i="1"/>
  <c r="I38" i="1"/>
  <c r="I39" i="1"/>
  <c r="I59" i="1"/>
  <c r="I63" i="1"/>
  <c r="I31" i="1"/>
  <c r="I45" i="1"/>
  <c r="I72" i="1"/>
  <c r="I56" i="1"/>
  <c r="I78" i="1"/>
  <c r="I26" i="1"/>
  <c r="I49" i="1"/>
  <c r="I70" i="1"/>
  <c r="I33" i="1"/>
  <c r="I24" i="1"/>
  <c r="K478" i="8"/>
  <c r="K480" i="8" s="1"/>
  <c r="K482" i="8" s="1"/>
  <c r="I73" i="1"/>
  <c r="K433" i="8"/>
  <c r="K435" i="8" s="1"/>
  <c r="W761" i="8"/>
  <c r="I44" i="1"/>
  <c r="K806" i="8"/>
  <c r="P32" i="1"/>
  <c r="G540" i="8"/>
  <c r="N32" i="1" s="1"/>
  <c r="K50" i="1"/>
  <c r="I87" i="1"/>
  <c r="Q31" i="1"/>
  <c r="K31" i="1"/>
  <c r="K57" i="1"/>
  <c r="K726" i="8"/>
  <c r="Q69" i="1" s="1"/>
  <c r="K72" i="1"/>
  <c r="K63" i="1"/>
  <c r="K30" i="1"/>
  <c r="K58" i="1"/>
  <c r="Y394" i="8"/>
  <c r="Y791" i="8"/>
  <c r="G787" i="8"/>
  <c r="G804" i="8"/>
  <c r="Y808" i="8"/>
  <c r="G806" i="8" s="1"/>
  <c r="G195" i="8"/>
  <c r="N41" i="1" s="1"/>
  <c r="P41" i="1"/>
  <c r="G836" i="8"/>
  <c r="Y840" i="8"/>
  <c r="G838" i="8" s="1"/>
  <c r="P49" i="1"/>
  <c r="G360" i="8"/>
  <c r="N49" i="1" s="1"/>
  <c r="P23" i="1"/>
  <c r="G510" i="8"/>
  <c r="N23" i="1" s="1"/>
  <c r="P52" i="1"/>
  <c r="G345" i="8"/>
  <c r="N52" i="1" s="1"/>
  <c r="G771" i="8"/>
  <c r="Y775" i="8"/>
  <c r="G773" i="8" s="1"/>
  <c r="G678" i="8"/>
  <c r="P43" i="1" s="1"/>
  <c r="G676" i="8"/>
  <c r="N43" i="1" s="1"/>
  <c r="P77" i="1"/>
  <c r="G585" i="8"/>
  <c r="N77" i="1" s="1"/>
  <c r="Q61" i="1"/>
  <c r="K61" i="1"/>
  <c r="U723" i="8"/>
  <c r="Y744" i="8"/>
  <c r="G742" i="8" s="1"/>
  <c r="G740" i="8"/>
  <c r="Y424" i="8"/>
  <c r="C257" i="8" l="1"/>
  <c r="I253" i="8" s="1"/>
  <c r="I62" i="1" s="1"/>
  <c r="AB147" i="8"/>
  <c r="Y316" i="8"/>
  <c r="G317" i="8" s="1"/>
  <c r="K647" i="8"/>
  <c r="Q42" i="1" s="1"/>
  <c r="K74" i="1"/>
  <c r="K437" i="8"/>
  <c r="K167" i="8"/>
  <c r="Q78" i="1" s="1"/>
  <c r="U117" i="8"/>
  <c r="W117" i="8" s="1"/>
  <c r="Y117" i="8" s="1"/>
  <c r="U118" i="8" s="1"/>
  <c r="I77" i="1"/>
  <c r="K77" i="1"/>
  <c r="Q77" i="1"/>
  <c r="R77" i="1" s="1"/>
  <c r="K674" i="8"/>
  <c r="K676" i="8" s="1"/>
  <c r="I17" i="1"/>
  <c r="K17" i="1"/>
  <c r="Q17" i="1"/>
  <c r="K26" i="1"/>
  <c r="K51" i="1"/>
  <c r="Q51" i="1"/>
  <c r="W298" i="8"/>
  <c r="Y298" i="8" s="1"/>
  <c r="U299" i="8" s="1"/>
  <c r="I68" i="1"/>
  <c r="Q30" i="1"/>
  <c r="Q19" i="1"/>
  <c r="K19" i="1"/>
  <c r="K87" i="1"/>
  <c r="I32" i="1"/>
  <c r="Q37" i="1"/>
  <c r="K32" i="1"/>
  <c r="I51" i="1"/>
  <c r="W42" i="8"/>
  <c r="Y42" i="8" s="1"/>
  <c r="U43" i="8" s="1"/>
  <c r="K73" i="1"/>
  <c r="Q63" i="1"/>
  <c r="Q64" i="1"/>
  <c r="K64" i="1"/>
  <c r="I64" i="1"/>
  <c r="Q45" i="1"/>
  <c r="I15" i="1"/>
  <c r="K60" i="1"/>
  <c r="Q60" i="1"/>
  <c r="S14" i="1"/>
  <c r="K49" i="1"/>
  <c r="Q49" i="1"/>
  <c r="Q56" i="1"/>
  <c r="K38" i="1"/>
  <c r="K44" i="1"/>
  <c r="K694" i="8"/>
  <c r="Q44" i="1" s="1"/>
  <c r="S44" i="1" s="1"/>
  <c r="I613" i="8"/>
  <c r="K24" i="1"/>
  <c r="Q50" i="1"/>
  <c r="K37" i="1"/>
  <c r="I37" i="1"/>
  <c r="Q59" i="1"/>
  <c r="K71" i="1"/>
  <c r="W462" i="8"/>
  <c r="Q11" i="1"/>
  <c r="S11" i="1"/>
  <c r="R70" i="1"/>
  <c r="I42" i="1"/>
  <c r="D7" i="1"/>
  <c r="W177" i="8"/>
  <c r="Y177" i="8" s="1"/>
  <c r="U178" i="8" s="1"/>
  <c r="W57" i="8"/>
  <c r="Y57" i="8" s="1"/>
  <c r="U58" i="8" s="1"/>
  <c r="W58" i="8" s="1"/>
  <c r="W222" i="8"/>
  <c r="Y222" i="8" s="1"/>
  <c r="U223" i="8" s="1"/>
  <c r="W207" i="8"/>
  <c r="Y207" i="8" s="1"/>
  <c r="U208" i="8" s="1"/>
  <c r="W132" i="8"/>
  <c r="Y132" i="8" s="1"/>
  <c r="U133" i="8" s="1"/>
  <c r="Y761" i="8"/>
  <c r="G758" i="8" s="1"/>
  <c r="G756" i="8"/>
  <c r="K448" i="8"/>
  <c r="K450" i="8" s="1"/>
  <c r="K452" i="8" s="1"/>
  <c r="Q87" i="1"/>
  <c r="I76" i="1"/>
  <c r="K52" i="1"/>
  <c r="K76" i="1"/>
  <c r="G706" i="8"/>
  <c r="L70" i="1" s="1"/>
  <c r="I88" i="1"/>
  <c r="K88" i="1"/>
  <c r="Q88" i="1"/>
  <c r="G708" i="8"/>
  <c r="N70" i="1" s="1"/>
  <c r="W256" i="8"/>
  <c r="Y256" i="8" s="1"/>
  <c r="G257" i="8" s="1"/>
  <c r="U419" i="8"/>
  <c r="W419" i="8" s="1"/>
  <c r="Y419" i="8" s="1"/>
  <c r="K78" i="1"/>
  <c r="K90" i="1"/>
  <c r="Q90" i="1"/>
  <c r="I90" i="1"/>
  <c r="Q38" i="1"/>
  <c r="Q39" i="1"/>
  <c r="Q72" i="1"/>
  <c r="K23" i="1"/>
  <c r="I41" i="1"/>
  <c r="K41" i="1"/>
  <c r="Q41" i="1"/>
  <c r="W723" i="8"/>
  <c r="Y237" i="8"/>
  <c r="W425" i="8"/>
  <c r="Y425" i="8" s="1"/>
  <c r="Q33" i="1"/>
  <c r="K42" i="1"/>
  <c r="K253" i="8" l="1"/>
  <c r="K255" i="8" s="1"/>
  <c r="K62" i="1" s="1"/>
  <c r="K43" i="1"/>
  <c r="K678" i="8"/>
  <c r="Q43" i="1" s="1"/>
  <c r="K257" i="8"/>
  <c r="Q62" i="1" s="1"/>
  <c r="S62" i="1" s="1"/>
  <c r="W118" i="8"/>
  <c r="Y118" i="8" s="1"/>
  <c r="I493" i="8"/>
  <c r="K493" i="8" s="1"/>
  <c r="K495" i="8" s="1"/>
  <c r="K497" i="8" s="1"/>
  <c r="W319" i="8"/>
  <c r="Y319" i="8" s="1"/>
  <c r="Q32" i="1"/>
  <c r="Q34" i="1" s="1"/>
  <c r="Q26" i="1"/>
  <c r="S26" i="1" s="1"/>
  <c r="W299" i="8"/>
  <c r="Y299" i="8" s="1"/>
  <c r="U300" i="8" s="1"/>
  <c r="W522" i="8"/>
  <c r="Y522" i="8" s="1"/>
  <c r="U523" i="8" s="1"/>
  <c r="Q52" i="1"/>
  <c r="R52" i="1" s="1"/>
  <c r="R53" i="1" s="1"/>
  <c r="K88" i="8"/>
  <c r="K90" i="8" s="1"/>
  <c r="S30" i="1"/>
  <c r="Q76" i="1"/>
  <c r="Q23" i="1"/>
  <c r="D49" i="1"/>
  <c r="W43" i="8"/>
  <c r="Y43" i="8" s="1"/>
  <c r="U44" i="8" s="1"/>
  <c r="I40" i="1"/>
  <c r="K58" i="8"/>
  <c r="K60" i="8" s="1"/>
  <c r="K62" i="8" s="1"/>
  <c r="Q73" i="1"/>
  <c r="Q24" i="1"/>
  <c r="P61" i="1"/>
  <c r="I403" i="8"/>
  <c r="Q74" i="1"/>
  <c r="K613" i="8"/>
  <c r="K615" i="8" s="1"/>
  <c r="K617" i="8" s="1"/>
  <c r="Q71" i="1"/>
  <c r="Y462" i="8"/>
  <c r="U463" i="8" s="1"/>
  <c r="Y58" i="8"/>
  <c r="U59" i="8" s="1"/>
  <c r="G73" i="8"/>
  <c r="L14" i="1" s="1"/>
  <c r="G90" i="8"/>
  <c r="N68" i="1" s="1"/>
  <c r="W133" i="8"/>
  <c r="Y133" i="8" s="1"/>
  <c r="U134" i="8" s="1"/>
  <c r="W208" i="8"/>
  <c r="Y208" i="8" s="1"/>
  <c r="U209" i="8" s="1"/>
  <c r="W223" i="8"/>
  <c r="Y223" i="8" s="1"/>
  <c r="U224" i="8" s="1"/>
  <c r="W178" i="8"/>
  <c r="Y178" i="8" s="1"/>
  <c r="U179" i="8" s="1"/>
  <c r="P73" i="1"/>
  <c r="G105" i="8"/>
  <c r="N73" i="1" s="1"/>
  <c r="W320" i="8"/>
  <c r="G313" i="8"/>
  <c r="L58" i="1" s="1"/>
  <c r="K75" i="1"/>
  <c r="Q75" i="1"/>
  <c r="G478" i="8"/>
  <c r="L24" i="1" s="1"/>
  <c r="D90" i="1"/>
  <c r="U420" i="8"/>
  <c r="W420" i="8" s="1"/>
  <c r="Y420" i="8" s="1"/>
  <c r="Y723" i="8"/>
  <c r="U238" i="8"/>
  <c r="Q65" i="1" l="1"/>
  <c r="U421" i="8"/>
  <c r="K92" i="8"/>
  <c r="Q68" i="1" s="1"/>
  <c r="Q15" i="1"/>
  <c r="U119" i="8"/>
  <c r="W119" i="8" s="1"/>
  <c r="Y119" i="8" s="1"/>
  <c r="S75" i="1"/>
  <c r="S43" i="1"/>
  <c r="I25" i="1"/>
  <c r="E105" i="1"/>
  <c r="Q25" i="1"/>
  <c r="Q27" i="1" s="1"/>
  <c r="K25" i="1"/>
  <c r="W300" i="8"/>
  <c r="Y300" i="8" s="1"/>
  <c r="U301" i="8" s="1"/>
  <c r="K68" i="1"/>
  <c r="K403" i="8"/>
  <c r="K405" i="8" s="1"/>
  <c r="S23" i="1"/>
  <c r="S27" i="1" s="1"/>
  <c r="W44" i="8"/>
  <c r="Y44" i="8" s="1"/>
  <c r="U45" i="8" s="1"/>
  <c r="Q40" i="1"/>
  <c r="Q46" i="1" s="1"/>
  <c r="K15" i="1"/>
  <c r="G270" i="8"/>
  <c r="N61" i="1" s="1"/>
  <c r="G268" i="8"/>
  <c r="L61" i="1" s="1"/>
  <c r="K40" i="1"/>
  <c r="W463" i="8"/>
  <c r="G568" i="8"/>
  <c r="L33" i="1" s="1"/>
  <c r="W59" i="8"/>
  <c r="Y59" i="8" s="1"/>
  <c r="U60" i="8" s="1"/>
  <c r="W224" i="8"/>
  <c r="Y224" i="8" s="1"/>
  <c r="U225" i="8" s="1"/>
  <c r="W209" i="8"/>
  <c r="Y209" i="8" s="1"/>
  <c r="U210" i="8" s="1"/>
  <c r="W134" i="8"/>
  <c r="Y134" i="8" s="1"/>
  <c r="U135" i="8" s="1"/>
  <c r="Y320" i="8"/>
  <c r="P58" i="1" s="1"/>
  <c r="G315" i="8"/>
  <c r="N58" i="1" s="1"/>
  <c r="W179" i="8"/>
  <c r="Y179" i="8" s="1"/>
  <c r="U180" i="8" s="1"/>
  <c r="P14" i="1"/>
  <c r="G75" i="8"/>
  <c r="N14" i="1" s="1"/>
  <c r="P33" i="1"/>
  <c r="G570" i="8"/>
  <c r="N33" i="1" s="1"/>
  <c r="P24" i="1"/>
  <c r="G480" i="8"/>
  <c r="N24" i="1" s="1"/>
  <c r="W421" i="8"/>
  <c r="U724" i="8"/>
  <c r="W238" i="8"/>
  <c r="K48" i="1" l="1"/>
  <c r="K407" i="8"/>
  <c r="Q48" i="1" s="1"/>
  <c r="Q53" i="1" s="1"/>
  <c r="Q79" i="1"/>
  <c r="E104" i="1" s="1"/>
  <c r="U120" i="8"/>
  <c r="W120" i="8" s="1"/>
  <c r="Y120" i="8" s="1"/>
  <c r="U121" i="8" s="1"/>
  <c r="S46" i="1"/>
  <c r="T27" i="1"/>
  <c r="W45" i="8"/>
  <c r="Y45" i="8" s="1"/>
  <c r="E101" i="1"/>
  <c r="W301" i="8"/>
  <c r="Y301" i="8" s="1"/>
  <c r="G302" i="8" s="1"/>
  <c r="P6" i="12"/>
  <c r="R6" i="12" s="1"/>
  <c r="E99" i="1"/>
  <c r="I48" i="1"/>
  <c r="Y463" i="8"/>
  <c r="U464" i="8" s="1"/>
  <c r="W60" i="8"/>
  <c r="Y60" i="8" s="1"/>
  <c r="U61" i="8" s="1"/>
  <c r="W180" i="8"/>
  <c r="Y180" i="8" s="1"/>
  <c r="U181" i="8" s="1"/>
  <c r="G493" i="8"/>
  <c r="L25" i="1" s="1"/>
  <c r="W135" i="8"/>
  <c r="Y135" i="8" s="1"/>
  <c r="U136" i="8" s="1"/>
  <c r="W210" i="8"/>
  <c r="Y210" i="8" s="1"/>
  <c r="U211" i="8" s="1"/>
  <c r="W225" i="8"/>
  <c r="Y225" i="8" s="1"/>
  <c r="U226" i="8" s="1"/>
  <c r="Y421" i="8"/>
  <c r="G422" i="8" s="1"/>
  <c r="W390" i="8"/>
  <c r="Y390" i="8" s="1"/>
  <c r="W724" i="8"/>
  <c r="Y238" i="8"/>
  <c r="W391" i="8" l="1"/>
  <c r="Y391" i="8" s="1"/>
  <c r="G392" i="8" s="1"/>
  <c r="W46" i="8"/>
  <c r="Y46" i="8" s="1"/>
  <c r="G47" i="8" s="1"/>
  <c r="W121" i="8"/>
  <c r="Y121" i="8" s="1"/>
  <c r="U124" i="8" s="1"/>
  <c r="Q15" i="12"/>
  <c r="P15" i="12"/>
  <c r="P8" i="12"/>
  <c r="R8" i="12" s="1"/>
  <c r="W464" i="8"/>
  <c r="W136" i="8"/>
  <c r="Y136" i="8" s="1"/>
  <c r="G137" i="8" s="1"/>
  <c r="G433" i="8"/>
  <c r="L74" i="1" s="1"/>
  <c r="G690" i="8"/>
  <c r="L44" i="1" s="1"/>
  <c r="W181" i="8"/>
  <c r="Y181" i="8" s="1"/>
  <c r="G182" i="8" s="1"/>
  <c r="W226" i="8"/>
  <c r="Y226" i="8" s="1"/>
  <c r="G227" i="8" s="1"/>
  <c r="U49" i="8"/>
  <c r="W211" i="8"/>
  <c r="Y211" i="8" s="1"/>
  <c r="G212" i="8" s="1"/>
  <c r="W61" i="8"/>
  <c r="Y61" i="8" s="1"/>
  <c r="G62" i="8" s="1"/>
  <c r="P25" i="1"/>
  <c r="G495" i="8"/>
  <c r="N25" i="1" s="1"/>
  <c r="Y724" i="8"/>
  <c r="U239" i="8"/>
  <c r="G122" i="8" l="1"/>
  <c r="R15" i="12"/>
  <c r="E102" i="1"/>
  <c r="P126" i="1"/>
  <c r="Y464" i="8"/>
  <c r="U465" i="8" s="1"/>
  <c r="W49" i="8"/>
  <c r="Y49" i="8" s="1"/>
  <c r="U50" i="8" s="1"/>
  <c r="G403" i="8"/>
  <c r="L48" i="1" s="1"/>
  <c r="G694" i="8"/>
  <c r="P44" i="1" s="1"/>
  <c r="G692" i="8"/>
  <c r="N44" i="1" s="1"/>
  <c r="G373" i="8"/>
  <c r="L50" i="1" s="1"/>
  <c r="P74" i="1"/>
  <c r="G435" i="8"/>
  <c r="N74" i="1" s="1"/>
  <c r="G553" i="8"/>
  <c r="L30" i="1" s="1"/>
  <c r="G418" i="8"/>
  <c r="L72" i="1" s="1"/>
  <c r="U725" i="8"/>
  <c r="W239" i="8"/>
  <c r="W124" i="8" l="1"/>
  <c r="W465" i="8"/>
  <c r="G43" i="8"/>
  <c r="L19" i="1" s="1"/>
  <c r="W50" i="8"/>
  <c r="G405" i="8"/>
  <c r="N48" i="1" s="1"/>
  <c r="P48" i="1"/>
  <c r="G658" i="8"/>
  <c r="L63" i="1" s="1"/>
  <c r="G448" i="8"/>
  <c r="L75" i="1" s="1"/>
  <c r="P50" i="1"/>
  <c r="G375" i="8"/>
  <c r="N50" i="1" s="1"/>
  <c r="G283" i="8"/>
  <c r="L59" i="1" s="1"/>
  <c r="P30" i="1"/>
  <c r="G555" i="8"/>
  <c r="N30" i="1" s="1"/>
  <c r="W259" i="8"/>
  <c r="Y259" i="8" s="1"/>
  <c r="P72" i="1"/>
  <c r="G420" i="8"/>
  <c r="N72" i="1" s="1"/>
  <c r="W725" i="8"/>
  <c r="Y239" i="8"/>
  <c r="U240" i="8" s="1"/>
  <c r="Y124" i="8" l="1"/>
  <c r="G223" i="8"/>
  <c r="L45" i="1" s="1"/>
  <c r="Y465" i="8"/>
  <c r="P68" i="1"/>
  <c r="W214" i="8"/>
  <c r="Y214" i="8" s="1"/>
  <c r="W184" i="8"/>
  <c r="Y184" i="8" s="1"/>
  <c r="G818" i="8"/>
  <c r="L90" i="1" s="1"/>
  <c r="G643" i="8"/>
  <c r="L42" i="1" s="1"/>
  <c r="G328" i="8"/>
  <c r="L57" i="1" s="1"/>
  <c r="G628" i="8"/>
  <c r="L60" i="1" s="1"/>
  <c r="Y50" i="8"/>
  <c r="P19" i="1" s="1"/>
  <c r="G45" i="8"/>
  <c r="N19" i="1" s="1"/>
  <c r="P59" i="1"/>
  <c r="G285" i="8"/>
  <c r="N59" i="1" s="1"/>
  <c r="P75" i="1"/>
  <c r="G450" i="8"/>
  <c r="N75" i="1" s="1"/>
  <c r="W260" i="8"/>
  <c r="G253" i="8"/>
  <c r="L62" i="1" s="1"/>
  <c r="G148" i="8"/>
  <c r="L39" i="1" s="1"/>
  <c r="Y725" i="8"/>
  <c r="W185" i="8" l="1"/>
  <c r="Y185" i="8" s="1"/>
  <c r="P37" i="1" s="1"/>
  <c r="U125" i="8"/>
  <c r="W215" i="8"/>
  <c r="Y215" i="8" s="1"/>
  <c r="P76" i="1" s="1"/>
  <c r="W229" i="8"/>
  <c r="G58" i="8"/>
  <c r="L15" i="1" s="1"/>
  <c r="G208" i="8"/>
  <c r="L76" i="1" s="1"/>
  <c r="G178" i="8"/>
  <c r="L37" i="1" s="1"/>
  <c r="P51" i="1"/>
  <c r="G390" i="8"/>
  <c r="N51" i="1" s="1"/>
  <c r="U466" i="8"/>
  <c r="P60" i="1"/>
  <c r="G630" i="8"/>
  <c r="N60" i="1" s="1"/>
  <c r="G210" i="8"/>
  <c r="N76" i="1" s="1"/>
  <c r="P42" i="1"/>
  <c r="G645" i="8"/>
  <c r="N42" i="1" s="1"/>
  <c r="G662" i="8"/>
  <c r="P63" i="1" s="1"/>
  <c r="G660" i="8"/>
  <c r="N63" i="1" s="1"/>
  <c r="P57" i="1"/>
  <c r="G330" i="8"/>
  <c r="N57" i="1" s="1"/>
  <c r="G180" i="8"/>
  <c r="N37" i="1" s="1"/>
  <c r="G822" i="8"/>
  <c r="P90" i="1" s="1"/>
  <c r="G820" i="8"/>
  <c r="N90" i="1" s="1"/>
  <c r="Y260" i="8"/>
  <c r="P62" i="1" s="1"/>
  <c r="G255" i="8"/>
  <c r="N62" i="1" s="1"/>
  <c r="P39" i="1"/>
  <c r="G150" i="8"/>
  <c r="N39" i="1" s="1"/>
  <c r="U726" i="8"/>
  <c r="W240" i="8"/>
  <c r="W125" i="8" l="1"/>
  <c r="G118" i="8"/>
  <c r="L17" i="1" s="1"/>
  <c r="G298" i="8"/>
  <c r="L56" i="1" s="1"/>
  <c r="Y229" i="8"/>
  <c r="W65" i="8"/>
  <c r="L87" i="1"/>
  <c r="W466" i="8"/>
  <c r="W726" i="8"/>
  <c r="Y240" i="8"/>
  <c r="U241" i="8" s="1"/>
  <c r="Y125" i="8" l="1"/>
  <c r="P17" i="1" s="1"/>
  <c r="G120" i="8"/>
  <c r="N17" i="1" s="1"/>
  <c r="W230" i="8"/>
  <c r="W305" i="8"/>
  <c r="Y65" i="8"/>
  <c r="P15" i="1" s="1"/>
  <c r="G60" i="8"/>
  <c r="N15" i="1" s="1"/>
  <c r="P87" i="1"/>
  <c r="N87" i="1"/>
  <c r="W139" i="8"/>
  <c r="Y466" i="8"/>
  <c r="G467" i="8" s="1"/>
  <c r="Y726" i="8"/>
  <c r="W241" i="8"/>
  <c r="Y230" i="8" l="1"/>
  <c r="P45" i="1" s="1"/>
  <c r="G225" i="8"/>
  <c r="N45" i="1" s="1"/>
  <c r="Y305" i="8"/>
  <c r="P56" i="1" s="1"/>
  <c r="G300" i="8"/>
  <c r="N56" i="1" s="1"/>
  <c r="Y139" i="8"/>
  <c r="Y241" i="8"/>
  <c r="G242" i="8" s="1"/>
  <c r="U727" i="8"/>
  <c r="W727" i="8" l="1"/>
  <c r="W140" i="8" l="1"/>
  <c r="G133" i="8"/>
  <c r="L38" i="1" s="1"/>
  <c r="Y727" i="8"/>
  <c r="Y140" i="8" l="1"/>
  <c r="P38" i="1" s="1"/>
  <c r="G135" i="8"/>
  <c r="N38" i="1" s="1"/>
  <c r="U728" i="8"/>
  <c r="Y728" i="8" l="1"/>
  <c r="U729" i="8" s="1"/>
  <c r="W729" i="8" s="1"/>
  <c r="U244" i="8" l="1"/>
  <c r="G722" i="8"/>
  <c r="L69" i="1" s="1"/>
  <c r="Y729" i="8"/>
  <c r="G726" i="8" s="1"/>
  <c r="P69" i="1" s="1"/>
  <c r="G724" i="8"/>
  <c r="N69" i="1" s="1"/>
  <c r="W244" i="8" l="1"/>
  <c r="U469" i="8"/>
  <c r="W594" i="8"/>
  <c r="Y594" i="8" s="1"/>
  <c r="Y244" i="8" l="1"/>
  <c r="W469" i="8"/>
  <c r="W595" i="8"/>
  <c r="Y595" i="8" s="1"/>
  <c r="U245" i="8" l="1"/>
  <c r="Y469" i="8"/>
  <c r="W596" i="8"/>
  <c r="Y596" i="8" s="1"/>
  <c r="W245" i="8" l="1"/>
  <c r="G238" i="8"/>
  <c r="L64" i="1" s="1"/>
  <c r="U470" i="8"/>
  <c r="W597" i="8"/>
  <c r="Y597" i="8" s="1"/>
  <c r="Y245" i="8" l="1"/>
  <c r="P64" i="1" s="1"/>
  <c r="G240" i="8"/>
  <c r="N64" i="1" s="1"/>
  <c r="W598" i="8"/>
  <c r="Y598" i="8" s="1"/>
  <c r="W599" i="8" s="1"/>
  <c r="Y599" i="8" s="1"/>
  <c r="W470" i="8"/>
  <c r="G463" i="8"/>
  <c r="L26" i="1" s="1"/>
  <c r="Y470" i="8" l="1"/>
  <c r="P26" i="1" s="1"/>
  <c r="G465" i="8"/>
  <c r="N26" i="1" s="1"/>
  <c r="Y600" i="8"/>
  <c r="U601" i="8" l="1"/>
  <c r="L18" i="1"/>
  <c r="W601" i="8" l="1"/>
  <c r="Y601" i="8" s="1"/>
  <c r="G602" i="8" s="1"/>
  <c r="U604" i="8" l="1"/>
  <c r="W604" i="8" l="1"/>
  <c r="Y604" i="8" l="1"/>
  <c r="O111" i="1"/>
  <c r="U605" i="8" l="1"/>
  <c r="W605" i="8" l="1"/>
  <c r="G598" i="8"/>
  <c r="L71" i="1" s="1"/>
  <c r="Y605" i="8" l="1"/>
  <c r="P71" i="1" s="1"/>
  <c r="G600" i="8"/>
  <c r="N71" i="1" s="1"/>
  <c r="P18" i="1" l="1"/>
  <c r="N18" i="1"/>
  <c r="E16" i="1"/>
  <c r="E20" i="1" s="1"/>
  <c r="E81" i="1" s="1"/>
  <c r="J16" i="1"/>
  <c r="J20" i="1" s="1"/>
  <c r="K16" i="1" l="1"/>
  <c r="K20" i="1" s="1"/>
  <c r="R1" i="8" l="1"/>
  <c r="Q16" i="1" l="1"/>
  <c r="Q20" i="1" l="1"/>
  <c r="Q81" i="1" s="1"/>
  <c r="E98" i="1" l="1"/>
  <c r="W159" i="8"/>
  <c r="Y159" i="8" s="1"/>
  <c r="U160" i="8" s="1"/>
  <c r="W160" i="8" l="1"/>
  <c r="Y160" i="8" s="1"/>
  <c r="U161" i="8" s="1"/>
  <c r="W161" i="8" l="1"/>
  <c r="Y161" i="8" s="1"/>
  <c r="U162" i="8" s="1"/>
  <c r="W162" i="8" l="1"/>
  <c r="Y162" i="8" l="1"/>
  <c r="U163" i="8" s="1"/>
  <c r="W163" i="8" l="1"/>
  <c r="Y163" i="8" s="1"/>
  <c r="U164" i="8" s="1"/>
  <c r="W164" i="8" l="1"/>
  <c r="Y164" i="8" s="1"/>
  <c r="U165" i="8" s="1"/>
  <c r="W165" i="8" l="1"/>
  <c r="Y165" i="8" l="1"/>
  <c r="U166" i="8" s="1"/>
  <c r="P12" i="12" l="1"/>
  <c r="W166" i="8" l="1"/>
  <c r="R12" i="12"/>
  <c r="Y166" i="8" l="1"/>
  <c r="G167" i="8" s="1"/>
  <c r="U169" i="8" l="1"/>
  <c r="G163" i="8" l="1"/>
  <c r="L78" i="1" s="1"/>
  <c r="W169" i="8" l="1"/>
  <c r="Y169" i="8" l="1"/>
  <c r="U170" i="8" s="1"/>
  <c r="W170" i="8" l="1"/>
  <c r="Y170" i="8" l="1"/>
  <c r="P78" i="1" s="1"/>
  <c r="G165" i="8"/>
  <c r="N78" i="1" s="1"/>
  <c r="Q13" i="12"/>
  <c r="P13" i="12"/>
  <c r="P16" i="12" s="1"/>
  <c r="R13" i="12" l="1"/>
  <c r="R16" i="12" s="1"/>
  <c r="Q16" i="12"/>
  <c r="W523" i="8" l="1"/>
  <c r="Y523" i="8" l="1"/>
  <c r="U524" i="8" s="1"/>
  <c r="W524" i="8" l="1"/>
  <c r="Y524" i="8" s="1"/>
  <c r="U525" i="8" s="1"/>
  <c r="W525" i="8" l="1"/>
  <c r="Y525" i="8" l="1"/>
  <c r="U526" i="8" s="1"/>
  <c r="W526" i="8" l="1"/>
  <c r="Y526" i="8" l="1"/>
  <c r="G527" i="8" s="1"/>
  <c r="U529" i="8" l="1"/>
  <c r="D16" i="1"/>
  <c r="D69" i="1"/>
  <c r="E100" i="1"/>
  <c r="W529" i="8" l="1"/>
  <c r="G523" i="8"/>
  <c r="L31" i="1" s="1"/>
  <c r="L81" i="1" s="1"/>
  <c r="E103" i="1"/>
  <c r="I95" i="1"/>
  <c r="E107" i="1" l="1"/>
  <c r="G104" i="1" s="1"/>
  <c r="Y529" i="8"/>
  <c r="G525" i="8"/>
  <c r="N31" i="1" s="1"/>
  <c r="N81" i="1" s="1"/>
  <c r="P31" i="1" l="1"/>
  <c r="P81" i="1" s="1"/>
  <c r="U530" i="8"/>
  <c r="W530" i="8" s="1"/>
  <c r="Y530" i="8" s="1"/>
  <c r="D88" i="1" l="1"/>
  <c r="D87" i="1" l="1"/>
  <c r="D60" i="1"/>
  <c r="S79" i="1" l="1"/>
  <c r="S34" i="1"/>
  <c r="R81" i="1"/>
  <c r="R65" i="1"/>
  <c r="J34" i="1"/>
  <c r="J81" i="1"/>
  <c r="R79" i="1"/>
  <c r="S81" i="1"/>
  <c r="S65" i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5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07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3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1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1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3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4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6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9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70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<sst xmlns="http://schemas.openxmlformats.org/spreadsheetml/2006/main" count="3366" uniqueCount="224">
  <si>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</si>
  <si>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</si>
  <si>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</si>
  <si>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</si>
  <si>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</si>
  <si>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</si>
  <si>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</si>
  <si>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</si>
  <si>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</si>
  <si>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</si>
  <si>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</si>
  <si>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</si>
  <si>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</si>
  <si>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</si>
  <si>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</si>
  <si>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</si>
  <si>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</si>
  <si>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</si>
  <si>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</si>
  <si>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</si>
  <si>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</si>
  <si>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</si>
  <si>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</si>
  <si>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</si>
  <si>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</si>
  <si>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</si>
  <si>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</si>
  <si>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</si>
  <si>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</si>
  <si>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</si>
  <si>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</si>
  <si>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</si>
  <si>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</si>
  <si>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</si>
  <si>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</si>
  <si>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</si>
  <si>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</si>
  <si>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</si>
  <si>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</si>
  <si>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</si>
  <si>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</si>
  <si>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</si>
  <si>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</si>
  <si>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</si>
  <si>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</si>
  <si>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</si>
  <si>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</si>
  <si>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</si>
  <si>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</si>
  <si>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</si>
  <si>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</si>
  <si>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</si>
  <si>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</si>
  <si>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</si>
  <si>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</si>
  <si>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</si>
  <si>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</si>
  <si>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</si>
  <si>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</si>
  <si>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</si>
  <si>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</si>
  <si>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</si>
  <si>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</si>
  <si>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</si>
  <si>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</si>
  <si>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</si>
  <si>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</si>
  <si>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</si>
  <si>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</si>
  <si>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</si>
  <si>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</si>
  <si>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</si>
  <si>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</si>
  <si>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</si>
  <si>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</si>
  <si>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</si>
  <si>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</si>
  <si>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</si>
  <si>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</si>
  <si>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</si>
  <si>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</si>
  <si>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</si>
  <si>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</si>
  <si>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</si>
  <si>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</si>
  <si>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</si>
  <si>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</si>
  <si>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</si>
  <si>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</si>
  <si>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</si>
  <si>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</si>
  <si>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</si>
  <si>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</si>
  <si>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</si>
  <si>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</si>
  <si>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</si>
  <si>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</si>
  <si>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</si>
  <si>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</si>
  <si>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</si>
  <si>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</si>
  <si>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</si>
  <si>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</si>
  <si>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</si>
  <si>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</si>
  <si>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</si>
  <si>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</si>
  <si>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</si>
  <si>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</si>
  <si>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</si>
  <si>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</si>
  <si>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</si>
  <si>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</si>
  <si>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</si>
  <si>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</si>
  <si>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</si>
  <si>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</si>
  <si>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</si>
  <si>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</si>
  <si>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</si>
  <si>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</si>
  <si>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</si>
  <si>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</si>
  <si>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</si>
  <si>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</si>
  <si>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</si>
  <si>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</si>
  <si>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</si>
  <si>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</si>
  <si>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</si>
  <si>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</si>
  <si>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</si>
  <si>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</si>
  <si>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</si>
  <si>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</si>
  <si>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</si>
  <si>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</si>
  <si>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</si>
  <si>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</si>
  <si>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</si>
  <si>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</si>
  <si>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</si>
  <si>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</si>
  <si>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</si>
  <si>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</si>
  <si>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</si>
  <si>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</si>
  <si>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</si>
  <si>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</si>
  <si>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</si>
  <si>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</si>
  <si>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</si>
  <si>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</si>
  <si>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</si>
  <si>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</si>
  <si>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</si>
  <si>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</si>
  <si>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</si>
  <si>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</si>
  <si>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</si>
  <si>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</si>
  <si>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</si>
  <si>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</si>
  <si>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</si>
  <si>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</si>
  <si>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</si>
  <si>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</si>
  <si>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</si>
  <si>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</si>
  <si>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</si>
  <si>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</si>
  <si>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</si>
  <si>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</si>
  <si>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</si>
  <si>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</si>
  <si>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</si>
  <si>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</si>
  <si>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</si>
  <si>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</si>
  <si>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</si>
  <si>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</si>
  <si>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</si>
  <si>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</si>
  <si>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</si>
  <si>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</si>
  <si>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</si>
  <si>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</si>
  <si>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</si>
  <si>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</si>
  <si>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</si>
  <si>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</si>
  <si>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</si>
  <si>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</si>
  <si>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</si>
  <si>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</si>
  <si>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</si>
  <si>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</si>
  <si>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</si>
  <si>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</si>
  <si>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</si>
  <si>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</si>
  <si>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</si>
  <si>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</si>
  <si>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</si>
  <si>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</si>
  <si>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</si>
  <si>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</si>
  <si>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</si>
  <si>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Engr. Saad</t>
  </si>
  <si>
    <t>Fahad</t>
  </si>
  <si>
    <t>Remaining Advance</t>
  </si>
  <si>
    <t>M. Moin</t>
  </si>
  <si>
    <t>Mohib uz Zaman</t>
  </si>
  <si>
    <t>Various Sites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</si>
  <si>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</si>
  <si>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</si>
  <si>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</si>
  <si>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</si>
  <si>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</si>
  <si>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</si>
  <si>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</si>
  <si>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</si>
  <si>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Salman Izhar</t>
  </si>
  <si>
    <t>Noman Ali Sheikh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</si>
</sst>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8"/>
      <name val="Algerian"/>
      <family val="5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27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8" fillId="0" borderId="0" xfId="0" applyNumberFormat="1" applyFont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0" fillId="0" borderId="1" xfId="1" applyNumberFormat="1" applyFont="1" applyBorder="1"/>
    <xf numFmtId="0" fontId="0" fillId="0" borderId="1" xfId="0" applyBorder="1"/>
    <xf numFmtId="164" fontId="15" fillId="0" borderId="8" xfId="0" applyNumberFormat="1" applyFont="1" applyBorder="1"/>
    <xf numFmtId="164" fontId="15" fillId="0" borderId="0" xfId="1" applyNumberFormat="1" applyFont="1"/>
    <xf numFmtId="164" fontId="15" fillId="0" borderId="1" xfId="1" applyNumberFormat="1" applyFont="1" applyFill="1" applyBorder="1"/>
    <xf numFmtId="164" fontId="0" fillId="0" borderId="0" xfId="1" applyNumberFormat="1" applyFont="1" applyFill="1"/>
    <xf numFmtId="164" fontId="15" fillId="10" borderId="1" xfId="0" applyNumberFormat="1" applyFont="1" applyFill="1" applyBorder="1"/>
    <xf numFmtId="0" fontId="23" fillId="14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0" borderId="0" xfId="0" applyNumberFormat="1" applyFont="1" applyFill="1"/>
    <xf numFmtId="0" fontId="6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64" fontId="8" fillId="16" borderId="25" xfId="1" applyNumberFormat="1" applyFont="1" applyFill="1" applyBorder="1"/>
    <xf numFmtId="164" fontId="4" fillId="16" borderId="26" xfId="1" applyNumberFormat="1" applyFont="1" applyFill="1" applyBorder="1"/>
    <xf numFmtId="164" fontId="4" fillId="16" borderId="26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4" fillId="15" borderId="27" xfId="1" quotePrefix="1" applyNumberFormat="1" applyFont="1" applyFill="1" applyBorder="1" applyAlignment="1"/>
    <xf numFmtId="164" fontId="10" fillId="0" borderId="1" xfId="0" applyNumberFormat="1" applyFont="1" applyBorder="1"/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38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38" fillId="7" borderId="8" xfId="0" applyNumberFormat="1" applyFont="1" applyFill="1" applyBorder="1"/>
    <xf numFmtId="164" fontId="39" fillId="0" borderId="26" xfId="1" applyNumberFormat="1" applyFont="1" applyFill="1" applyBorder="1"/>
    <xf numFmtId="164" fontId="39" fillId="0" borderId="26" xfId="1" applyNumberFormat="1" applyFont="1" applyFill="1" applyBorder="1" applyAlignment="1"/>
    <xf numFmtId="164" fontId="39" fillId="0" borderId="25" xfId="1" applyNumberFormat="1" applyFont="1" applyFill="1" applyBorder="1" applyAlignment="1">
      <alignment horizontal="left"/>
    </xf>
    <xf numFmtId="164" fontId="39" fillId="0" borderId="25" xfId="1" applyNumberFormat="1" applyFont="1" applyFill="1" applyBorder="1" applyAlignment="1"/>
    <xf numFmtId="164" fontId="39" fillId="0" borderId="25" xfId="1" applyNumberFormat="1" applyFont="1" applyFill="1" applyBorder="1"/>
    <xf numFmtId="164" fontId="39" fillId="0" borderId="25" xfId="1" applyNumberFormat="1" applyFont="1" applyFill="1" applyBorder="1" applyAlignment="1">
      <alignment horizontal="left" vertical="top" wrapText="1"/>
    </xf>
    <xf numFmtId="164" fontId="42" fillId="0" borderId="1" xfId="1" applyNumberFormat="1" applyFont="1" applyFill="1" applyBorder="1" applyAlignment="1">
      <alignment horizontal="center" vertical="center"/>
    </xf>
    <xf numFmtId="164" fontId="42" fillId="0" borderId="1" xfId="1" quotePrefix="1" applyNumberFormat="1" applyFont="1" applyFill="1" applyBorder="1" applyAlignment="1">
      <alignment horizontal="center" vertical="center"/>
    </xf>
    <xf numFmtId="164" fontId="42" fillId="0" borderId="1" xfId="1" quotePrefix="1" applyNumberFormat="1" applyFont="1" applyFill="1" applyBorder="1" applyAlignment="1">
      <alignment horizontal="center" vertical="center" wrapText="1"/>
    </xf>
    <xf numFmtId="164" fontId="41" fillId="0" borderId="25" xfId="1" applyNumberFormat="1" applyFont="1" applyFill="1" applyBorder="1"/>
    <xf numFmtId="164" fontId="41" fillId="0" borderId="26" xfId="1" applyNumberFormat="1" applyFont="1" applyFill="1" applyBorder="1"/>
    <xf numFmtId="164" fontId="41" fillId="0" borderId="25" xfId="1" applyNumberFormat="1" applyFont="1" applyFill="1" applyBorder="1" applyAlignment="1">
      <alignment horizontal="left"/>
    </xf>
    <xf numFmtId="164" fontId="42" fillId="0" borderId="1" xfId="1" applyNumberFormat="1" applyFont="1" applyFill="1" applyBorder="1" applyAlignment="1">
      <alignment horizontal="center" vertical="center" wrapText="1"/>
    </xf>
    <xf numFmtId="164" fontId="41" fillId="0" borderId="26" xfId="1" applyNumberFormat="1" applyFont="1" applyFill="1" applyBorder="1" applyAlignment="1">
      <alignment vertical="center"/>
    </xf>
    <xf numFmtId="164" fontId="41" fillId="0" borderId="25" xfId="1" applyNumberFormat="1" applyFont="1" applyFill="1" applyBorder="1" applyAlignment="1">
      <alignment vertical="center"/>
    </xf>
    <xf numFmtId="164" fontId="41" fillId="0" borderId="25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164" fontId="44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/>
    <xf numFmtId="164" fontId="37" fillId="0" borderId="1" xfId="0" applyNumberFormat="1" applyFont="1" applyBorder="1"/>
    <xf numFmtId="0" fontId="37" fillId="0" borderId="0" xfId="0" applyFont="1"/>
    <xf numFmtId="164" fontId="37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44" fillId="0" borderId="1" xfId="0" applyFont="1" applyBorder="1" applyAlignment="1">
      <alignment vertical="center" textRotation="90"/>
    </xf>
    <xf numFmtId="164" fontId="44" fillId="0" borderId="1" xfId="0" applyNumberFormat="1" applyFont="1" applyBorder="1" applyAlignment="1">
      <alignment vertical="center"/>
    </xf>
    <xf numFmtId="0" fontId="44" fillId="2" borderId="9" xfId="0" applyFont="1" applyFill="1" applyBorder="1" applyAlignment="1">
      <alignment vertical="center" textRotation="90"/>
    </xf>
    <xf numFmtId="164" fontId="44" fillId="2" borderId="9" xfId="0" applyNumberFormat="1" applyFont="1" applyFill="1" applyBorder="1" applyAlignment="1">
      <alignment vertical="center"/>
    </xf>
    <xf numFmtId="164" fontId="42" fillId="0" borderId="25" xfId="1" applyNumberFormat="1" applyFont="1" applyFill="1" applyBorder="1" applyAlignment="1">
      <alignment vertical="center"/>
    </xf>
    <xf numFmtId="0" fontId="46" fillId="7" borderId="1" xfId="0" applyFont="1" applyFill="1" applyBorder="1" applyAlignment="1">
      <alignment horizontal="center" vertical="center"/>
    </xf>
    <xf numFmtId="0" fontId="46" fillId="7" borderId="0" xfId="0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164" fontId="47" fillId="0" borderId="0" xfId="1" applyNumberFormat="1" applyFont="1" applyAlignment="1">
      <alignment vertical="center"/>
    </xf>
    <xf numFmtId="0" fontId="48" fillId="7" borderId="1" xfId="0" applyFont="1" applyFill="1" applyBorder="1" applyAlignment="1">
      <alignment horizontal="center" vertical="center"/>
    </xf>
    <xf numFmtId="0" fontId="48" fillId="7" borderId="0" xfId="0" applyFont="1" applyFill="1" applyAlignment="1">
      <alignment horizontal="center" vertical="center"/>
    </xf>
    <xf numFmtId="0" fontId="49" fillId="0" borderId="0" xfId="0" applyFont="1" applyAlignment="1">
      <alignment vertical="center"/>
    </xf>
    <xf numFmtId="164" fontId="49" fillId="0" borderId="0" xfId="1" applyNumberFormat="1" applyFont="1" applyAlignment="1">
      <alignment vertical="center"/>
    </xf>
    <xf numFmtId="164" fontId="47" fillId="0" borderId="0" xfId="0" applyNumberFormat="1" applyFont="1" applyAlignment="1">
      <alignment vertical="center"/>
    </xf>
    <xf numFmtId="0" fontId="50" fillId="7" borderId="1" xfId="0" applyFont="1" applyFill="1" applyBorder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164" fontId="51" fillId="0" borderId="0" xfId="0" applyNumberFormat="1" applyFont="1" applyAlignment="1">
      <alignment vertical="center"/>
    </xf>
    <xf numFmtId="164" fontId="51" fillId="0" borderId="0" xfId="1" applyNumberFormat="1" applyFont="1" applyAlignment="1">
      <alignment vertical="center"/>
    </xf>
    <xf numFmtId="0" fontId="51" fillId="0" borderId="0" xfId="0" applyFont="1" applyAlignment="1">
      <alignment vertical="center"/>
    </xf>
    <xf numFmtId="164" fontId="46" fillId="7" borderId="0" xfId="0" applyNumberFormat="1" applyFont="1" applyFill="1" applyAlignment="1">
      <alignment horizontal="center" vertical="center"/>
    </xf>
    <xf numFmtId="164" fontId="45" fillId="0" borderId="1" xfId="1" applyNumberFormat="1" applyFont="1" applyBorder="1" applyAlignment="1">
      <alignment horizontal="right" vertical="center"/>
    </xf>
    <xf numFmtId="164" fontId="45" fillId="0" borderId="1" xfId="1" applyNumberFormat="1" applyFont="1" applyBorder="1" applyAlignment="1">
      <alignment horizontal="center" vertical="center"/>
    </xf>
    <xf numFmtId="164" fontId="45" fillId="2" borderId="1" xfId="1" applyNumberFormat="1" applyFont="1" applyFill="1" applyBorder="1" applyAlignment="1">
      <alignment horizontal="center" vertical="center"/>
    </xf>
    <xf numFmtId="164" fontId="37" fillId="0" borderId="1" xfId="1" applyNumberFormat="1" applyFont="1" applyBorder="1" applyAlignment="1">
      <alignment vertical="center"/>
    </xf>
    <xf numFmtId="164" fontId="45" fillId="0" borderId="1" xfId="1" applyNumberFormat="1" applyFont="1" applyBorder="1" applyAlignment="1">
      <alignment vertical="center"/>
    </xf>
    <xf numFmtId="164" fontId="4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45" fillId="0" borderId="1" xfId="1" applyNumberFormat="1" applyFont="1" applyFill="1" applyBorder="1" applyAlignment="1">
      <alignment vertical="center"/>
    </xf>
    <xf numFmtId="164" fontId="45" fillId="0" borderId="1" xfId="1" applyNumberFormat="1" applyFont="1" applyFill="1" applyBorder="1" applyAlignment="1">
      <alignment horizontal="center" vertical="center"/>
    </xf>
    <xf numFmtId="164" fontId="37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36" fillId="8" borderId="1" xfId="0" applyNumberFormat="1" applyFont="1" applyFill="1" applyBorder="1" applyAlignment="1">
      <alignment vertical="center"/>
    </xf>
    <xf numFmtId="164" fontId="36" fillId="8" borderId="0" xfId="0" applyNumberFormat="1" applyFont="1" applyFill="1"/>
    <xf numFmtId="0" fontId="36" fillId="0" borderId="0" xfId="0" applyFont="1"/>
    <xf numFmtId="164" fontId="36" fillId="0" borderId="0" xfId="1" applyNumberFormat="1" applyFont="1"/>
    <xf numFmtId="164" fontId="35" fillId="7" borderId="1" xfId="0" applyNumberFormat="1" applyFont="1" applyFill="1" applyBorder="1" applyAlignment="1">
      <alignment vertical="center"/>
    </xf>
    <xf numFmtId="164" fontId="5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4" fillId="4" borderId="0" xfId="0" applyFont="1" applyFill="1" applyAlignment="1">
      <alignment vertical="center"/>
    </xf>
    <xf numFmtId="0" fontId="52" fillId="0" borderId="0" xfId="0" applyFont="1"/>
    <xf numFmtId="164" fontId="52" fillId="0" borderId="0" xfId="1" applyNumberFormat="1" applyFont="1"/>
    <xf numFmtId="0" fontId="54" fillId="14" borderId="4" xfId="0" applyFont="1" applyFill="1" applyBorder="1" applyAlignment="1">
      <alignment vertical="center"/>
    </xf>
    <xf numFmtId="0" fontId="54" fillId="14" borderId="23" xfId="0" applyFont="1" applyFill="1" applyBorder="1" applyAlignment="1">
      <alignment vertical="center"/>
    </xf>
    <xf numFmtId="164" fontId="49" fillId="0" borderId="0" xfId="0" applyNumberFormat="1" applyFont="1" applyAlignment="1">
      <alignment vertical="center"/>
    </xf>
    <xf numFmtId="164" fontId="41" fillId="0" borderId="25" xfId="1" applyNumberFormat="1" applyFont="1" applyFill="1" applyBorder="1" applyAlignment="1">
      <alignment wrapText="1"/>
    </xf>
    <xf numFmtId="164" fontId="37" fillId="0" borderId="1" xfId="0" applyNumberFormat="1" applyFont="1" applyBorder="1" applyAlignment="1">
      <alignment vertical="center"/>
    </xf>
    <xf numFmtId="0" fontId="53" fillId="0" borderId="24" xfId="0" applyFont="1" applyBorder="1" applyAlignment="1">
      <alignment vertical="center"/>
    </xf>
    <xf numFmtId="0" fontId="53" fillId="0" borderId="6" xfId="0" applyFont="1" applyBorder="1" applyAlignment="1">
      <alignment vertical="center"/>
    </xf>
    <xf numFmtId="164" fontId="36" fillId="8" borderId="7" xfId="0" applyNumberFormat="1" applyFont="1" applyFill="1" applyBorder="1"/>
    <xf numFmtId="0" fontId="48" fillId="7" borderId="8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164" fontId="36" fillId="0" borderId="0" xfId="0" applyNumberFormat="1" applyFont="1" applyAlignment="1">
      <alignment vertical="center"/>
    </xf>
    <xf numFmtId="164" fontId="36" fillId="0" borderId="0" xfId="0" applyNumberFormat="1" applyFont="1"/>
    <xf numFmtId="164" fontId="36" fillId="0" borderId="0" xfId="1" applyNumberFormat="1" applyFont="1" applyFill="1" applyBorder="1"/>
    <xf numFmtId="0" fontId="33" fillId="0" borderId="1" xfId="0" applyFont="1" applyBorder="1" applyAlignment="1">
      <alignment vertical="center"/>
    </xf>
    <xf numFmtId="164" fontId="33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vertical="center"/>
    </xf>
    <xf numFmtId="164" fontId="34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4" fontId="32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0" fontId="56" fillId="0" borderId="1" xfId="0" applyFont="1" applyBorder="1"/>
    <xf numFmtId="164" fontId="10" fillId="0" borderId="0" xfId="0" applyNumberFormat="1" applyFont="1" applyAlignment="1">
      <alignment horizontal="right"/>
    </xf>
    <xf numFmtId="164" fontId="48" fillId="7" borderId="0" xfId="0" applyNumberFormat="1" applyFont="1" applyFill="1" applyAlignment="1">
      <alignment horizontal="center" vertical="center"/>
    </xf>
    <xf numFmtId="164" fontId="32" fillId="13" borderId="1" xfId="0" applyNumberFormat="1" applyFont="1" applyFill="1" applyBorder="1"/>
    <xf numFmtId="164" fontId="45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61" fillId="12" borderId="2" xfId="1" quotePrefix="1" applyNumberFormat="1" applyFont="1" applyFill="1" applyBorder="1" applyAlignment="1">
      <alignment vertical="center" textRotation="90"/>
    </xf>
    <xf numFmtId="164" fontId="42" fillId="0" borderId="7" xfId="1" applyNumberFormat="1" applyFont="1" applyFill="1" applyBorder="1" applyAlignment="1">
      <alignment horizontal="center" vertical="center"/>
    </xf>
    <xf numFmtId="164" fontId="60" fillId="12" borderId="7" xfId="1" quotePrefix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/>
    </xf>
    <xf numFmtId="164" fontId="41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9" fillId="0" borderId="0" xfId="0" applyFont="1"/>
    <xf numFmtId="0" fontId="9" fillId="0" borderId="13" xfId="0" applyFont="1" applyBorder="1"/>
    <xf numFmtId="0" fontId="44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5" fontId="28" fillId="0" borderId="0" xfId="0" applyNumberFormat="1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36" fillId="0" borderId="7" xfId="0" applyNumberFormat="1" applyFont="1" applyBorder="1"/>
    <xf numFmtId="164" fontId="36" fillId="0" borderId="0" xfId="1" applyNumberFormat="1" applyFont="1" applyFill="1"/>
    <xf numFmtId="164" fontId="41" fillId="0" borderId="36" xfId="1" applyNumberFormat="1" applyFont="1" applyFill="1" applyBorder="1"/>
    <xf numFmtId="164" fontId="41" fillId="0" borderId="36" xfId="1" applyNumberFormat="1" applyFont="1" applyFill="1" applyBorder="1" applyAlignment="1">
      <alignment vertical="center"/>
    </xf>
    <xf numFmtId="164" fontId="41" fillId="0" borderId="1" xfId="1" applyNumberFormat="1" applyFont="1" applyFill="1" applyBorder="1"/>
    <xf numFmtId="164" fontId="41" fillId="0" borderId="1" xfId="1" applyNumberFormat="1" applyFont="1" applyFill="1" applyBorder="1" applyAlignment="1">
      <alignment vertical="center"/>
    </xf>
    <xf numFmtId="164" fontId="41" fillId="0" borderId="1" xfId="1" applyNumberFormat="1" applyFont="1" applyFill="1" applyBorder="1" applyAlignment="1">
      <alignment wrapText="1"/>
    </xf>
    <xf numFmtId="0" fontId="2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15" fontId="29" fillId="0" borderId="0" xfId="0" applyNumberFormat="1" applyFont="1" applyAlignment="1">
      <alignment horizontal="left" vertical="center"/>
    </xf>
    <xf numFmtId="0" fontId="45" fillId="3" borderId="1" xfId="0" applyFont="1" applyFill="1" applyBorder="1" applyAlignment="1">
      <alignment vertical="center"/>
    </xf>
    <xf numFmtId="0" fontId="6" fillId="3" borderId="1" xfId="0" applyFont="1" applyFill="1" applyBorder="1"/>
    <xf numFmtId="14" fontId="28" fillId="0" borderId="0" xfId="0" applyNumberFormat="1" applyFont="1" applyAlignment="1">
      <alignment horizontal="left" vertical="center"/>
    </xf>
    <xf numFmtId="0" fontId="23" fillId="0" borderId="15" xfId="0" applyFont="1" applyBorder="1" applyAlignment="1">
      <alignment vertical="center"/>
    </xf>
    <xf numFmtId="0" fontId="46" fillId="7" borderId="5" xfId="0" applyFont="1" applyFill="1" applyBorder="1" applyAlignment="1">
      <alignment horizontal="center" vertical="center"/>
    </xf>
    <xf numFmtId="0" fontId="46" fillId="7" borderId="24" xfId="0" applyFont="1" applyFill="1" applyBorder="1" applyAlignment="1">
      <alignment horizontal="center" vertical="center"/>
    </xf>
    <xf numFmtId="0" fontId="46" fillId="7" borderId="6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50" fillId="7" borderId="5" xfId="0" applyFont="1" applyFill="1" applyBorder="1" applyAlignment="1">
      <alignment horizontal="center" vertical="center"/>
    </xf>
    <xf numFmtId="0" fontId="50" fillId="7" borderId="24" xfId="0" applyFont="1" applyFill="1" applyBorder="1" applyAlignment="1">
      <alignment horizontal="center" vertical="center"/>
    </xf>
    <xf numFmtId="0" fontId="50" fillId="7" borderId="6" xfId="0" applyFont="1" applyFill="1" applyBorder="1" applyAlignment="1">
      <alignment horizontal="center" vertical="center"/>
    </xf>
    <xf numFmtId="0" fontId="48" fillId="7" borderId="5" xfId="0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/>
    </xf>
    <xf numFmtId="0" fontId="48" fillId="7" borderId="6" xfId="0" applyFont="1" applyFill="1" applyBorder="1" applyAlignment="1">
      <alignment horizontal="center" vertical="center"/>
    </xf>
    <xf numFmtId="164" fontId="35" fillId="17" borderId="3" xfId="1" applyNumberFormat="1" applyFont="1" applyFill="1" applyBorder="1" applyAlignment="1">
      <alignment horizontal="center"/>
    </xf>
    <xf numFmtId="164" fontId="35" fillId="17" borderId="2" xfId="1" applyNumberFormat="1" applyFont="1" applyFill="1" applyBorder="1" applyAlignment="1">
      <alignment horizontal="center"/>
    </xf>
    <xf numFmtId="0" fontId="54" fillId="14" borderId="2" xfId="0" applyFont="1" applyFill="1" applyBorder="1" applyAlignment="1">
      <alignment horizontal="center" vertical="center"/>
    </xf>
    <xf numFmtId="0" fontId="54" fillId="14" borderId="22" xfId="0" applyFont="1" applyFill="1" applyBorder="1" applyAlignment="1">
      <alignment horizontal="center" vertical="center"/>
    </xf>
    <xf numFmtId="0" fontId="54" fillId="14" borderId="3" xfId="0" applyFont="1" applyFill="1" applyBorder="1" applyAlignment="1">
      <alignment horizontal="right" vertical="center"/>
    </xf>
    <xf numFmtId="0" fontId="54" fillId="14" borderId="2" xfId="0" applyFont="1" applyFill="1" applyBorder="1" applyAlignment="1">
      <alignment horizontal="right" vertical="center"/>
    </xf>
    <xf numFmtId="0" fontId="54" fillId="14" borderId="21" xfId="0" applyFont="1" applyFill="1" applyBorder="1" applyAlignment="1">
      <alignment horizontal="right" vertical="center"/>
    </xf>
    <xf numFmtId="0" fontId="54" fillId="14" borderId="22" xfId="0" applyFont="1" applyFill="1" applyBorder="1" applyAlignment="1">
      <alignment horizontal="right" vertical="center"/>
    </xf>
    <xf numFmtId="0" fontId="53" fillId="0" borderId="5" xfId="0" applyFont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62" fillId="10" borderId="32" xfId="0" applyFont="1" applyFill="1" applyBorder="1" applyAlignment="1">
      <alignment horizontal="center" vertical="center"/>
    </xf>
    <xf numFmtId="0" fontId="62" fillId="10" borderId="33" xfId="0" applyFont="1" applyFill="1" applyBorder="1" applyAlignment="1">
      <alignment horizontal="center" vertical="center"/>
    </xf>
    <xf numFmtId="0" fontId="62" fillId="10" borderId="34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5" fontId="16" fillId="0" borderId="35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0" fillId="0" borderId="1" xfId="0" applyFont="1" applyBorder="1" applyAlignment="1">
      <alignment horizontal="center"/>
    </xf>
    <xf numFmtId="164" fontId="42" fillId="0" borderId="1" xfId="1" quotePrefix="1" applyNumberFormat="1" applyFont="1" applyFill="1" applyBorder="1" applyAlignment="1">
      <alignment horizontal="center" vertical="center" textRotation="90"/>
    </xf>
    <xf numFmtId="164" fontId="61" fillId="0" borderId="28" xfId="1" quotePrefix="1" applyNumberFormat="1" applyFont="1" applyFill="1" applyBorder="1" applyAlignment="1">
      <alignment horizontal="center" vertical="center" textRotation="90"/>
    </xf>
    <xf numFmtId="164" fontId="61" fillId="0" borderId="28" xfId="1" applyNumberFormat="1" applyFont="1" applyFill="1" applyBorder="1" applyAlignment="1">
      <alignment horizontal="center" vertical="center" textRotation="90"/>
    </xf>
    <xf numFmtId="164" fontId="61" fillId="0" borderId="1" xfId="1" quotePrefix="1" applyNumberFormat="1" applyFont="1" applyFill="1" applyBorder="1" applyAlignment="1">
      <alignment horizontal="center" vertical="center" textRotation="90"/>
    </xf>
    <xf numFmtId="164" fontId="42" fillId="0" borderId="29" xfId="1" quotePrefix="1" applyNumberFormat="1" applyFont="1" applyFill="1" applyBorder="1" applyAlignment="1">
      <alignment horizontal="center" vertical="center" textRotation="90"/>
    </xf>
    <xf numFmtId="164" fontId="42" fillId="0" borderId="30" xfId="1" quotePrefix="1" applyNumberFormat="1" applyFont="1" applyFill="1" applyBorder="1" applyAlignment="1">
      <alignment horizontal="center" vertical="center" textRotation="90"/>
    </xf>
    <xf numFmtId="164" fontId="42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3"/>
  <sheetViews>
    <sheetView view="pageBreakPreview" zoomScaleNormal="90" zoomScaleSheetLayoutView="100" workbookViewId="0">
      <pane ySplit="3" topLeftCell="A67" activePane="bottomLeft" state="frozen"/>
      <selection pane="bottomLeft" activeCell="N75" sqref="N75"/>
    </sheetView>
  </sheetViews>
  <sheetFormatPr defaultRowHeight="12.75" x14ac:dyDescent="0.2"/>
  <cols>
    <col min="1" max="1" width="3.140625" style="270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272" customFormat="1" ht="12.75" customHeight="1" x14ac:dyDescent="0.4">
      <c r="A1" s="362" t="s">
        <v>80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0" t="str">
        <f>'Salary Record'!J1</f>
        <v>August</v>
      </c>
      <c r="O1" s="360"/>
      <c r="P1" s="360">
        <f>'Salary Record'!K1</f>
        <v>2023</v>
      </c>
      <c r="Q1" s="274"/>
      <c r="R1" s="271"/>
      <c r="S1" s="271"/>
      <c r="T1" s="271"/>
      <c r="V1" s="273"/>
    </row>
    <row r="2" spans="1:22" s="272" customFormat="1" ht="15.6" customHeight="1" x14ac:dyDescent="0.4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1"/>
      <c r="O2" s="361"/>
      <c r="P2" s="361"/>
      <c r="Q2" s="275"/>
      <c r="R2" s="271"/>
      <c r="S2" s="271"/>
      <c r="T2" s="271"/>
      <c r="V2" s="273"/>
    </row>
    <row r="3" spans="1:22" ht="39.75" customHeight="1" x14ac:dyDescent="0.2">
      <c r="A3" s="6"/>
      <c r="B3" s="294"/>
      <c r="C3" s="7"/>
      <c r="D3" s="7"/>
      <c r="E3" s="25" t="s">
        <v>29</v>
      </c>
      <c r="F3" s="27" t="s">
        <v>37</v>
      </c>
      <c r="G3" s="25" t="s">
        <v>38</v>
      </c>
      <c r="H3" s="25" t="s">
        <v>25</v>
      </c>
      <c r="I3" s="25" t="s">
        <v>26</v>
      </c>
      <c r="J3" s="25" t="s">
        <v>27</v>
      </c>
      <c r="K3" s="25" t="s">
        <v>28</v>
      </c>
      <c r="L3" s="25" t="s">
        <v>16</v>
      </c>
      <c r="M3" s="25" t="s">
        <v>20</v>
      </c>
      <c r="N3" s="25" t="s">
        <v>19</v>
      </c>
      <c r="O3" s="26" t="s">
        <v>21</v>
      </c>
      <c r="P3" s="25" t="s">
        <v>22</v>
      </c>
      <c r="Q3" s="25" t="s">
        <v>63</v>
      </c>
      <c r="R3" s="25" t="s">
        <v>107</v>
      </c>
      <c r="S3" s="25" t="s">
        <v>63</v>
      </c>
      <c r="T3" s="118"/>
    </row>
    <row r="4" spans="1:22" s="166" customFormat="1" ht="15.75" x14ac:dyDescent="0.2">
      <c r="A4" s="264">
        <v>1</v>
      </c>
      <c r="B4" s="229" t="s">
        <v>10</v>
      </c>
      <c r="C4" s="249"/>
      <c r="D4" s="198">
        <f>E4</f>
        <v>0</v>
      </c>
      <c r="E4" s="232">
        <v>0</v>
      </c>
      <c r="F4" s="164"/>
      <c r="G4" s="232"/>
      <c r="H4" s="232"/>
      <c r="I4" s="232"/>
      <c r="J4" s="232"/>
      <c r="K4" s="232"/>
      <c r="L4" s="234"/>
      <c r="M4" s="234"/>
      <c r="N4" s="235"/>
      <c r="O4" s="234"/>
      <c r="P4" s="235"/>
      <c r="Q4" s="239"/>
      <c r="R4" s="131">
        <v>0</v>
      </c>
      <c r="S4" s="131"/>
      <c r="T4" s="165"/>
      <c r="V4" s="167"/>
    </row>
    <row r="5" spans="1:22" s="166" customFormat="1" ht="15.75" x14ac:dyDescent="0.2">
      <c r="A5" s="265">
        <v>2</v>
      </c>
      <c r="B5" s="229" t="s">
        <v>3</v>
      </c>
      <c r="C5" s="229"/>
      <c r="D5" s="186">
        <f>E5</f>
        <v>0</v>
      </c>
      <c r="E5" s="236">
        <v>0</v>
      </c>
      <c r="F5" s="236"/>
      <c r="G5" s="236"/>
      <c r="H5" s="236"/>
      <c r="I5" s="236"/>
      <c r="J5" s="236"/>
      <c r="K5" s="236"/>
      <c r="L5" s="105"/>
      <c r="M5" s="105"/>
      <c r="N5" s="250"/>
      <c r="O5" s="105"/>
      <c r="P5" s="250"/>
      <c r="Q5" s="237"/>
      <c r="R5" s="131">
        <v>0</v>
      </c>
      <c r="S5" s="131"/>
      <c r="T5" s="165"/>
      <c r="V5" s="167"/>
    </row>
    <row r="6" spans="1:22" ht="23.25" x14ac:dyDescent="0.25">
      <c r="A6" s="347" t="s">
        <v>89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9"/>
      <c r="R6" s="129"/>
      <c r="S6" s="129"/>
      <c r="T6" s="120"/>
    </row>
    <row r="7" spans="1:22" s="166" customFormat="1" ht="15.75" x14ac:dyDescent="0.2">
      <c r="A7" s="264">
        <v>1</v>
      </c>
      <c r="B7" s="229" t="s">
        <v>18</v>
      </c>
      <c r="C7" s="371" t="s">
        <v>36</v>
      </c>
      <c r="D7" s="374">
        <f>SUM(Q7:Q10)</f>
        <v>0</v>
      </c>
      <c r="E7" s="105">
        <v>20000</v>
      </c>
      <c r="F7" s="105"/>
      <c r="G7" s="236"/>
      <c r="H7" s="105"/>
      <c r="I7" s="105"/>
      <c r="J7" s="105"/>
      <c r="K7" s="105"/>
      <c r="L7" s="234"/>
      <c r="M7" s="234"/>
      <c r="N7" s="235"/>
      <c r="O7" s="234"/>
      <c r="P7" s="235"/>
      <c r="Q7" s="239">
        <v>0</v>
      </c>
      <c r="R7" s="131"/>
      <c r="S7" s="131"/>
      <c r="T7" s="165"/>
      <c r="U7" s="165"/>
      <c r="V7" s="167"/>
    </row>
    <row r="8" spans="1:22" s="166" customFormat="1" ht="15.75" x14ac:dyDescent="0.2">
      <c r="A8" s="265">
        <v>2</v>
      </c>
      <c r="B8" s="229" t="s">
        <v>161</v>
      </c>
      <c r="C8" s="372"/>
      <c r="D8" s="375"/>
      <c r="E8" s="105">
        <v>25000</v>
      </c>
      <c r="F8" s="105"/>
      <c r="G8" s="236"/>
      <c r="H8" s="105"/>
      <c r="I8" s="105"/>
      <c r="J8" s="105"/>
      <c r="K8" s="105"/>
      <c r="L8" s="234"/>
      <c r="M8" s="234"/>
      <c r="N8" s="235"/>
      <c r="O8" s="234"/>
      <c r="P8" s="235"/>
      <c r="Q8" s="239">
        <v>0</v>
      </c>
      <c r="R8" s="131"/>
      <c r="S8" s="131"/>
      <c r="T8" s="165"/>
      <c r="U8" s="165"/>
      <c r="V8" s="167"/>
    </row>
    <row r="9" spans="1:22" s="166" customFormat="1" ht="15.75" x14ac:dyDescent="0.2">
      <c r="A9" s="264">
        <v>3</v>
      </c>
      <c r="B9" s="229" t="s">
        <v>30</v>
      </c>
      <c r="C9" s="372"/>
      <c r="D9" s="375"/>
      <c r="E9" s="105">
        <v>20000</v>
      </c>
      <c r="F9" s="105"/>
      <c r="G9" s="236"/>
      <c r="H9" s="105"/>
      <c r="I9" s="105"/>
      <c r="J9" s="105"/>
      <c r="K9" s="105"/>
      <c r="L9" s="234"/>
      <c r="M9" s="234"/>
      <c r="N9" s="235"/>
      <c r="O9" s="234"/>
      <c r="P9" s="235"/>
      <c r="Q9" s="239">
        <v>0</v>
      </c>
      <c r="R9" s="131"/>
      <c r="S9" s="131"/>
      <c r="T9" s="165"/>
      <c r="V9" s="167"/>
    </row>
    <row r="10" spans="1:22" s="166" customFormat="1" ht="15.75" x14ac:dyDescent="0.2">
      <c r="A10" s="265">
        <v>4</v>
      </c>
      <c r="B10" s="229" t="s">
        <v>8</v>
      </c>
      <c r="C10" s="373"/>
      <c r="D10" s="376"/>
      <c r="E10" s="105">
        <v>15000</v>
      </c>
      <c r="F10" s="105"/>
      <c r="G10" s="236"/>
      <c r="H10" s="105"/>
      <c r="I10" s="105"/>
      <c r="J10" s="105"/>
      <c r="K10" s="105"/>
      <c r="L10" s="234"/>
      <c r="M10" s="234"/>
      <c r="N10" s="235"/>
      <c r="O10" s="234"/>
      <c r="P10" s="235"/>
      <c r="Q10" s="239">
        <v>0</v>
      </c>
      <c r="R10" s="131"/>
      <c r="S10" s="131"/>
      <c r="T10" s="165"/>
      <c r="V10" s="168"/>
    </row>
    <row r="11" spans="1:22" s="260" customFormat="1" ht="21" x14ac:dyDescent="0.3">
      <c r="A11" s="350" t="s">
        <v>2</v>
      </c>
      <c r="B11" s="351"/>
      <c r="C11" s="287"/>
      <c r="D11" s="287"/>
      <c r="E11" s="289">
        <f>SUM(E7:E10)</f>
        <v>80000</v>
      </c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58">
        <f>SUM(Q7:Q10)</f>
        <v>0</v>
      </c>
      <c r="R11" s="281">
        <f t="shared" ref="R11:S11" si="0">SUM(R7:R10)</f>
        <v>0</v>
      </c>
      <c r="S11" s="281">
        <f t="shared" si="0"/>
        <v>0</v>
      </c>
      <c r="T11" s="259"/>
      <c r="V11" s="261"/>
    </row>
    <row r="12" spans="1:22" s="260" customFormat="1" ht="21" x14ac:dyDescent="0.3">
      <c r="A12" s="283"/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4"/>
      <c r="R12" s="285"/>
      <c r="S12" s="285"/>
      <c r="T12" s="285"/>
      <c r="V12" s="286"/>
    </row>
    <row r="13" spans="1:22" s="214" customFormat="1" ht="21" customHeight="1" x14ac:dyDescent="0.2">
      <c r="A13" s="355" t="s">
        <v>90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7"/>
      <c r="R13" s="282"/>
      <c r="S13" s="282"/>
      <c r="T13" s="213"/>
      <c r="V13" s="215"/>
    </row>
    <row r="14" spans="1:22" s="166" customFormat="1" ht="15.75" x14ac:dyDescent="0.2">
      <c r="A14" s="265">
        <v>1</v>
      </c>
      <c r="B14" s="229" t="str">
        <f>'Salary Record'!C70</f>
        <v>Ashraf Bhai</v>
      </c>
      <c r="C14" s="169"/>
      <c r="D14" s="170"/>
      <c r="E14" s="105">
        <f>'Salary Record'!K69</f>
        <v>65000</v>
      </c>
      <c r="F14" s="105">
        <f>'Salary Record'!C75</f>
        <v>31</v>
      </c>
      <c r="G14" s="236">
        <f>'Salary Record'!C76</f>
        <v>0</v>
      </c>
      <c r="H14" s="105">
        <f>'Salary Record'!I74</f>
        <v>0</v>
      </c>
      <c r="I14" s="105">
        <f>'Salary Record'!I73</f>
        <v>31</v>
      </c>
      <c r="J14" s="240">
        <f>'Salary Record'!K74</f>
        <v>0</v>
      </c>
      <c r="K14" s="240">
        <f>'Salary Record'!K75</f>
        <v>65000.000000000007</v>
      </c>
      <c r="L14" s="241">
        <f>'Salary Record'!G73</f>
        <v>6000</v>
      </c>
      <c r="M14" s="242">
        <f>'Salary Record'!G74</f>
        <v>5000</v>
      </c>
      <c r="N14" s="243">
        <f>'Salary Record'!G75</f>
        <v>11000</v>
      </c>
      <c r="O14" s="242">
        <f>'Salary Record'!G76</f>
        <v>2000</v>
      </c>
      <c r="P14" s="243">
        <f>'Salary Record'!G77</f>
        <v>9000</v>
      </c>
      <c r="Q14" s="244">
        <f>'Salary Record'!K77</f>
        <v>63000.000000000007</v>
      </c>
      <c r="R14" s="131">
        <v>22000</v>
      </c>
      <c r="S14" s="131">
        <f>Q14-R14</f>
        <v>41000.000000000007</v>
      </c>
      <c r="T14" s="165"/>
      <c r="U14" s="165"/>
      <c r="V14" s="173"/>
    </row>
    <row r="15" spans="1:22" s="166" customFormat="1" ht="15.75" x14ac:dyDescent="0.2">
      <c r="A15" s="265">
        <v>2</v>
      </c>
      <c r="B15" s="322" t="s">
        <v>14</v>
      </c>
      <c r="C15" s="169"/>
      <c r="D15" s="170"/>
      <c r="E15" s="105">
        <f>'Salary Record'!K54</f>
        <v>45000</v>
      </c>
      <c r="F15" s="105">
        <f>'Salary Record'!C60</f>
        <v>29</v>
      </c>
      <c r="G15" s="236">
        <f>'Salary Record'!C61</f>
        <v>2</v>
      </c>
      <c r="H15" s="105">
        <f>'Salary Record'!I59</f>
        <v>0</v>
      </c>
      <c r="I15" s="105">
        <f>'Salary Record'!I58</f>
        <v>31</v>
      </c>
      <c r="J15" s="232">
        <f>'Salary Record'!K59</f>
        <v>0</v>
      </c>
      <c r="K15" s="105">
        <f>'Salary Record'!K60</f>
        <v>45000</v>
      </c>
      <c r="L15" s="233">
        <f>'Salary Record'!G58</f>
        <v>0</v>
      </c>
      <c r="M15" s="233">
        <f>'Salary Record'!G59</f>
        <v>1000</v>
      </c>
      <c r="N15" s="233">
        <f>'Salary Record'!G60</f>
        <v>1000</v>
      </c>
      <c r="O15" s="233">
        <f>'Salary Record'!G61</f>
        <v>1000</v>
      </c>
      <c r="P15" s="233">
        <f>'Salary Record'!G62</f>
        <v>0</v>
      </c>
      <c r="Q15" s="239">
        <f>'Salary Record'!K62</f>
        <v>44000</v>
      </c>
      <c r="R15" s="131"/>
      <c r="S15" s="131"/>
      <c r="T15" s="165"/>
      <c r="U15" s="165"/>
      <c r="V15" s="167"/>
    </row>
    <row r="16" spans="1:22" s="166" customFormat="1" ht="21" customHeight="1" x14ac:dyDescent="0.2">
      <c r="A16" s="264">
        <v>3</v>
      </c>
      <c r="B16" s="322" t="s">
        <v>17</v>
      </c>
      <c r="C16" s="171" t="s">
        <v>34</v>
      </c>
      <c r="D16" s="172">
        <f>SUM(Q16:Q46)</f>
        <v>1468520.1612903224</v>
      </c>
      <c r="E16" s="105">
        <f>'Salary Record'!K9</f>
        <v>60000</v>
      </c>
      <c r="F16" s="105">
        <f>'Salary Record'!C15</f>
        <v>31</v>
      </c>
      <c r="G16" s="105">
        <f>'Salary Record'!C16</f>
        <v>0</v>
      </c>
      <c r="H16" s="232">
        <f>'Salary Record'!I14</f>
        <v>0</v>
      </c>
      <c r="I16" s="105">
        <f>'Salary Record'!I13</f>
        <v>31</v>
      </c>
      <c r="J16" s="232">
        <f>'Salary Record'!K14</f>
        <v>0</v>
      </c>
      <c r="K16" s="105">
        <f>'Salary Record'!K15</f>
        <v>60000</v>
      </c>
      <c r="L16" s="233">
        <f>'Salary Record'!U9</f>
        <v>0</v>
      </c>
      <c r="M16" s="234">
        <f>'Salary Record'!V9</f>
        <v>0</v>
      </c>
      <c r="N16" s="235">
        <f>'Salary Record'!W9</f>
        <v>0</v>
      </c>
      <c r="O16" s="235">
        <f>'Salary Record'!X9</f>
        <v>0</v>
      </c>
      <c r="P16" s="235">
        <f>'Salary Record'!Y9</f>
        <v>0</v>
      </c>
      <c r="Q16" s="239">
        <f>'Salary Record'!K17</f>
        <v>60000</v>
      </c>
      <c r="R16" s="131"/>
      <c r="S16" s="131"/>
      <c r="T16" s="165"/>
      <c r="U16" s="165"/>
      <c r="V16" s="167"/>
    </row>
    <row r="17" spans="1:24" s="166" customFormat="1" ht="21" customHeight="1" x14ac:dyDescent="0.2">
      <c r="A17" s="265">
        <v>4</v>
      </c>
      <c r="B17" s="325" t="str">
        <f>'Salary Record'!C115</f>
        <v>Ahsan Khan</v>
      </c>
      <c r="C17" s="185"/>
      <c r="D17" s="186"/>
      <c r="E17" s="233">
        <f>'Salary Record'!K114</f>
        <v>38000</v>
      </c>
      <c r="F17" s="233">
        <f>'Salary Record'!C120</f>
        <v>31</v>
      </c>
      <c r="G17" s="238">
        <f>'Salary Record'!C121</f>
        <v>0</v>
      </c>
      <c r="H17" s="233">
        <f>'Salary Record'!I119</f>
        <v>0</v>
      </c>
      <c r="I17" s="233">
        <f>'Salary Record'!I118</f>
        <v>31</v>
      </c>
      <c r="J17" s="232">
        <f>'Salary Record'!K119</f>
        <v>0</v>
      </c>
      <c r="K17" s="232">
        <f>'Salary Record'!K120</f>
        <v>38000</v>
      </c>
      <c r="L17" s="233">
        <f>'Salary Record'!G118</f>
        <v>35000</v>
      </c>
      <c r="M17" s="233">
        <f>'Salary Record'!G119</f>
        <v>0</v>
      </c>
      <c r="N17" s="235">
        <f>'Salary Record'!G120</f>
        <v>35000</v>
      </c>
      <c r="O17" s="233">
        <f>'Salary Record'!G121</f>
        <v>0</v>
      </c>
      <c r="P17" s="235">
        <f>'Salary Record'!G122</f>
        <v>35000</v>
      </c>
      <c r="Q17" s="239">
        <f>'Salary Record'!K122</f>
        <v>38000</v>
      </c>
      <c r="R17" s="194"/>
      <c r="S17" s="131"/>
      <c r="T17" s="165"/>
      <c r="V17" s="167"/>
      <c r="W17" s="165"/>
    </row>
    <row r="18" spans="1:24" s="166" customFormat="1" ht="15.75" x14ac:dyDescent="0.2">
      <c r="A18" s="265">
        <v>5</v>
      </c>
      <c r="B18" s="322" t="str">
        <f>'Salary Record'!C25</f>
        <v>Mossi</v>
      </c>
      <c r="C18" s="174"/>
      <c r="D18" s="175"/>
      <c r="E18" s="105">
        <f>'Salary Record'!K24</f>
        <v>5000</v>
      </c>
      <c r="F18" s="105">
        <f>'Salary Record'!C30</f>
        <v>0</v>
      </c>
      <c r="G18" s="236">
        <f>'Salary Record'!C31</f>
        <v>0</v>
      </c>
      <c r="H18" s="105"/>
      <c r="I18" s="105">
        <f>'Salary Record'!I28</f>
        <v>0</v>
      </c>
      <c r="J18" s="105"/>
      <c r="K18" s="105">
        <f>'Salary Record'!K30</f>
        <v>5000</v>
      </c>
      <c r="L18" s="234">
        <f>'Salary Record'!G28</f>
        <v>0</v>
      </c>
      <c r="M18" s="234">
        <f>'Salary Record'!G29</f>
        <v>0</v>
      </c>
      <c r="N18" s="235" t="str">
        <f>'Salary Record'!G30</f>
        <v/>
      </c>
      <c r="O18" s="234">
        <f>'Salary Record'!G31</f>
        <v>0</v>
      </c>
      <c r="P18" s="235" t="str">
        <f>'Salary Record'!G32</f>
        <v/>
      </c>
      <c r="Q18" s="239">
        <f>'Salary Record'!K32</f>
        <v>0</v>
      </c>
      <c r="R18" s="131"/>
      <c r="S18" s="131"/>
      <c r="T18" s="165"/>
      <c r="V18" s="167"/>
    </row>
    <row r="19" spans="1:24" s="166" customFormat="1" ht="15.75" x14ac:dyDescent="0.2">
      <c r="A19" s="264">
        <v>6</v>
      </c>
      <c r="B19" s="322" t="str">
        <f>'Salary Record'!C40</f>
        <v>Umer Farooq</v>
      </c>
      <c r="C19" s="169"/>
      <c r="D19" s="170"/>
      <c r="E19" s="105">
        <f>'Salary Record'!K39</f>
        <v>18000</v>
      </c>
      <c r="F19" s="105">
        <f>'Salary Record'!C45</f>
        <v>0</v>
      </c>
      <c r="G19" s="236">
        <f>'Salary Record'!C46</f>
        <v>0</v>
      </c>
      <c r="H19" s="105">
        <f>'Salary Record'!I44</f>
        <v>0</v>
      </c>
      <c r="I19" s="105">
        <f>'Salary Record'!I43</f>
        <v>31</v>
      </c>
      <c r="J19" s="245">
        <f>'Salary Record'!K44</f>
        <v>0</v>
      </c>
      <c r="K19" s="245">
        <f>'Salary Record'!K45</f>
        <v>18000</v>
      </c>
      <c r="L19" s="246">
        <f>'Salary Record'!G43</f>
        <v>3000</v>
      </c>
      <c r="M19" s="246">
        <f>'Salary Record'!G44</f>
        <v>0</v>
      </c>
      <c r="N19" s="247">
        <f>'Salary Record'!G45</f>
        <v>3000</v>
      </c>
      <c r="O19" s="246">
        <f>'Salary Record'!G46</f>
        <v>0</v>
      </c>
      <c r="P19" s="247">
        <f>'Salary Record'!G47</f>
        <v>3000</v>
      </c>
      <c r="Q19" s="248">
        <f>'Salary Record'!K47</f>
        <v>18000</v>
      </c>
      <c r="R19" s="131"/>
      <c r="S19" s="131"/>
      <c r="T19" s="165"/>
      <c r="U19" s="165"/>
      <c r="V19" s="167"/>
    </row>
    <row r="20" spans="1:24" s="260" customFormat="1" ht="21" x14ac:dyDescent="0.3">
      <c r="A20" s="350" t="s">
        <v>2</v>
      </c>
      <c r="B20" s="351"/>
      <c r="C20" s="287"/>
      <c r="D20" s="287"/>
      <c r="E20" s="289">
        <f>SUM(E14:E19)</f>
        <v>231000</v>
      </c>
      <c r="F20" s="287"/>
      <c r="G20" s="287"/>
      <c r="H20" s="287"/>
      <c r="I20" s="287"/>
      <c r="J20" s="288">
        <f>SUM(J15:J19)</f>
        <v>0</v>
      </c>
      <c r="K20" s="288">
        <f>SUM(K14:K19)</f>
        <v>231000</v>
      </c>
      <c r="L20" s="288"/>
      <c r="M20" s="287"/>
      <c r="N20" s="287"/>
      <c r="O20" s="287"/>
      <c r="P20" s="287"/>
      <c r="Q20" s="289">
        <f>SUM(Q14:Q19)</f>
        <v>223000</v>
      </c>
      <c r="R20" s="281">
        <f t="shared" ref="R20:S20" si="1">SUM(R15:R19)</f>
        <v>0</v>
      </c>
      <c r="S20" s="281">
        <f t="shared" si="1"/>
        <v>0</v>
      </c>
      <c r="T20" s="259"/>
      <c r="U20" s="285"/>
      <c r="V20" s="261"/>
    </row>
    <row r="21" spans="1:24" s="260" customFormat="1" ht="21" x14ac:dyDescent="0.3">
      <c r="A21" s="283"/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4"/>
      <c r="R21" s="285"/>
      <c r="S21" s="285"/>
      <c r="T21" s="285"/>
      <c r="V21" s="286"/>
    </row>
    <row r="22" spans="1:24" s="210" customFormat="1" ht="21" customHeight="1" x14ac:dyDescent="0.2">
      <c r="A22" s="347" t="s">
        <v>94</v>
      </c>
      <c r="B22" s="348"/>
      <c r="C22" s="348"/>
      <c r="D22" s="348"/>
      <c r="E22" s="348"/>
      <c r="F22" s="348"/>
      <c r="G22" s="348"/>
      <c r="H22" s="348"/>
      <c r="I22" s="348"/>
      <c r="J22" s="348"/>
      <c r="K22" s="348"/>
      <c r="L22" s="348"/>
      <c r="M22" s="348"/>
      <c r="N22" s="348"/>
      <c r="O22" s="348"/>
      <c r="P22" s="348"/>
      <c r="Q22" s="349"/>
      <c r="R22" s="208"/>
      <c r="S22" s="208"/>
      <c r="T22" s="209"/>
      <c r="U22" s="216"/>
      <c r="V22" s="211"/>
    </row>
    <row r="23" spans="1:24" s="180" customFormat="1" ht="20.25" customHeight="1" x14ac:dyDescent="0.2">
      <c r="A23" s="265">
        <v>1</v>
      </c>
      <c r="B23" s="321" t="str">
        <f>'Salary Record'!C505</f>
        <v>Khizer Mujeeb</v>
      </c>
      <c r="C23" s="176"/>
      <c r="D23" s="177"/>
      <c r="E23" s="251">
        <f>'Salary Record'!K504</f>
        <v>29500</v>
      </c>
      <c r="F23" s="251">
        <f>'Salary Record'!C510</f>
        <v>31</v>
      </c>
      <c r="G23" s="252">
        <f>'Salary Record'!C511</f>
        <v>0</v>
      </c>
      <c r="H23" s="251">
        <f>'Salary Record'!I509</f>
        <v>35</v>
      </c>
      <c r="I23" s="251">
        <f>'Salary Record'!I508</f>
        <v>31</v>
      </c>
      <c r="J23" s="225">
        <f>'Salary Record'!K509</f>
        <v>4163.3064516129034</v>
      </c>
      <c r="K23" s="251">
        <f>'Salary Record'!K510</f>
        <v>33663.306451612902</v>
      </c>
      <c r="L23" s="226">
        <f>'Salary Record'!G508</f>
        <v>0</v>
      </c>
      <c r="M23" s="227">
        <f>'Salary Record'!G509</f>
        <v>0</v>
      </c>
      <c r="N23" s="228">
        <f>'Salary Record'!G510</f>
        <v>0</v>
      </c>
      <c r="O23" s="227">
        <f>'Salary Record'!G511</f>
        <v>0</v>
      </c>
      <c r="P23" s="228">
        <f>'Salary Record'!G512</f>
        <v>0</v>
      </c>
      <c r="Q23" s="278">
        <f>'Salary Record'!K512</f>
        <v>33663.306451612902</v>
      </c>
      <c r="R23" s="178"/>
      <c r="S23" s="179">
        <f>Q23-R23</f>
        <v>33663.306451612902</v>
      </c>
      <c r="T23" s="165" t="s">
        <v>130</v>
      </c>
      <c r="V23" s="181"/>
    </row>
    <row r="24" spans="1:24" ht="20.25" customHeight="1" x14ac:dyDescent="0.25">
      <c r="A24" s="267">
        <v>2</v>
      </c>
      <c r="B24" s="322" t="str">
        <f>'Salary Record'!C475</f>
        <v>Hassan Khan</v>
      </c>
      <c r="C24" s="97"/>
      <c r="D24" s="91"/>
      <c r="E24" s="22">
        <f>'Salary Record'!K474</f>
        <v>24500</v>
      </c>
      <c r="F24" s="22">
        <f>'Salary Record'!C480</f>
        <v>31</v>
      </c>
      <c r="G24" s="16">
        <f>'Salary Record'!C481</f>
        <v>0</v>
      </c>
      <c r="H24" s="22">
        <f>'Salary Record'!I479</f>
        <v>64</v>
      </c>
      <c r="I24" s="22">
        <f>'Salary Record'!I478</f>
        <v>31</v>
      </c>
      <c r="J24" s="16">
        <f>'Salary Record'!K479</f>
        <v>6322.5806451612907</v>
      </c>
      <c r="K24" s="10">
        <f>'Salary Record'!K480</f>
        <v>30822.580645161292</v>
      </c>
      <c r="L24" s="9">
        <f>'Salary Record'!G478</f>
        <v>0</v>
      </c>
      <c r="M24" s="17">
        <f>'Salary Record'!G479</f>
        <v>0</v>
      </c>
      <c r="N24" s="18">
        <f>'Salary Record'!G480</f>
        <v>0</v>
      </c>
      <c r="O24" s="17">
        <f>'Salary Record'!G481</f>
        <v>0</v>
      </c>
      <c r="P24" s="18">
        <f>'Salary Record'!G482</f>
        <v>0</v>
      </c>
      <c r="Q24" s="131">
        <f>'Salary Record'!K482</f>
        <v>30822.580645161292</v>
      </c>
      <c r="R24" s="23"/>
      <c r="S24" s="23"/>
      <c r="T24" s="119"/>
    </row>
    <row r="25" spans="1:24" s="166" customFormat="1" ht="21" customHeight="1" x14ac:dyDescent="0.2">
      <c r="A25" s="265">
        <v>3</v>
      </c>
      <c r="B25" s="322" t="str">
        <f>'Salary Record'!C490</f>
        <v>Noor Islam</v>
      </c>
      <c r="C25" s="197"/>
      <c r="D25" s="198"/>
      <c r="E25" s="105">
        <f>'Salary Record'!K489</f>
        <v>30000</v>
      </c>
      <c r="F25" s="105">
        <f>'Salary Record'!C495</f>
        <v>31</v>
      </c>
      <c r="G25" s="236">
        <f>'Salary Record'!C496</f>
        <v>0</v>
      </c>
      <c r="H25" s="105">
        <f>'Salary Record'!I494</f>
        <v>0</v>
      </c>
      <c r="I25" s="105">
        <f>'Salary Record'!I493</f>
        <v>31</v>
      </c>
      <c r="J25" s="236">
        <f>'Salary Record'!K494</f>
        <v>0</v>
      </c>
      <c r="K25" s="232">
        <f>'Salary Record'!K495</f>
        <v>30000</v>
      </c>
      <c r="L25" s="233">
        <f>'Salary Record'!G493</f>
        <v>0</v>
      </c>
      <c r="M25" s="234">
        <f>'Salary Record'!G494</f>
        <v>0</v>
      </c>
      <c r="N25" s="235">
        <f>'Salary Record'!G495</f>
        <v>0</v>
      </c>
      <c r="O25" s="234">
        <f>'Salary Record'!G496</f>
        <v>0</v>
      </c>
      <c r="P25" s="235">
        <f>'Salary Record'!G497</f>
        <v>0</v>
      </c>
      <c r="Q25" s="237">
        <f>'Salary Record'!K497</f>
        <v>30000</v>
      </c>
      <c r="R25" s="131"/>
      <c r="S25" s="131"/>
      <c r="T25" s="165"/>
      <c r="V25" s="167"/>
    </row>
    <row r="26" spans="1:24" s="166" customFormat="1" ht="20.25" customHeight="1" x14ac:dyDescent="0.25">
      <c r="A26" s="267">
        <v>4</v>
      </c>
      <c r="B26" s="325" t="str">
        <f>'Salary Record'!C460</f>
        <v>Junaid</v>
      </c>
      <c r="C26" s="182"/>
      <c r="D26" s="183"/>
      <c r="E26" s="233">
        <f>'Salary Record'!K459</f>
        <v>24500</v>
      </c>
      <c r="F26" s="302">
        <f>'Salary Record'!C465</f>
        <v>31</v>
      </c>
      <c r="G26" s="303">
        <f>'Salary Record'!C466</f>
        <v>0</v>
      </c>
      <c r="H26" s="305">
        <f>'Salary Record'!I464</f>
        <v>71</v>
      </c>
      <c r="I26" s="233">
        <f>'Salary Record'!I463</f>
        <v>31</v>
      </c>
      <c r="J26" s="232">
        <f>'Salary Record'!K464</f>
        <v>7014.1129032258068</v>
      </c>
      <c r="K26" s="105">
        <f>'Salary Record'!K465</f>
        <v>31514.112903225807</v>
      </c>
      <c r="L26" s="233">
        <f>'Salary Record'!G463</f>
        <v>0</v>
      </c>
      <c r="M26" s="233">
        <f>'Salary Record'!G464</f>
        <v>0</v>
      </c>
      <c r="N26" s="235">
        <f>'Salary Record'!G465</f>
        <v>0</v>
      </c>
      <c r="O26" s="233">
        <f>'Salary Record'!G466</f>
        <v>0</v>
      </c>
      <c r="P26" s="235">
        <f>'Salary Record'!G467</f>
        <v>0</v>
      </c>
      <c r="Q26" s="237">
        <f>'Salary Record'!K467</f>
        <v>31514.112903225807</v>
      </c>
      <c r="R26" s="184"/>
      <c r="S26" s="131">
        <f>Q26-R26</f>
        <v>31514.112903225807</v>
      </c>
      <c r="T26" s="165"/>
      <c r="V26" s="167"/>
      <c r="X26" s="165"/>
    </row>
    <row r="27" spans="1:24" s="260" customFormat="1" ht="21" x14ac:dyDescent="0.3">
      <c r="A27" s="350" t="s">
        <v>2</v>
      </c>
      <c r="B27" s="351"/>
      <c r="C27" s="287"/>
      <c r="D27" s="287"/>
      <c r="E27" s="289">
        <f>SUM(E23:E26)</f>
        <v>108500</v>
      </c>
      <c r="F27" s="287"/>
      <c r="G27" s="287"/>
      <c r="H27" s="287"/>
      <c r="I27" s="287"/>
      <c r="J27" s="299">
        <f>SUM(J23:J26)</f>
        <v>17500</v>
      </c>
      <c r="K27" s="287"/>
      <c r="L27" s="287"/>
      <c r="M27" s="287"/>
      <c r="N27" s="287"/>
      <c r="O27" s="287"/>
      <c r="P27" s="287"/>
      <c r="Q27" s="258">
        <f>SUM(Q23:Q26)</f>
        <v>126000</v>
      </c>
      <c r="R27" s="281">
        <f>SUM(R21:R26)</f>
        <v>0</v>
      </c>
      <c r="S27" s="281">
        <f>SUM(S21:S26)</f>
        <v>65177.419354838712</v>
      </c>
      <c r="T27" s="259">
        <f>Q27-Q25</f>
        <v>96000</v>
      </c>
      <c r="U27" s="285"/>
      <c r="V27" s="261"/>
    </row>
    <row r="28" spans="1:24" s="260" customFormat="1" ht="21" x14ac:dyDescent="0.3">
      <c r="A28" s="283"/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4"/>
      <c r="R28" s="285"/>
      <c r="S28" s="285"/>
      <c r="T28" s="285"/>
      <c r="V28" s="286"/>
    </row>
    <row r="29" spans="1:24" s="214" customFormat="1" ht="21" customHeight="1" x14ac:dyDescent="0.2">
      <c r="A29" s="355" t="s">
        <v>93</v>
      </c>
      <c r="B29" s="35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7"/>
      <c r="R29" s="212"/>
      <c r="S29" s="212"/>
      <c r="T29" s="308"/>
      <c r="V29" s="215"/>
    </row>
    <row r="30" spans="1:24" s="166" customFormat="1" ht="21" customHeight="1" x14ac:dyDescent="0.2">
      <c r="A30" s="264">
        <v>1</v>
      </c>
      <c r="B30" s="325" t="str">
        <f>'Salary Record'!C550</f>
        <v>Ahsan Razak</v>
      </c>
      <c r="C30" s="187"/>
      <c r="D30" s="188"/>
      <c r="E30" s="105">
        <f>'Salary Record'!K549</f>
        <v>29500</v>
      </c>
      <c r="F30" s="105">
        <f>'Salary Record'!C555</f>
        <v>31</v>
      </c>
      <c r="G30" s="236">
        <f>'Salary Record'!C556</f>
        <v>0</v>
      </c>
      <c r="H30" s="105">
        <f>'Salary Record'!I554</f>
        <v>69</v>
      </c>
      <c r="I30" s="105">
        <f>'Salary Record'!I553</f>
        <v>31</v>
      </c>
      <c r="J30" s="236">
        <f>'Salary Record'!K554</f>
        <v>8207.6612903225814</v>
      </c>
      <c r="K30" s="236">
        <f>'Salary Record'!K555</f>
        <v>37707.661290322583</v>
      </c>
      <c r="L30" s="255">
        <f>'Salary Record'!G553</f>
        <v>15000</v>
      </c>
      <c r="M30" s="105">
        <f>'Salary Record'!G554</f>
        <v>0</v>
      </c>
      <c r="N30" s="250">
        <f>'Salary Record'!G555</f>
        <v>15000</v>
      </c>
      <c r="O30" s="105">
        <f>'Salary Record'!G556</f>
        <v>5000</v>
      </c>
      <c r="P30" s="250">
        <f>'Salary Record'!G557</f>
        <v>10000</v>
      </c>
      <c r="Q30" s="237">
        <f>'Salary Record'!K557</f>
        <v>32707.661290322583</v>
      </c>
      <c r="R30" s="131">
        <v>5000</v>
      </c>
      <c r="S30" s="131">
        <f>Q30-R30</f>
        <v>27707.661290322583</v>
      </c>
      <c r="T30" s="165" t="s">
        <v>130</v>
      </c>
      <c r="U30" s="165">
        <v>3000</v>
      </c>
      <c r="V30" s="173"/>
    </row>
    <row r="31" spans="1:24" s="166" customFormat="1" ht="21" customHeight="1" x14ac:dyDescent="0.2">
      <c r="A31" s="264">
        <v>2</v>
      </c>
      <c r="B31" s="325" t="str">
        <f>'Salary Record'!C520</f>
        <v>Suleman Dilawer</v>
      </c>
      <c r="C31" s="185"/>
      <c r="D31" s="186"/>
      <c r="E31" s="105">
        <f>'Salary Record'!K519</f>
        <v>30000</v>
      </c>
      <c r="F31" s="105">
        <f>'Salary Record'!C525</f>
        <v>31</v>
      </c>
      <c r="G31" s="236">
        <f>'Salary Record'!C526</f>
        <v>0</v>
      </c>
      <c r="H31" s="105">
        <f>'Salary Record'!I524</f>
        <v>43</v>
      </c>
      <c r="I31" s="105">
        <f>'Salary Record'!I523</f>
        <v>31</v>
      </c>
      <c r="J31" s="232">
        <f>'Salary Record'!K524</f>
        <v>5201.6129032258068</v>
      </c>
      <c r="K31" s="232">
        <f>'Salary Record'!K525</f>
        <v>35201.612903225803</v>
      </c>
      <c r="L31" s="233">
        <f>'Salary Record'!G523</f>
        <v>0</v>
      </c>
      <c r="M31" s="234">
        <f>'Salary Record'!G524</f>
        <v>30000</v>
      </c>
      <c r="N31" s="235">
        <f>'Salary Record'!G525</f>
        <v>30000</v>
      </c>
      <c r="O31" s="234">
        <f>'Salary Record'!G526</f>
        <v>5000</v>
      </c>
      <c r="P31" s="235">
        <f>'Salary Record'!G527</f>
        <v>25000</v>
      </c>
      <c r="Q31" s="237">
        <f>'Salary Record'!K527</f>
        <v>30201.612903225803</v>
      </c>
      <c r="R31" s="194">
        <v>0</v>
      </c>
      <c r="S31" s="131"/>
      <c r="T31" s="165"/>
      <c r="U31" s="165"/>
      <c r="V31" s="167"/>
    </row>
    <row r="32" spans="1:24" s="166" customFormat="1" ht="21" customHeight="1" x14ac:dyDescent="0.2">
      <c r="A32" s="264">
        <v>3</v>
      </c>
      <c r="B32" s="325" t="str">
        <f>'Salary Record'!C535</f>
        <v>Mumtaz Ali Chakar</v>
      </c>
      <c r="C32" s="185"/>
      <c r="D32" s="186"/>
      <c r="E32" s="254">
        <f>'Salary Record'!K534</f>
        <v>37500</v>
      </c>
      <c r="F32" s="254">
        <f>'Salary Record'!C540</f>
        <v>31</v>
      </c>
      <c r="G32" s="232">
        <f>'Salary Record'!C541</f>
        <v>0</v>
      </c>
      <c r="H32" s="254">
        <f>'Salary Record'!I539</f>
        <v>11</v>
      </c>
      <c r="I32" s="254">
        <f>'Salary Record'!I538</f>
        <v>31</v>
      </c>
      <c r="J32" s="232">
        <f>'Salary Record'!K539</f>
        <v>1663.3064516129034</v>
      </c>
      <c r="K32" s="105">
        <f>'Salary Record'!K540</f>
        <v>39163.306451612902</v>
      </c>
      <c r="L32" s="233">
        <f>'Salary Record'!G538</f>
        <v>0</v>
      </c>
      <c r="M32" s="234">
        <f>'Salary Record'!G539</f>
        <v>0</v>
      </c>
      <c r="N32" s="235">
        <f>'Salary Record'!G540</f>
        <v>0</v>
      </c>
      <c r="O32" s="234">
        <f>'Salary Record'!G541</f>
        <v>0</v>
      </c>
      <c r="P32" s="235">
        <f>'Salary Record'!G542</f>
        <v>0</v>
      </c>
      <c r="Q32" s="237">
        <f>'Salary Record'!K542</f>
        <v>39163.306451612902</v>
      </c>
      <c r="R32" s="184">
        <v>0</v>
      </c>
      <c r="S32" s="131"/>
      <c r="T32" s="165"/>
      <c r="U32" s="165"/>
      <c r="V32" s="167"/>
    </row>
    <row r="33" spans="1:26" ht="15.75" x14ac:dyDescent="0.25">
      <c r="A33" s="264">
        <v>4</v>
      </c>
      <c r="B33" s="325" t="str">
        <f>'Salary Record'!C565</f>
        <v>Sufyan</v>
      </c>
      <c r="C33" s="100"/>
      <c r="D33" s="89"/>
      <c r="E33" s="9">
        <f>'Salary Record'!K564</f>
        <v>25000</v>
      </c>
      <c r="F33" s="9">
        <f>'Salary Record'!C570</f>
        <v>30</v>
      </c>
      <c r="G33" s="21">
        <f>'Salary Record'!C571</f>
        <v>1</v>
      </c>
      <c r="H33" s="9">
        <f>'Salary Record'!I569</f>
        <v>35</v>
      </c>
      <c r="I33" s="9">
        <f>'Salary Record'!I568</f>
        <v>30</v>
      </c>
      <c r="J33" s="16">
        <f>'Salary Record'!K569</f>
        <v>3528.2258064516132</v>
      </c>
      <c r="K33" s="16">
        <f>'Salary Record'!K570</f>
        <v>27721.77419354839</v>
      </c>
      <c r="L33" s="9">
        <f>'Salary Record'!G568</f>
        <v>35000</v>
      </c>
      <c r="M33" s="9">
        <f>'Salary Record'!G569</f>
        <v>0</v>
      </c>
      <c r="N33" s="18">
        <f>'Salary Record'!G570</f>
        <v>35000</v>
      </c>
      <c r="O33" s="9">
        <f>'Salary Record'!G571</f>
        <v>0</v>
      </c>
      <c r="P33" s="18">
        <f>'Salary Record'!G572</f>
        <v>35000</v>
      </c>
      <c r="Q33" s="131">
        <f>'Salary Record'!K572</f>
        <v>27721.77419354839</v>
      </c>
      <c r="R33" s="132"/>
      <c r="S33" s="23"/>
      <c r="T33" s="119"/>
      <c r="U33" s="165"/>
    </row>
    <row r="34" spans="1:26" s="260" customFormat="1" ht="21" x14ac:dyDescent="0.3">
      <c r="A34" s="350" t="s">
        <v>2</v>
      </c>
      <c r="B34" s="351"/>
      <c r="C34" s="287"/>
      <c r="D34" s="287"/>
      <c r="E34" s="289">
        <f>SUM(E30:E33)</f>
        <v>122000</v>
      </c>
      <c r="F34" s="287"/>
      <c r="G34" s="287"/>
      <c r="H34" s="287"/>
      <c r="I34" s="287"/>
      <c r="J34" s="289">
        <f ca="1">SUM(J30:J86)</f>
        <v>20904.166666666664</v>
      </c>
      <c r="K34" s="287"/>
      <c r="L34" s="287"/>
      <c r="M34" s="287"/>
      <c r="N34" s="287"/>
      <c r="O34" s="287"/>
      <c r="P34" s="287"/>
      <c r="Q34" s="258">
        <f>SUM(Q30:Q33)</f>
        <v>129794.35483870968</v>
      </c>
      <c r="R34" s="281">
        <f ca="1">SUM(R29:R86)</f>
        <v>5000</v>
      </c>
      <c r="S34" s="281">
        <f ca="1">SUM(S29:S86)</f>
        <v>19757.291666666664</v>
      </c>
      <c r="T34" s="259"/>
      <c r="U34" s="285"/>
      <c r="V34" s="261"/>
    </row>
    <row r="35" spans="1:26" s="260" customFormat="1" ht="21" x14ac:dyDescent="0.3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4"/>
      <c r="R35" s="285"/>
      <c r="S35" s="285"/>
      <c r="T35" s="285"/>
      <c r="V35" s="286"/>
    </row>
    <row r="36" spans="1:26" s="221" customFormat="1" ht="21" customHeight="1" x14ac:dyDescent="0.2">
      <c r="A36" s="352" t="s">
        <v>35</v>
      </c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4"/>
      <c r="R36" s="217"/>
      <c r="S36" s="217"/>
      <c r="T36" s="218"/>
      <c r="U36" s="219"/>
      <c r="V36" s="220"/>
    </row>
    <row r="37" spans="1:26" s="166" customFormat="1" ht="21" customHeight="1" x14ac:dyDescent="0.2">
      <c r="A37" s="265">
        <v>1</v>
      </c>
      <c r="B37" s="322" t="s">
        <v>5</v>
      </c>
      <c r="C37" s="189"/>
      <c r="D37" s="190"/>
      <c r="E37" s="236">
        <f>'Salary Record'!K174</f>
        <v>60000</v>
      </c>
      <c r="F37" s="236">
        <f>'Salary Record'!C180</f>
        <v>28</v>
      </c>
      <c r="G37" s="236">
        <f>'Salary Record'!C181</f>
        <v>3</v>
      </c>
      <c r="H37" s="236">
        <f>'Salary Record'!I179</f>
        <v>8</v>
      </c>
      <c r="I37" s="236">
        <f>'Salary Record'!I178</f>
        <v>31</v>
      </c>
      <c r="J37" s="232">
        <f>'Salary Record'!K179</f>
        <v>1935.483870967742</v>
      </c>
      <c r="K37" s="232">
        <f>'Salary Record'!K180</f>
        <v>61935.483870967742</v>
      </c>
      <c r="L37" s="233">
        <f>'Salary Record'!G178</f>
        <v>73200</v>
      </c>
      <c r="M37" s="234">
        <f>'Salary Record'!G179</f>
        <v>0</v>
      </c>
      <c r="N37" s="235">
        <f>'Salary Record'!G180</f>
        <v>73200</v>
      </c>
      <c r="O37" s="234">
        <f>'Salary Record'!G181</f>
        <v>5000</v>
      </c>
      <c r="P37" s="235">
        <f>'Salary Record'!G182</f>
        <v>68200</v>
      </c>
      <c r="Q37" s="237">
        <f>'Salary Record'!K182</f>
        <v>56935.483870967742</v>
      </c>
      <c r="R37" s="131"/>
      <c r="S37" s="131"/>
      <c r="T37" s="165" t="s">
        <v>116</v>
      </c>
      <c r="U37" s="167"/>
      <c r="V37" s="167"/>
      <c r="W37" s="165"/>
    </row>
    <row r="38" spans="1:26" s="166" customFormat="1" ht="21" customHeight="1" x14ac:dyDescent="0.2">
      <c r="A38" s="265">
        <v>2</v>
      </c>
      <c r="B38" s="322" t="str">
        <f>'Salary Record'!C130</f>
        <v>Amir (JPMC)</v>
      </c>
      <c r="C38" s="191"/>
      <c r="D38" s="188"/>
      <c r="E38" s="105">
        <f>'Salary Record'!K129</f>
        <v>43000</v>
      </c>
      <c r="F38" s="105">
        <f>'Salary Record'!C135</f>
        <v>31</v>
      </c>
      <c r="G38" s="236">
        <f>'Salary Record'!C136</f>
        <v>0</v>
      </c>
      <c r="H38" s="105">
        <f>'Salary Record'!I134</f>
        <v>47</v>
      </c>
      <c r="I38" s="105">
        <f>'Salary Record'!I133</f>
        <v>31</v>
      </c>
      <c r="J38" s="232">
        <f>'Salary Record'!K134</f>
        <v>8149.1935483870966</v>
      </c>
      <c r="K38" s="232">
        <f>'Salary Record'!K135</f>
        <v>51149.193548387098</v>
      </c>
      <c r="L38" s="233">
        <f>'Salary Record'!G133</f>
        <v>60500</v>
      </c>
      <c r="M38" s="233">
        <f>'Salary Record'!G134</f>
        <v>22000</v>
      </c>
      <c r="N38" s="235">
        <f>'Salary Record'!G135</f>
        <v>82500</v>
      </c>
      <c r="O38" s="233">
        <f>'Salary Record'!G136</f>
        <v>5000</v>
      </c>
      <c r="P38" s="235">
        <f>'Salary Record'!G137</f>
        <v>77500</v>
      </c>
      <c r="Q38" s="237">
        <f>'Salary Record'!K137</f>
        <v>46149.193548387098</v>
      </c>
      <c r="R38" s="131"/>
      <c r="S38" s="131"/>
      <c r="T38" s="165" t="s">
        <v>119</v>
      </c>
      <c r="U38" s="165" t="s">
        <v>122</v>
      </c>
      <c r="V38" s="167"/>
    </row>
    <row r="39" spans="1:26" s="166" customFormat="1" ht="21" customHeight="1" x14ac:dyDescent="0.2">
      <c r="A39" s="265">
        <v>3</v>
      </c>
      <c r="B39" s="322" t="s">
        <v>24</v>
      </c>
      <c r="C39" s="191"/>
      <c r="D39" s="188"/>
      <c r="E39" s="105">
        <f>'Salary Record'!K144</f>
        <v>35000</v>
      </c>
      <c r="F39" s="105">
        <f>'Salary Record'!C150</f>
        <v>0</v>
      </c>
      <c r="G39" s="236">
        <f>'Salary Record'!C151</f>
        <v>0</v>
      </c>
      <c r="H39" s="105">
        <f>'Salary Record'!I149</f>
        <v>70.5</v>
      </c>
      <c r="I39" s="105">
        <f>'Salary Record'!I148</f>
        <v>31</v>
      </c>
      <c r="J39" s="232">
        <f>'Salary Record'!K149</f>
        <v>9949.5967741935474</v>
      </c>
      <c r="K39" s="105">
        <f>'Salary Record'!K150</f>
        <v>44949.596774193546</v>
      </c>
      <c r="L39" s="233">
        <f>'Salary Record'!G148</f>
        <v>0</v>
      </c>
      <c r="M39" s="234">
        <f>'Salary Record'!G149</f>
        <v>0</v>
      </c>
      <c r="N39" s="235">
        <f>'Salary Record'!G150</f>
        <v>0</v>
      </c>
      <c r="O39" s="234">
        <f>'Salary Record'!G151</f>
        <v>0</v>
      </c>
      <c r="P39" s="235">
        <f>'Salary Record'!G152</f>
        <v>0</v>
      </c>
      <c r="Q39" s="237">
        <f>'Salary Record'!K152</f>
        <v>44949.596774193546</v>
      </c>
      <c r="R39" s="131"/>
      <c r="S39" s="131"/>
      <c r="T39" s="165" t="s">
        <v>120</v>
      </c>
      <c r="U39" s="165" t="s">
        <v>121</v>
      </c>
      <c r="V39" s="167"/>
    </row>
    <row r="40" spans="1:26" s="166" customFormat="1" ht="21" customHeight="1" x14ac:dyDescent="0.2">
      <c r="A40" s="265">
        <v>4</v>
      </c>
      <c r="B40" s="324" t="s">
        <v>4</v>
      </c>
      <c r="C40" s="182"/>
      <c r="D40" s="183"/>
      <c r="E40" s="236">
        <f>'Salary Record'!K609</f>
        <v>35000</v>
      </c>
      <c r="F40" s="236">
        <f>'Salary Record'!C615</f>
        <v>31</v>
      </c>
      <c r="G40" s="236">
        <f>'Salary Record'!C616</f>
        <v>0</v>
      </c>
      <c r="H40" s="236">
        <f>'Salary Record'!I614</f>
        <v>49.6</v>
      </c>
      <c r="I40" s="236">
        <f>'Salary Record'!I613</f>
        <v>31</v>
      </c>
      <c r="J40" s="232">
        <f>'Salary Record'!K614</f>
        <v>7000</v>
      </c>
      <c r="K40" s="105">
        <f>'Salary Record'!K615</f>
        <v>42000</v>
      </c>
      <c r="L40" s="233">
        <f>'Salary Record'!G613</f>
        <v>15000</v>
      </c>
      <c r="M40" s="234">
        <f>'Salary Record'!G614</f>
        <v>0</v>
      </c>
      <c r="N40" s="235">
        <f>'Salary Record'!G615</f>
        <v>15000</v>
      </c>
      <c r="O40" s="234">
        <f>'Salary Record'!G616</f>
        <v>5000</v>
      </c>
      <c r="P40" s="235">
        <f>'Salary Record'!G617</f>
        <v>10000</v>
      </c>
      <c r="Q40" s="237">
        <f>'Salary Record'!K617</f>
        <v>37000</v>
      </c>
      <c r="R40" s="131"/>
      <c r="S40" s="131"/>
      <c r="T40" s="165" t="s">
        <v>117</v>
      </c>
      <c r="U40" s="166" t="s">
        <v>118</v>
      </c>
      <c r="V40" s="167"/>
      <c r="W40" s="165"/>
      <c r="X40" s="165"/>
    </row>
    <row r="41" spans="1:26" s="166" customFormat="1" ht="21" customHeight="1" x14ac:dyDescent="0.2">
      <c r="A41" s="265">
        <v>5</v>
      </c>
      <c r="B41" s="323" t="str">
        <f>'Salary Record'!C190</f>
        <v>Amjad Ustad</v>
      </c>
      <c r="C41" s="185"/>
      <c r="D41" s="186"/>
      <c r="E41" s="301">
        <f>'Salary Record'!K189</f>
        <v>50000</v>
      </c>
      <c r="F41" s="233">
        <f>'Salary Record'!C195</f>
        <v>31</v>
      </c>
      <c r="G41" s="238">
        <f>'Salary Record'!C196</f>
        <v>0</v>
      </c>
      <c r="H41" s="233">
        <f>'Salary Record'!I194</f>
        <v>27</v>
      </c>
      <c r="I41" s="233">
        <f>'Salary Record'!I193</f>
        <v>31</v>
      </c>
      <c r="J41" s="232">
        <f>'Salary Record'!K194</f>
        <v>5443.5483870967746</v>
      </c>
      <c r="K41" s="232">
        <f>'Salary Record'!K195</f>
        <v>55443.548387096773</v>
      </c>
      <c r="L41" s="233">
        <f>'Salary Record'!G193</f>
        <v>36000</v>
      </c>
      <c r="M41" s="233">
        <f>'Salary Record'!G194</f>
        <v>5000</v>
      </c>
      <c r="N41" s="235">
        <f>'Salary Record'!G195</f>
        <v>41000</v>
      </c>
      <c r="O41" s="233">
        <f>'Salary Record'!G196</f>
        <v>0</v>
      </c>
      <c r="P41" s="235">
        <f>'Salary Record'!G197</f>
        <v>41000</v>
      </c>
      <c r="Q41" s="237">
        <f>'Salary Record'!K197</f>
        <v>55443.548387096773</v>
      </c>
      <c r="R41" s="184"/>
      <c r="S41" s="131"/>
      <c r="T41" s="165" t="s">
        <v>152</v>
      </c>
      <c r="U41" s="165"/>
      <c r="V41" s="167"/>
      <c r="W41" s="165"/>
    </row>
    <row r="42" spans="1:26" s="166" customFormat="1" ht="21" customHeight="1" x14ac:dyDescent="0.2">
      <c r="A42" s="265">
        <v>6</v>
      </c>
      <c r="B42" s="323" t="str">
        <f>'Salary Record'!C640</f>
        <v>Nadeem Painter</v>
      </c>
      <c r="C42" s="200"/>
      <c r="D42" s="201"/>
      <c r="E42" s="257">
        <f>'Salary Record'!K639</f>
        <v>30000</v>
      </c>
      <c r="F42" s="257">
        <f>'Salary Record'!C645</f>
        <v>30</v>
      </c>
      <c r="G42" s="236">
        <f>'Salary Record'!C646</f>
        <v>1</v>
      </c>
      <c r="H42" s="257">
        <f>'Salary Record'!I644</f>
        <v>20</v>
      </c>
      <c r="I42" s="257">
        <f>'Salary Record'!I643</f>
        <v>30</v>
      </c>
      <c r="J42" s="232">
        <f>'Salary Record'!K644</f>
        <v>2419.3548387096776</v>
      </c>
      <c r="K42" s="232">
        <f>'Salary Record'!K645</f>
        <v>31451.612903225807</v>
      </c>
      <c r="L42" s="233">
        <f>'Salary Record'!G643</f>
        <v>0</v>
      </c>
      <c r="M42" s="234">
        <f>'Salary Record'!G644</f>
        <v>0</v>
      </c>
      <c r="N42" s="235" t="str">
        <f>'Salary Record'!G645</f>
        <v/>
      </c>
      <c r="O42" s="234">
        <f>'Salary Record'!G646</f>
        <v>0</v>
      </c>
      <c r="P42" s="235" t="str">
        <f>'Salary Record'!G647</f>
        <v/>
      </c>
      <c r="Q42" s="239">
        <f>'Salary Record'!K647</f>
        <v>31451.612903225807</v>
      </c>
      <c r="R42" s="131"/>
      <c r="S42" s="131"/>
      <c r="T42" s="165"/>
      <c r="V42" s="167"/>
    </row>
    <row r="43" spans="1:26" s="166" customFormat="1" ht="21" customHeight="1" x14ac:dyDescent="0.2">
      <c r="A43" s="265">
        <v>7</v>
      </c>
      <c r="B43" s="343" t="str">
        <f>'Salary Record'!C671</f>
        <v>Khushnood</v>
      </c>
      <c r="C43" s="187"/>
      <c r="D43" s="188"/>
      <c r="E43" s="257">
        <f>'Salary Record'!K670</f>
        <v>45000</v>
      </c>
      <c r="F43" s="105">
        <f>'Salary Record'!C676</f>
        <v>28</v>
      </c>
      <c r="G43" s="236">
        <f>'Salary Record'!C677</f>
        <v>3</v>
      </c>
      <c r="H43" s="105">
        <f>'Salary Record'!I675</f>
        <v>1</v>
      </c>
      <c r="I43" s="105">
        <f>'Salary Record'!I674</f>
        <v>28</v>
      </c>
      <c r="J43" s="236">
        <f>'Salary Record'!K675</f>
        <v>181.45161290322579</v>
      </c>
      <c r="K43" s="236">
        <f>'Salary Record'!K676</f>
        <v>40826.612903225803</v>
      </c>
      <c r="L43" s="255">
        <f>'Salary Record'!G674</f>
        <v>0</v>
      </c>
      <c r="M43" s="105">
        <f>'Salary Record'!G675</f>
        <v>24000</v>
      </c>
      <c r="N43" s="250">
        <f>'Salary Record'!G676</f>
        <v>24000</v>
      </c>
      <c r="O43" s="105">
        <f>'Salary Record'!G677</f>
        <v>24000</v>
      </c>
      <c r="P43" s="250">
        <f>'Salary Record'!G678</f>
        <v>0</v>
      </c>
      <c r="Q43" s="237">
        <f>'Salary Record'!K678</f>
        <v>16826.612903225803</v>
      </c>
      <c r="R43" s="131">
        <v>18000</v>
      </c>
      <c r="S43" s="131">
        <f>Q43-R43</f>
        <v>-1173.3870967741968</v>
      </c>
      <c r="T43" s="165"/>
      <c r="U43" s="165"/>
      <c r="V43" s="167"/>
      <c r="W43" s="165"/>
    </row>
    <row r="44" spans="1:26" ht="15.75" x14ac:dyDescent="0.25">
      <c r="A44" s="265">
        <v>8</v>
      </c>
      <c r="B44" s="344" t="str">
        <f>'Salary Record'!C687</f>
        <v>Fahad Fareed</v>
      </c>
      <c r="C44" s="98"/>
      <c r="D44" s="99"/>
      <c r="E44" s="9">
        <f>'Salary Record'!K686</f>
        <v>22000</v>
      </c>
      <c r="F44" s="9">
        <f>'Salary Record'!C692</f>
        <v>8</v>
      </c>
      <c r="G44" s="21">
        <f>'Salary Record'!C693</f>
        <v>23</v>
      </c>
      <c r="H44" s="9">
        <f>'Salary Record'!I691</f>
        <v>0</v>
      </c>
      <c r="I44" s="9">
        <f>'Salary Record'!I690</f>
        <v>8</v>
      </c>
      <c r="J44" s="80">
        <f>'Salary Record'!K691</f>
        <v>0</v>
      </c>
      <c r="K44" s="80">
        <f>'Salary Record'!K692</f>
        <v>5677.4193548387093</v>
      </c>
      <c r="L44" s="81">
        <f>'Salary Record'!G690</f>
        <v>0</v>
      </c>
      <c r="M44" s="81">
        <f>'Salary Record'!G691</f>
        <v>0</v>
      </c>
      <c r="N44" s="82">
        <f>'Salary Record'!G692</f>
        <v>0</v>
      </c>
      <c r="O44" s="81">
        <f>'Salary Record'!G693</f>
        <v>0</v>
      </c>
      <c r="P44" s="82">
        <f>'Salary Record'!G694</f>
        <v>0</v>
      </c>
      <c r="Q44" s="112">
        <f>'Salary Record'!K694</f>
        <v>5677.4193548387093</v>
      </c>
      <c r="R44" s="23"/>
      <c r="S44" s="23">
        <f>Q44-R44</f>
        <v>5677.4193548387093</v>
      </c>
      <c r="T44" s="119"/>
      <c r="U44" s="8"/>
      <c r="X44" s="2"/>
      <c r="Y44" s="2"/>
      <c r="Z44" s="2"/>
    </row>
    <row r="45" spans="1:26" s="166" customFormat="1" ht="21" customHeight="1" x14ac:dyDescent="0.2">
      <c r="A45" s="265">
        <v>9</v>
      </c>
      <c r="B45" s="322" t="str">
        <f>'Salary Record'!C220</f>
        <v>Gul Sher</v>
      </c>
      <c r="C45" s="191"/>
      <c r="D45" s="188"/>
      <c r="E45" s="233">
        <f>'Salary Record'!K219</f>
        <v>26000</v>
      </c>
      <c r="F45" s="233">
        <f>'Salary Record'!C225</f>
        <v>26</v>
      </c>
      <c r="G45" s="238">
        <f>'Salary Record'!C226</f>
        <v>5</v>
      </c>
      <c r="H45" s="233">
        <f>'Salary Record'!I224</f>
        <v>26</v>
      </c>
      <c r="I45" s="233">
        <f>'Salary Record'!I223</f>
        <v>26</v>
      </c>
      <c r="J45" s="245">
        <f>'Salary Record'!K224</f>
        <v>2725.8064516129034</v>
      </c>
      <c r="K45" s="245">
        <f>'Salary Record'!K225</f>
        <v>24532.258064516129</v>
      </c>
      <c r="L45" s="246">
        <f>'Salary Record'!G223</f>
        <v>14225</v>
      </c>
      <c r="M45" s="246">
        <f>'Salary Record'!G224</f>
        <v>7000</v>
      </c>
      <c r="N45" s="256">
        <f>'Salary Record'!G225</f>
        <v>21225</v>
      </c>
      <c r="O45" s="246">
        <f>'Salary Record'!G226</f>
        <v>10000</v>
      </c>
      <c r="P45" s="256">
        <f>'Salary Record'!G227</f>
        <v>11225</v>
      </c>
      <c r="Q45" s="304">
        <f>'Salary Record'!K227</f>
        <v>14532.258064516129</v>
      </c>
      <c r="R45" s="131"/>
      <c r="S45" s="131"/>
      <c r="T45" s="165" t="s">
        <v>125</v>
      </c>
      <c r="U45" s="165" t="s">
        <v>126</v>
      </c>
      <c r="V45" s="167"/>
      <c r="W45" s="165"/>
      <c r="X45" s="167"/>
      <c r="Y45" s="167"/>
      <c r="Z45" s="167"/>
    </row>
    <row r="46" spans="1:26" s="260" customFormat="1" ht="21" x14ac:dyDescent="0.3">
      <c r="A46" s="350" t="s">
        <v>2</v>
      </c>
      <c r="B46" s="351"/>
      <c r="C46" s="287"/>
      <c r="D46" s="287"/>
      <c r="E46" s="289">
        <f>SUM(E37:E45)</f>
        <v>346000</v>
      </c>
      <c r="F46" s="287"/>
      <c r="G46" s="287"/>
      <c r="H46" s="287"/>
      <c r="I46" s="287"/>
      <c r="J46" s="289">
        <f>SUM(J37:J45)</f>
        <v>37804.435483870962</v>
      </c>
      <c r="K46" s="287"/>
      <c r="L46" s="287"/>
      <c r="M46" s="287"/>
      <c r="N46" s="287"/>
      <c r="O46" s="287"/>
      <c r="P46" s="287"/>
      <c r="Q46" s="258">
        <f>SUM(Q37:Q45)</f>
        <v>308965.72580645164</v>
      </c>
      <c r="R46" s="281">
        <f>SUM(R45:R45)</f>
        <v>0</v>
      </c>
      <c r="S46" s="281">
        <f>SUM(S45:S45)</f>
        <v>0</v>
      </c>
      <c r="T46" s="259"/>
      <c r="V46" s="261"/>
    </row>
    <row r="47" spans="1:26" s="210" customFormat="1" ht="21" customHeight="1" x14ac:dyDescent="0.2">
      <c r="A47" s="347" t="s">
        <v>91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9"/>
      <c r="R47" s="208"/>
      <c r="S47" s="208"/>
      <c r="T47" s="222"/>
      <c r="U47" s="216"/>
      <c r="V47" s="211"/>
    </row>
    <row r="48" spans="1:26" s="166" customFormat="1" ht="21" customHeight="1" x14ac:dyDescent="0.2">
      <c r="A48" s="265">
        <v>1</v>
      </c>
      <c r="B48" s="322" t="s">
        <v>11</v>
      </c>
      <c r="C48" s="200"/>
      <c r="D48" s="201"/>
      <c r="E48" s="234">
        <f>'Salary Record'!K399</f>
        <v>20000</v>
      </c>
      <c r="F48" s="234">
        <f>'Salary Record'!C405</f>
        <v>31</v>
      </c>
      <c r="G48" s="231">
        <f>'Salary Record'!C406</f>
        <v>0</v>
      </c>
      <c r="H48" s="234">
        <f>'Salary Record'!I404</f>
        <v>2</v>
      </c>
      <c r="I48" s="234">
        <f>'Salary Record'!I403</f>
        <v>31</v>
      </c>
      <c r="J48" s="232">
        <f>'Salary Record'!K404</f>
        <v>161.29032258064515</v>
      </c>
      <c r="K48" s="232">
        <f>'Salary Record'!K405</f>
        <v>20161.290322580644</v>
      </c>
      <c r="L48" s="233">
        <f>'Salary Record'!G403</f>
        <v>15000</v>
      </c>
      <c r="M48" s="234">
        <f>'Salary Record'!G404</f>
        <v>0</v>
      </c>
      <c r="N48" s="235">
        <f>'Salary Record'!G405</f>
        <v>15000</v>
      </c>
      <c r="O48" s="234">
        <f>'Salary Record'!G406</f>
        <v>2000</v>
      </c>
      <c r="P48" s="235">
        <f>'Salary Record'!G407</f>
        <v>13000</v>
      </c>
      <c r="Q48" s="237">
        <f>'Salary Record'!K407</f>
        <v>18161.290322580644</v>
      </c>
      <c r="R48" s="131"/>
      <c r="S48" s="131"/>
      <c r="T48" s="165"/>
      <c r="U48" s="165"/>
      <c r="V48" s="167"/>
      <c r="W48" s="165"/>
    </row>
    <row r="49" spans="1:25" s="166" customFormat="1" ht="21" customHeight="1" x14ac:dyDescent="0.2">
      <c r="A49" s="264">
        <v>2</v>
      </c>
      <c r="B49" s="324" t="str">
        <f>'Salary Record'!C355</f>
        <v>M. Sami</v>
      </c>
      <c r="C49" s="199" t="s">
        <v>88</v>
      </c>
      <c r="D49" s="198">
        <f>Q49</f>
        <v>30048.387096774193</v>
      </c>
      <c r="E49" s="105">
        <f>'Salary Record'!K354</f>
        <v>27000</v>
      </c>
      <c r="F49" s="105">
        <f>'Salary Record'!C360</f>
        <v>31</v>
      </c>
      <c r="G49" s="236">
        <f>'Salary Record'!C361</f>
        <v>0</v>
      </c>
      <c r="H49" s="105">
        <f>'Salary Record'!I359</f>
        <v>28</v>
      </c>
      <c r="I49" s="105">
        <f>'Salary Record'!I358</f>
        <v>31</v>
      </c>
      <c r="J49" s="232">
        <f>'Salary Record'!K359</f>
        <v>3048.3870967741937</v>
      </c>
      <c r="K49" s="232">
        <f>'Salary Record'!K360</f>
        <v>30048.387096774193</v>
      </c>
      <c r="L49" s="233">
        <f>'Salary Record'!G358</f>
        <v>0</v>
      </c>
      <c r="M49" s="246">
        <f>'Salary Record'!G359</f>
        <v>0</v>
      </c>
      <c r="N49" s="247">
        <f>'Salary Record'!G360</f>
        <v>0</v>
      </c>
      <c r="O49" s="246">
        <f>'Salary Record'!G361</f>
        <v>0</v>
      </c>
      <c r="P49" s="247">
        <f>'Salary Record'!G362</f>
        <v>0</v>
      </c>
      <c r="Q49" s="304">
        <f>'Salary Record'!K362</f>
        <v>30048.387096774193</v>
      </c>
      <c r="R49" s="131"/>
      <c r="S49" s="131"/>
      <c r="T49" s="165"/>
      <c r="U49" s="165"/>
      <c r="V49" s="167"/>
      <c r="X49" s="165"/>
    </row>
    <row r="50" spans="1:25" s="166" customFormat="1" ht="21" customHeight="1" x14ac:dyDescent="0.2">
      <c r="A50" s="265">
        <v>3</v>
      </c>
      <c r="B50" s="322" t="str">
        <f>'Salary Record'!C370</f>
        <v>Adil (FTC)</v>
      </c>
      <c r="C50" s="197"/>
      <c r="D50" s="198"/>
      <c r="E50" s="105">
        <f>'Salary Record'!K369</f>
        <v>21000</v>
      </c>
      <c r="F50" s="105">
        <f>'Salary Record'!C375</f>
        <v>31</v>
      </c>
      <c r="G50" s="236">
        <f>'Salary Record'!C376</f>
        <v>0</v>
      </c>
      <c r="H50" s="105">
        <f>'Salary Record'!I374</f>
        <v>6</v>
      </c>
      <c r="I50" s="105">
        <f>'Salary Record'!I373</f>
        <v>31</v>
      </c>
      <c r="J50" s="232">
        <f>'Salary Record'!K374</f>
        <v>508.0645161290322</v>
      </c>
      <c r="K50" s="232">
        <f>'Salary Record'!K375</f>
        <v>21508.06451612903</v>
      </c>
      <c r="L50" s="233">
        <f>'Salary Record'!G373</f>
        <v>0</v>
      </c>
      <c r="M50" s="234">
        <f>'Salary Record'!G374</f>
        <v>0</v>
      </c>
      <c r="N50" s="235" t="str">
        <f>'Salary Record'!G375</f>
        <v/>
      </c>
      <c r="O50" s="234">
        <f>'Salary Record'!G376</f>
        <v>0</v>
      </c>
      <c r="P50" s="235" t="str">
        <f>'Salary Record'!G377</f>
        <v/>
      </c>
      <c r="Q50" s="237">
        <f>'Salary Record'!K377</f>
        <v>21508.06451612903</v>
      </c>
      <c r="R50" s="131"/>
      <c r="S50" s="131"/>
      <c r="T50" s="165" t="s">
        <v>127</v>
      </c>
      <c r="U50" s="165"/>
      <c r="V50" s="167"/>
    </row>
    <row r="51" spans="1:25" s="166" customFormat="1" ht="21" customHeight="1" x14ac:dyDescent="0.2">
      <c r="A51" s="265">
        <v>4</v>
      </c>
      <c r="B51" s="323" t="str">
        <f>'Salary Record'!C385</f>
        <v>Zafar</v>
      </c>
      <c r="C51" s="182"/>
      <c r="D51" s="183"/>
      <c r="E51" s="233">
        <f>'Salary Record'!K384</f>
        <v>28000</v>
      </c>
      <c r="F51" s="233">
        <f>'Salary Record'!C390</f>
        <v>31</v>
      </c>
      <c r="G51" s="238">
        <f>'Salary Record'!C391</f>
        <v>0</v>
      </c>
      <c r="H51" s="233">
        <f>'Salary Record'!I389</f>
        <v>16</v>
      </c>
      <c r="I51" s="233">
        <f>'Salary Record'!I388</f>
        <v>31</v>
      </c>
      <c r="J51" s="232">
        <f>'Salary Record'!K389</f>
        <v>1806.4516129032259</v>
      </c>
      <c r="K51" s="105">
        <f>'Salary Record'!K390</f>
        <v>29806.451612903227</v>
      </c>
      <c r="L51" s="233">
        <f>'Salary Record'!G388</f>
        <v>0</v>
      </c>
      <c r="M51" s="233">
        <f>'Salary Record'!G389</f>
        <v>0</v>
      </c>
      <c r="N51" s="235" t="str">
        <f>'Salary Record'!G390</f>
        <v/>
      </c>
      <c r="O51" s="233">
        <f>'Salary Record'!G391</f>
        <v>0</v>
      </c>
      <c r="P51" s="235" t="str">
        <f>'Salary Record'!G392</f>
        <v/>
      </c>
      <c r="Q51" s="237">
        <f>'Salary Record'!K392</f>
        <v>29806.451612903227</v>
      </c>
      <c r="R51" s="131"/>
      <c r="S51" s="131"/>
      <c r="T51" s="165"/>
      <c r="U51" s="165"/>
      <c r="V51" s="167"/>
    </row>
    <row r="52" spans="1:25" s="166" customFormat="1" ht="21" customHeight="1" x14ac:dyDescent="0.2">
      <c r="A52" s="264">
        <v>5</v>
      </c>
      <c r="B52" s="322" t="str">
        <f>'Salary Record'!C340</f>
        <v>M. Shafeeq</v>
      </c>
      <c r="C52" s="202"/>
      <c r="D52" s="190"/>
      <c r="E52" s="105">
        <f>'Salary Record'!K339</f>
        <v>22000</v>
      </c>
      <c r="F52" s="105">
        <f>'Salary Record'!C345</f>
        <v>31</v>
      </c>
      <c r="G52" s="236">
        <f>'Salary Record'!C346</f>
        <v>0</v>
      </c>
      <c r="H52" s="105">
        <f>'Salary Record'!I344</f>
        <v>124</v>
      </c>
      <c r="I52" s="105">
        <f>'Salary Record'!I343</f>
        <v>31</v>
      </c>
      <c r="J52" s="236">
        <f>'Salary Record'!K344</f>
        <v>11000</v>
      </c>
      <c r="K52" s="236">
        <f>'Salary Record'!K345</f>
        <v>33000</v>
      </c>
      <c r="L52" s="255">
        <f>'Salary Record'!G343</f>
        <v>28000</v>
      </c>
      <c r="M52" s="105">
        <f>'Salary Record'!G344</f>
        <v>0</v>
      </c>
      <c r="N52" s="250">
        <f>'Salary Record'!G345</f>
        <v>28000</v>
      </c>
      <c r="O52" s="105">
        <f>'Salary Record'!G346</f>
        <v>2000</v>
      </c>
      <c r="P52" s="250">
        <f>'Salary Record'!G347</f>
        <v>26000</v>
      </c>
      <c r="Q52" s="237">
        <f>'Salary Record'!K347</f>
        <v>31000</v>
      </c>
      <c r="R52" s="184">
        <f>Q52*75%</f>
        <v>23250</v>
      </c>
      <c r="S52" s="131">
        <v>0</v>
      </c>
      <c r="T52" s="165" t="s">
        <v>145</v>
      </c>
      <c r="U52" s="307"/>
      <c r="V52" s="173"/>
    </row>
    <row r="53" spans="1:25" s="260" customFormat="1" ht="21" x14ac:dyDescent="0.3">
      <c r="A53" s="350" t="s">
        <v>2</v>
      </c>
      <c r="B53" s="351"/>
      <c r="C53" s="287"/>
      <c r="D53" s="287"/>
      <c r="E53" s="289">
        <f>SUM(E48:E52)</f>
        <v>118000</v>
      </c>
      <c r="F53" s="287"/>
      <c r="G53" s="287"/>
      <c r="H53" s="287"/>
      <c r="I53" s="287"/>
      <c r="J53" s="289">
        <f>SUM(J48:J52)</f>
        <v>16524.193548387098</v>
      </c>
      <c r="K53" s="287"/>
      <c r="L53" s="287"/>
      <c r="M53" s="287"/>
      <c r="N53" s="287"/>
      <c r="O53" s="287"/>
      <c r="P53" s="287"/>
      <c r="Q53" s="258">
        <f>SUM(Q48:Q52)</f>
        <v>130524.19354838709</v>
      </c>
      <c r="R53" s="281">
        <f>SUM(R50:R52)</f>
        <v>23250</v>
      </c>
      <c r="S53" s="281">
        <f>SUM(S50:S52)</f>
        <v>0</v>
      </c>
      <c r="T53" s="259"/>
      <c r="V53" s="261"/>
    </row>
    <row r="54" spans="1:25" s="260" customFormat="1" ht="21" x14ac:dyDescent="0.3">
      <c r="A54" s="283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4"/>
      <c r="R54" s="285"/>
      <c r="S54" s="285"/>
      <c r="T54" s="285"/>
      <c r="V54" s="286"/>
    </row>
    <row r="55" spans="1:25" s="210" customFormat="1" ht="21" customHeight="1" x14ac:dyDescent="0.2">
      <c r="A55" s="347" t="s">
        <v>92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9"/>
      <c r="R55" s="208"/>
      <c r="S55" s="208"/>
      <c r="T55" s="222"/>
      <c r="U55" s="216"/>
      <c r="V55" s="211"/>
      <c r="Y55" s="216"/>
    </row>
    <row r="56" spans="1:25" s="166" customFormat="1" ht="21" customHeight="1" x14ac:dyDescent="0.2">
      <c r="A56" s="265">
        <v>1</v>
      </c>
      <c r="B56" s="324" t="str">
        <f>'Salary Record'!C295</f>
        <v>Mukhtiar</v>
      </c>
      <c r="C56" s="185"/>
      <c r="D56" s="186"/>
      <c r="E56" s="257">
        <f>'Salary Record'!K294</f>
        <v>32000</v>
      </c>
      <c r="F56" s="257">
        <f>'Salary Record'!C300</f>
        <v>31</v>
      </c>
      <c r="G56" s="236">
        <f>'Salary Record'!C301</f>
        <v>0</v>
      </c>
      <c r="H56" s="257">
        <f>'Salary Record'!I299</f>
        <v>24</v>
      </c>
      <c r="I56" s="257">
        <f>'Salary Record'!I298</f>
        <v>31</v>
      </c>
      <c r="J56" s="232">
        <f>'Salary Record'!K299</f>
        <v>3096.7741935483873</v>
      </c>
      <c r="K56" s="232">
        <f>'Salary Record'!K300</f>
        <v>35096.774193548386</v>
      </c>
      <c r="L56" s="233">
        <f>'Salary Record'!G298</f>
        <v>11870</v>
      </c>
      <c r="M56" s="234">
        <f>'Salary Record'!G299</f>
        <v>25000</v>
      </c>
      <c r="N56" s="235">
        <f>'Salary Record'!G300</f>
        <v>36870</v>
      </c>
      <c r="O56" s="234">
        <f>'Salary Record'!G301</f>
        <v>5000</v>
      </c>
      <c r="P56" s="235">
        <f>'Salary Record'!G302</f>
        <v>31870</v>
      </c>
      <c r="Q56" s="237">
        <f>'Salary Record'!K302</f>
        <v>30096.774193548386</v>
      </c>
      <c r="R56" s="131"/>
      <c r="S56" s="131"/>
      <c r="T56" s="165" t="s">
        <v>133</v>
      </c>
      <c r="U56" s="166" t="s">
        <v>134</v>
      </c>
      <c r="V56" s="167"/>
    </row>
    <row r="57" spans="1:25" ht="18" x14ac:dyDescent="0.25">
      <c r="A57" s="265">
        <v>2</v>
      </c>
      <c r="B57" s="324" t="str">
        <f>'Salary Record'!C325</f>
        <v>Asif Hussain</v>
      </c>
      <c r="C57" s="100"/>
      <c r="D57" s="89"/>
      <c r="E57" s="257">
        <f>'Salary Record'!K324</f>
        <v>22000</v>
      </c>
      <c r="F57" s="257">
        <f>'Salary Record'!C330</f>
        <v>31</v>
      </c>
      <c r="G57" s="236">
        <f>'Salary Record'!C331</f>
        <v>0</v>
      </c>
      <c r="H57" s="257">
        <f>'Salary Record'!I329</f>
        <v>60</v>
      </c>
      <c r="I57" s="257">
        <f>'Salary Record'!I328</f>
        <v>31</v>
      </c>
      <c r="J57" s="16">
        <f>'Salary Record'!K329</f>
        <v>5322.5806451612898</v>
      </c>
      <c r="K57" s="16">
        <f>'Salary Record'!K330</f>
        <v>27322.580645161288</v>
      </c>
      <c r="L57" s="9">
        <f>'Salary Record'!G328</f>
        <v>10760</v>
      </c>
      <c r="M57" s="17">
        <f>'Salary Record'!G329</f>
        <v>2000</v>
      </c>
      <c r="N57" s="18">
        <f>'Salary Record'!G330</f>
        <v>12760</v>
      </c>
      <c r="O57" s="17">
        <f>'Salary Record'!G331</f>
        <v>2000</v>
      </c>
      <c r="P57" s="18">
        <f>'Salary Record'!G332</f>
        <v>10760</v>
      </c>
      <c r="Q57" s="237">
        <f>'Salary Record'!K332</f>
        <v>25322.580645161288</v>
      </c>
      <c r="R57" s="133"/>
      <c r="S57" s="23"/>
      <c r="T57" s="119"/>
      <c r="U57" s="124"/>
    </row>
    <row r="58" spans="1:25" ht="15.75" x14ac:dyDescent="0.25">
      <c r="A58" s="265">
        <v>3</v>
      </c>
      <c r="B58" s="324" t="str">
        <f>'Salary Record'!C310</f>
        <v xml:space="preserve">M. Imran </v>
      </c>
      <c r="C58" s="97"/>
      <c r="D58" s="91"/>
      <c r="E58" s="257">
        <f>'Salary Record'!K309</f>
        <v>45000</v>
      </c>
      <c r="F58" s="257">
        <f>'Salary Record'!C315</f>
        <v>31</v>
      </c>
      <c r="G58" s="236">
        <f>'Salary Record'!C316</f>
        <v>0</v>
      </c>
      <c r="H58" s="257">
        <f>'Salary Record'!I314</f>
        <v>45</v>
      </c>
      <c r="I58" s="257">
        <f>'Salary Record'!I313</f>
        <v>31</v>
      </c>
      <c r="J58" s="20">
        <f>'Salary Record'!K314</f>
        <v>8165.322580645161</v>
      </c>
      <c r="K58" s="10">
        <f>'Salary Record'!K315</f>
        <v>53165.322580645159</v>
      </c>
      <c r="L58" s="114">
        <f>'Salary Record'!G313</f>
        <v>10000</v>
      </c>
      <c r="M58" s="10">
        <f>'Salary Record'!G314</f>
        <v>2000</v>
      </c>
      <c r="N58" s="87">
        <f>'Salary Record'!G315</f>
        <v>12000</v>
      </c>
      <c r="O58" s="10">
        <f>'Salary Record'!G316</f>
        <v>0</v>
      </c>
      <c r="P58" s="87">
        <f>'Salary Record'!G317</f>
        <v>12000</v>
      </c>
      <c r="Q58" s="237">
        <f>'Salary Record'!K317</f>
        <v>53165.322580645159</v>
      </c>
      <c r="R58" s="132"/>
      <c r="S58" s="23"/>
      <c r="T58" s="119"/>
      <c r="U58" s="8"/>
      <c r="V58" s="115"/>
    </row>
    <row r="59" spans="1:25" s="166" customFormat="1" ht="21" customHeight="1" x14ac:dyDescent="0.2">
      <c r="A59" s="265">
        <v>4</v>
      </c>
      <c r="B59" s="324" t="str">
        <f>'Salary Record'!C280</f>
        <v>M. Arif</v>
      </c>
      <c r="C59" s="192"/>
      <c r="D59" s="193"/>
      <c r="E59" s="257">
        <f>'Salary Record'!K279</f>
        <v>35000</v>
      </c>
      <c r="F59" s="236">
        <f>'Salary Record'!C285</f>
        <v>30</v>
      </c>
      <c r="G59" s="236">
        <f>'Salary Record'!C286</f>
        <v>1</v>
      </c>
      <c r="H59" s="236">
        <f>'Salary Record'!I284</f>
        <v>22</v>
      </c>
      <c r="I59" s="236">
        <f>'Salary Record'!I283</f>
        <v>30</v>
      </c>
      <c r="J59" s="232">
        <f>'Salary Record'!K284</f>
        <v>3104.8387096774195</v>
      </c>
      <c r="K59" s="232">
        <f>'Salary Record'!K285</f>
        <v>36975.806451612902</v>
      </c>
      <c r="L59" s="233" t="str">
        <f>'Salary Record'!G283</f>
        <v/>
      </c>
      <c r="M59" s="234">
        <f>'Salary Record'!G284</f>
        <v>0</v>
      </c>
      <c r="N59" s="235" t="str">
        <f>'Salary Record'!G285</f>
        <v/>
      </c>
      <c r="O59" s="234">
        <f>'Salary Record'!G286</f>
        <v>0</v>
      </c>
      <c r="P59" s="235" t="str">
        <f>'Salary Record'!G287</f>
        <v/>
      </c>
      <c r="Q59" s="237">
        <f>'Salary Record'!K287</f>
        <v>36975.806451612902</v>
      </c>
      <c r="R59" s="131"/>
      <c r="S59" s="131"/>
      <c r="T59" s="165"/>
      <c r="U59" s="165"/>
      <c r="V59" s="167"/>
    </row>
    <row r="60" spans="1:25" s="166" customFormat="1" ht="21" customHeight="1" x14ac:dyDescent="0.2">
      <c r="A60" s="265">
        <v>5</v>
      </c>
      <c r="B60" s="324" t="str">
        <f>'Salary Record'!C625</f>
        <v>Fahad</v>
      </c>
      <c r="C60" s="195" t="s">
        <v>39</v>
      </c>
      <c r="D60" s="196">
        <f>SUM(Q47:Q86)</f>
        <v>3020175.4032258065</v>
      </c>
      <c r="E60" s="257">
        <f>'Salary Record'!K624</f>
        <v>35000</v>
      </c>
      <c r="F60" s="234">
        <f>'Salary Record'!C630</f>
        <v>29</v>
      </c>
      <c r="G60" s="231">
        <f>'Salary Record'!C631</f>
        <v>2</v>
      </c>
      <c r="H60" s="234">
        <f>'Salary Record'!I629</f>
        <v>13</v>
      </c>
      <c r="I60" s="234">
        <f>'Salary Record'!I628</f>
        <v>29</v>
      </c>
      <c r="J60" s="232">
        <f>'Salary Record'!K629</f>
        <v>1834.6774193548385</v>
      </c>
      <c r="K60" s="232">
        <f>'Salary Record'!K630</f>
        <v>34576.612903225803</v>
      </c>
      <c r="L60" s="233">
        <f>'Salary Record'!G628</f>
        <v>0</v>
      </c>
      <c r="M60" s="234">
        <f>'Salary Record'!G629</f>
        <v>5000</v>
      </c>
      <c r="N60" s="234">
        <f>'Salary Record'!G630</f>
        <v>5000</v>
      </c>
      <c r="O60" s="234">
        <f>'Salary Record'!G631</f>
        <v>5000</v>
      </c>
      <c r="P60" s="235">
        <f>'Salary Record'!G632</f>
        <v>0</v>
      </c>
      <c r="Q60" s="237">
        <f>'Salary Record'!K632</f>
        <v>29576.612903225803</v>
      </c>
      <c r="R60" s="131"/>
      <c r="S60" s="131"/>
      <c r="T60" s="165"/>
      <c r="U60" s="165"/>
      <c r="V60" s="167"/>
    </row>
    <row r="61" spans="1:25" ht="15.75" x14ac:dyDescent="0.25">
      <c r="A61" s="265">
        <v>6</v>
      </c>
      <c r="B61" s="324" t="str">
        <f>'Salary Record'!C265</f>
        <v>Ibtehaj</v>
      </c>
      <c r="C61" s="93"/>
      <c r="D61" s="92"/>
      <c r="E61" s="257">
        <f>'Salary Record'!K264</f>
        <v>35000</v>
      </c>
      <c r="F61" s="20">
        <f>'Salary Record'!C270</f>
        <v>31</v>
      </c>
      <c r="G61" s="20">
        <f>'Salary Record'!C271</f>
        <v>0</v>
      </c>
      <c r="H61" s="20">
        <f>'Salary Record'!I269</f>
        <v>20</v>
      </c>
      <c r="I61" s="20">
        <f>'Salary Record'!I268</f>
        <v>31</v>
      </c>
      <c r="J61" s="16">
        <f>'Salary Record'!K269</f>
        <v>2822.5806451612902</v>
      </c>
      <c r="K61" s="16">
        <f>'Salary Record'!K270</f>
        <v>37822.580645161288</v>
      </c>
      <c r="L61" s="9">
        <f>'Salary Record'!G268</f>
        <v>0</v>
      </c>
      <c r="M61" s="17">
        <f>'Salary Record'!G269</f>
        <v>0</v>
      </c>
      <c r="N61" s="18">
        <f>'Salary Record'!G270</f>
        <v>0</v>
      </c>
      <c r="O61" s="17">
        <f>'Salary Record'!G271</f>
        <v>0</v>
      </c>
      <c r="P61" s="18">
        <f>'Salary Record'!G272</f>
        <v>0</v>
      </c>
      <c r="Q61" s="237">
        <f>'Salary Record'!K272</f>
        <v>37822.580645161288</v>
      </c>
      <c r="R61" s="134"/>
      <c r="S61" s="116"/>
      <c r="T61" s="122"/>
      <c r="U61" s="8"/>
    </row>
    <row r="62" spans="1:25" ht="15.75" x14ac:dyDescent="0.25">
      <c r="A62" s="265">
        <v>7</v>
      </c>
      <c r="B62" s="324" t="str">
        <f>'Salary Record'!C250</f>
        <v>M. Moin</v>
      </c>
      <c r="C62" s="93"/>
      <c r="D62" s="92"/>
      <c r="E62" s="257">
        <f>'Salary Record'!K249</f>
        <v>24000</v>
      </c>
      <c r="F62" s="20">
        <f>'Salary Record'!C255</f>
        <v>31</v>
      </c>
      <c r="G62" s="20">
        <f>'Salary Record'!C256</f>
        <v>0</v>
      </c>
      <c r="H62" s="20">
        <f>'Salary Record'!I254</f>
        <v>8</v>
      </c>
      <c r="I62" s="20">
        <f>'Salary Record'!I253</f>
        <v>31</v>
      </c>
      <c r="J62" s="16">
        <f>'Salary Record'!K254</f>
        <v>774.19354838709683</v>
      </c>
      <c r="K62" s="16">
        <f>'Salary Record'!K255</f>
        <v>24774.193548387098</v>
      </c>
      <c r="L62" s="9">
        <f>'Salary Record'!G253</f>
        <v>0</v>
      </c>
      <c r="M62" s="17">
        <f>'Salary Record'!G254</f>
        <v>0</v>
      </c>
      <c r="N62" s="18" t="str">
        <f>'Salary Record'!G255</f>
        <v/>
      </c>
      <c r="O62" s="17">
        <f>'Salary Record'!G256</f>
        <v>0</v>
      </c>
      <c r="P62" s="18" t="str">
        <f>'Salary Record'!G257</f>
        <v/>
      </c>
      <c r="Q62" s="237">
        <f>'Salary Record'!K257</f>
        <v>24774.193548387098</v>
      </c>
      <c r="R62" s="132">
        <v>0</v>
      </c>
      <c r="S62" s="23">
        <f>Q62-R62</f>
        <v>24774.193548387098</v>
      </c>
      <c r="T62" s="119"/>
    </row>
    <row r="63" spans="1:25" s="166" customFormat="1" ht="21" customHeight="1" x14ac:dyDescent="0.2">
      <c r="A63" s="265">
        <v>8</v>
      </c>
      <c r="B63" s="324" t="str">
        <f>'Salary Record'!C655</f>
        <v>Mohib uz Zaman</v>
      </c>
      <c r="C63" s="192"/>
      <c r="D63" s="193"/>
      <c r="E63" s="257">
        <f>'Salary Record'!K654</f>
        <v>35000</v>
      </c>
      <c r="F63" s="236">
        <f>'Salary Record'!C660</f>
        <v>30</v>
      </c>
      <c r="G63" s="236">
        <f>'Salary Record'!C661</f>
        <v>1</v>
      </c>
      <c r="H63" s="236">
        <f>'Salary Record'!I659</f>
        <v>11</v>
      </c>
      <c r="I63" s="236">
        <f>'Salary Record'!I658</f>
        <v>30</v>
      </c>
      <c r="J63" s="232">
        <f>'Salary Record'!K659</f>
        <v>1552.4193548387098</v>
      </c>
      <c r="K63" s="232">
        <f>'Salary Record'!K660</f>
        <v>35423.387096774197</v>
      </c>
      <c r="L63" s="233">
        <f>'Salary Record'!G658</f>
        <v>0</v>
      </c>
      <c r="M63" s="234">
        <f>'Salary Record'!G659</f>
        <v>3000</v>
      </c>
      <c r="N63" s="235">
        <f>'Salary Record'!G660</f>
        <v>3000</v>
      </c>
      <c r="O63" s="234">
        <f>'Salary Record'!G661</f>
        <v>3000</v>
      </c>
      <c r="P63" s="235">
        <f>'Salary Record'!G662</f>
        <v>0</v>
      </c>
      <c r="Q63" s="237">
        <f>'Salary Record'!K662</f>
        <v>32423.387096774197</v>
      </c>
      <c r="R63" s="194"/>
      <c r="S63" s="131"/>
      <c r="T63" s="165"/>
      <c r="U63" s="165"/>
      <c r="V63" s="167"/>
    </row>
    <row r="64" spans="1:25" s="166" customFormat="1" ht="21" customHeight="1" x14ac:dyDescent="0.2">
      <c r="A64" s="265">
        <v>9</v>
      </c>
      <c r="B64" s="323" t="str">
        <f>'Salary Record'!C235</f>
        <v>Hammad Ahmed</v>
      </c>
      <c r="C64" s="182"/>
      <c r="D64" s="183"/>
      <c r="E64" s="257">
        <f>'Salary Record'!K234</f>
        <v>23000</v>
      </c>
      <c r="F64" s="257">
        <f>'Salary Record'!C240</f>
        <v>31</v>
      </c>
      <c r="G64" s="236">
        <f>'Salary Record'!C241</f>
        <v>0</v>
      </c>
      <c r="H64" s="257">
        <f>'Salary Record'!I239</f>
        <v>19</v>
      </c>
      <c r="I64" s="257">
        <f>'Salary Record'!I238</f>
        <v>31</v>
      </c>
      <c r="J64" s="232">
        <f>'Salary Record'!K239</f>
        <v>1762.0967741935483</v>
      </c>
      <c r="K64" s="105">
        <f>'Salary Record'!K240</f>
        <v>24762.096774193549</v>
      </c>
      <c r="L64" s="233">
        <f>'Salary Record'!G238</f>
        <v>3000</v>
      </c>
      <c r="M64" s="233">
        <f>'Salary Record'!G239</f>
        <v>2000</v>
      </c>
      <c r="N64" s="235">
        <f>'Salary Record'!G240</f>
        <v>5000</v>
      </c>
      <c r="O64" s="233">
        <f>'Salary Record'!G241</f>
        <v>2000</v>
      </c>
      <c r="P64" s="235">
        <f>'Salary Record'!G242</f>
        <v>3000</v>
      </c>
      <c r="Q64" s="237">
        <f>'Salary Record'!K242</f>
        <v>22762.096774193549</v>
      </c>
      <c r="R64" s="131"/>
      <c r="S64" s="131"/>
      <c r="T64" s="165" t="s">
        <v>147</v>
      </c>
      <c r="V64" s="167"/>
    </row>
    <row r="65" spans="1:26" s="260" customFormat="1" ht="21" x14ac:dyDescent="0.3">
      <c r="A65" s="350" t="s">
        <v>2</v>
      </c>
      <c r="B65" s="351"/>
      <c r="C65" s="287"/>
      <c r="D65" s="287"/>
      <c r="E65" s="289">
        <f>SUM(E56:E64)</f>
        <v>286000</v>
      </c>
      <c r="F65" s="287"/>
      <c r="G65" s="287"/>
      <c r="H65" s="287"/>
      <c r="I65" s="287"/>
      <c r="J65" s="289">
        <f>SUM(J56:J64)</f>
        <v>28435.483870967746</v>
      </c>
      <c r="K65" s="287"/>
      <c r="L65" s="287"/>
      <c r="M65" s="287"/>
      <c r="N65" s="287"/>
      <c r="O65" s="287"/>
      <c r="P65" s="287"/>
      <c r="Q65" s="289">
        <f>SUM(Q56:Q64)</f>
        <v>292919.35483870964</v>
      </c>
      <c r="R65" s="281">
        <f ca="1">SUM(R56:R86)</f>
        <v>0</v>
      </c>
      <c r="S65" s="281">
        <f ca="1">SUM(S56:S86)</f>
        <v>22000</v>
      </c>
      <c r="T65" s="259"/>
      <c r="U65" s="285"/>
      <c r="V65" s="261"/>
    </row>
    <row r="66" spans="1:26" s="260" customFormat="1" ht="21" x14ac:dyDescent="0.3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3"/>
      <c r="P66" s="283"/>
      <c r="Q66" s="284"/>
      <c r="R66" s="285"/>
      <c r="S66" s="285"/>
      <c r="T66" s="285"/>
      <c r="V66" s="286"/>
    </row>
    <row r="67" spans="1:26" s="214" customFormat="1" ht="21" customHeight="1" x14ac:dyDescent="0.2">
      <c r="A67" s="355" t="s">
        <v>213</v>
      </c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  <c r="N67" s="356"/>
      <c r="O67" s="356"/>
      <c r="P67" s="356"/>
      <c r="Q67" s="357"/>
      <c r="R67" s="212"/>
      <c r="S67" s="212"/>
      <c r="T67" s="213"/>
      <c r="U67" s="276"/>
      <c r="V67" s="215"/>
      <c r="W67" s="276"/>
    </row>
    <row r="68" spans="1:26" s="166" customFormat="1" ht="21" customHeight="1" x14ac:dyDescent="0.2">
      <c r="A68" s="264">
        <v>1</v>
      </c>
      <c r="B68" s="321" t="s">
        <v>15</v>
      </c>
      <c r="C68" s="205"/>
      <c r="D68" s="206"/>
      <c r="E68" s="223">
        <f>'Salary Record'!K84</f>
        <v>50000</v>
      </c>
      <c r="F68" s="223">
        <f>'Salary Record'!C90</f>
        <v>31</v>
      </c>
      <c r="G68" s="224">
        <f>'Salary Record'!C91</f>
        <v>0</v>
      </c>
      <c r="H68" s="223">
        <f>'Salary Record'!I89</f>
        <v>47</v>
      </c>
      <c r="I68" s="223">
        <f>'Salary Record'!I88</f>
        <v>31</v>
      </c>
      <c r="J68" s="310">
        <f>'Salary Record'!K89</f>
        <v>9475.8064516129034</v>
      </c>
      <c r="K68" s="225">
        <f>'Salary Record'!K90</f>
        <v>59475.806451612902</v>
      </c>
      <c r="L68" s="226">
        <f>'Salary Record'!G88</f>
        <v>0</v>
      </c>
      <c r="M68" s="227">
        <f>'Salary Record'!G89</f>
        <v>50000</v>
      </c>
      <c r="N68" s="228">
        <f>'Salary Record'!G90</f>
        <v>50000</v>
      </c>
      <c r="O68" s="227">
        <f>'Salary Record'!G91</f>
        <v>50000</v>
      </c>
      <c r="P68" s="228">
        <f>'Salary Record'!G92</f>
        <v>0</v>
      </c>
      <c r="Q68" s="278">
        <f>'Salary Record'!K92</f>
        <v>9475.8064516129016</v>
      </c>
      <c r="R68" s="179"/>
      <c r="S68" s="131"/>
      <c r="T68" s="165"/>
      <c r="U68" s="165"/>
      <c r="V68" s="167"/>
      <c r="W68" s="165"/>
    </row>
    <row r="69" spans="1:26" s="166" customFormat="1" ht="21" customHeight="1" x14ac:dyDescent="0.2">
      <c r="A69" s="264">
        <v>5</v>
      </c>
      <c r="B69" s="229" t="str">
        <f>'Salary Record'!C719</f>
        <v>Noman Ali Sheikh Ansari</v>
      </c>
      <c r="C69" s="197" t="s">
        <v>87</v>
      </c>
      <c r="D69" s="198">
        <f>SUM(Q27:Q79)</f>
        <v>2478463.7096774192</v>
      </c>
      <c r="E69" s="257">
        <f>'Salary Record'!K722</f>
        <v>0</v>
      </c>
      <c r="F69" s="257">
        <f>'Salary Record'!C724</f>
        <v>0</v>
      </c>
      <c r="G69" s="236">
        <f>'Salary Record'!C725</f>
        <v>0</v>
      </c>
      <c r="H69" s="257">
        <f>'Salary Record'!I723</f>
        <v>0</v>
      </c>
      <c r="I69" s="257">
        <f>'Salary Record'!I722</f>
        <v>0</v>
      </c>
      <c r="J69" s="232">
        <f>'Salary Record'!K723</f>
        <v>0</v>
      </c>
      <c r="K69" s="232">
        <f>'Salary Record'!K724</f>
        <v>0</v>
      </c>
      <c r="L69" s="233" t="str">
        <f>'Salary Record'!G722</f>
        <v/>
      </c>
      <c r="M69" s="234">
        <f>'Salary Record'!G723</f>
        <v>0</v>
      </c>
      <c r="N69" s="235" t="str">
        <f>'Salary Record'!G724</f>
        <v/>
      </c>
      <c r="O69" s="234">
        <f>'Salary Record'!G725</f>
        <v>0</v>
      </c>
      <c r="P69" s="235" t="str">
        <f>'Salary Record'!G726</f>
        <v/>
      </c>
      <c r="Q69" s="239">
        <f>'Salary Record'!K726</f>
        <v>0</v>
      </c>
      <c r="R69" s="131"/>
      <c r="S69" s="131"/>
      <c r="T69" s="165"/>
      <c r="V69" s="167"/>
    </row>
    <row r="70" spans="1:26" ht="15.75" x14ac:dyDescent="0.25">
      <c r="A70" s="268">
        <v>2</v>
      </c>
      <c r="B70" s="229" t="str">
        <f>'Salary Record'!C703</f>
        <v>Salman Izhar</v>
      </c>
      <c r="C70" s="93"/>
      <c r="D70" s="92"/>
      <c r="E70" s="10">
        <f>'Salary Record'!K702</f>
        <v>45000</v>
      </c>
      <c r="F70" s="10">
        <f>'Salary Record'!C708</f>
        <v>17</v>
      </c>
      <c r="G70" s="20">
        <f>'Salary Record'!C709</f>
        <v>14</v>
      </c>
      <c r="H70" s="10">
        <f>'Salary Record'!I707</f>
        <v>0</v>
      </c>
      <c r="I70" s="10">
        <f>'Salary Record'!I706</f>
        <v>17</v>
      </c>
      <c r="J70" s="16">
        <f>'Salary Record'!K707</f>
        <v>0</v>
      </c>
      <c r="K70" s="10">
        <f>'Salary Record'!K708</f>
        <v>24677.419354838708</v>
      </c>
      <c r="L70" s="9">
        <f>'Salary Record'!G706</f>
        <v>0</v>
      </c>
      <c r="M70" s="17">
        <f>'Salary Record'!G707</f>
        <v>0</v>
      </c>
      <c r="N70" s="18">
        <f>'Salary Record'!G708</f>
        <v>0</v>
      </c>
      <c r="O70" s="17">
        <f>'Salary Record'!G709</f>
        <v>0</v>
      </c>
      <c r="P70" s="18">
        <f>'Salary Record'!G710</f>
        <v>0</v>
      </c>
      <c r="Q70" s="23">
        <f>'Salary Record'!K710</f>
        <v>24677.419354838708</v>
      </c>
      <c r="R70" s="133">
        <f>Q70*75%</f>
        <v>18508.06451612903</v>
      </c>
      <c r="S70" s="23">
        <v>0</v>
      </c>
      <c r="T70" s="119"/>
      <c r="U70" s="8"/>
    </row>
    <row r="71" spans="1:26" s="166" customFormat="1" ht="21" customHeight="1" x14ac:dyDescent="0.3">
      <c r="A71" s="265">
        <v>3</v>
      </c>
      <c r="B71" s="322" t="str">
        <f>'Salary Record'!C595</f>
        <v>Shahzaib ullah</v>
      </c>
      <c r="C71" s="169"/>
      <c r="D71" s="170"/>
      <c r="E71" s="105">
        <f>'Salary Record'!K594</f>
        <v>45000</v>
      </c>
      <c r="F71" s="105">
        <f>'Salary Record'!C600</f>
        <v>29</v>
      </c>
      <c r="G71" s="236">
        <f>'Salary Record'!C601</f>
        <v>2</v>
      </c>
      <c r="H71" s="105">
        <f>'Salary Record'!I599</f>
        <v>0</v>
      </c>
      <c r="I71" s="105">
        <f>'Salary Record'!I598</f>
        <v>29</v>
      </c>
      <c r="J71" s="232">
        <f>'Salary Record'!K599</f>
        <v>0</v>
      </c>
      <c r="K71" s="105">
        <f>'Salary Record'!K600</f>
        <v>42096.774193548386</v>
      </c>
      <c r="L71" s="233">
        <f>'Salary Record'!G598</f>
        <v>0</v>
      </c>
      <c r="M71" s="233">
        <f>'Salary Record'!G599</f>
        <v>0</v>
      </c>
      <c r="N71" s="233">
        <f>'Salary Record'!G600</f>
        <v>0</v>
      </c>
      <c r="O71" s="233">
        <f>'Salary Record'!G601</f>
        <v>0</v>
      </c>
      <c r="P71" s="233">
        <f>'Salary Record'!G602</f>
        <v>0</v>
      </c>
      <c r="Q71" s="237">
        <f>'Salary Record'!K602</f>
        <v>42096.774193548386</v>
      </c>
      <c r="R71" s="131"/>
      <c r="S71" s="131"/>
      <c r="T71" s="165"/>
      <c r="U71" s="165"/>
      <c r="V71" s="261"/>
    </row>
    <row r="72" spans="1:26" ht="15.75" x14ac:dyDescent="0.25">
      <c r="A72" s="264">
        <v>4</v>
      </c>
      <c r="B72" s="321" t="str">
        <f>'Salary Record'!C415</f>
        <v>Engr. Saad</v>
      </c>
      <c r="C72" s="100"/>
      <c r="D72" s="91"/>
      <c r="E72" s="20">
        <f>'Salary Record'!K414</f>
        <v>70000</v>
      </c>
      <c r="F72" s="20">
        <f>'Salary Record'!C420</f>
        <v>31</v>
      </c>
      <c r="G72" s="20">
        <f>'Salary Record'!C421</f>
        <v>0</v>
      </c>
      <c r="H72" s="20">
        <f>'Salary Record'!I419</f>
        <v>0</v>
      </c>
      <c r="I72" s="20">
        <f>'Salary Record'!I418</f>
        <v>39</v>
      </c>
      <c r="J72" s="16">
        <f>'Salary Record'!K419</f>
        <v>0</v>
      </c>
      <c r="K72" s="16">
        <f>'Salary Record'!K420</f>
        <v>88064.516129032258</v>
      </c>
      <c r="L72" s="9">
        <f>'Salary Record'!G418</f>
        <v>0</v>
      </c>
      <c r="M72" s="17">
        <f>'Salary Record'!G419</f>
        <v>0</v>
      </c>
      <c r="N72" s="18">
        <f>'Salary Record'!G420</f>
        <v>0</v>
      </c>
      <c r="O72" s="17">
        <f>'Salary Record'!G421</f>
        <v>0</v>
      </c>
      <c r="P72" s="18">
        <f>'Salary Record'!G422</f>
        <v>0</v>
      </c>
      <c r="Q72" s="23">
        <f>'Salary Record'!K422</f>
        <v>88064.516129032258</v>
      </c>
      <c r="R72" s="132"/>
      <c r="S72" s="23"/>
      <c r="T72" s="119"/>
    </row>
    <row r="73" spans="1:26" s="166" customFormat="1" ht="21" customHeight="1" x14ac:dyDescent="0.2">
      <c r="A73" s="268">
        <v>5</v>
      </c>
      <c r="B73" s="324" t="str">
        <f>'Salary Record'!C100</f>
        <v>Mubeen</v>
      </c>
      <c r="C73" s="169"/>
      <c r="D73" s="170"/>
      <c r="E73" s="234">
        <f>'Salary Record'!K99</f>
        <v>65000</v>
      </c>
      <c r="F73" s="234">
        <f>'Salary Record'!C105</f>
        <v>31</v>
      </c>
      <c r="G73" s="231">
        <f>'Salary Record'!C106</f>
        <v>0</v>
      </c>
      <c r="H73" s="234">
        <f>'Salary Record'!I104</f>
        <v>0</v>
      </c>
      <c r="I73" s="234">
        <f>'Salary Record'!I103</f>
        <v>31</v>
      </c>
      <c r="J73" s="232">
        <f>'Salary Record'!K104</f>
        <v>0</v>
      </c>
      <c r="K73" s="232">
        <f>'Salary Record'!K105</f>
        <v>65000.000000000007</v>
      </c>
      <c r="L73" s="233">
        <f>'Salary Record'!G103</f>
        <v>0</v>
      </c>
      <c r="M73" s="234">
        <f>'Salary Record'!G104</f>
        <v>0</v>
      </c>
      <c r="N73" s="235">
        <f>'Salary Record'!G105</f>
        <v>0</v>
      </c>
      <c r="O73" s="234">
        <f>'Salary Record'!G106</f>
        <v>0</v>
      </c>
      <c r="P73" s="235">
        <f>'Salary Record'!G107</f>
        <v>0</v>
      </c>
      <c r="Q73" s="237">
        <f>'Salary Record'!K107</f>
        <v>65000.000000000007</v>
      </c>
      <c r="R73" s="131"/>
      <c r="S73" s="131"/>
      <c r="T73" s="165"/>
      <c r="U73" s="165"/>
      <c r="V73" s="167"/>
    </row>
    <row r="74" spans="1:26" s="166" customFormat="1" ht="21" customHeight="1" x14ac:dyDescent="0.2">
      <c r="A74" s="265">
        <v>6</v>
      </c>
      <c r="B74" s="321" t="str">
        <f>'Salary Record'!C430</f>
        <v>A. Lateef Chacha</v>
      </c>
      <c r="C74" s="185"/>
      <c r="D74" s="186"/>
      <c r="E74" s="105">
        <f>'Salary Record'!K429</f>
        <v>25000</v>
      </c>
      <c r="F74" s="105">
        <f>'Salary Record'!C435</f>
        <v>30</v>
      </c>
      <c r="G74" s="236">
        <f>'Salary Record'!C436</f>
        <v>1</v>
      </c>
      <c r="H74" s="105">
        <f>'Salary Record'!I434</f>
        <v>7</v>
      </c>
      <c r="I74" s="105">
        <f>'Salary Record'!I433</f>
        <v>31</v>
      </c>
      <c r="J74" s="232">
        <f>'Salary Record'!K434</f>
        <v>705.64516129032268</v>
      </c>
      <c r="K74" s="232">
        <f>'Salary Record'!K435</f>
        <v>25705.645161290322</v>
      </c>
      <c r="L74" s="233">
        <f>'Salary Record'!G433</f>
        <v>13500</v>
      </c>
      <c r="M74" s="233">
        <f>'Salary Record'!G434</f>
        <v>5000</v>
      </c>
      <c r="N74" s="235">
        <f>'Salary Record'!G435</f>
        <v>18500</v>
      </c>
      <c r="O74" s="233">
        <f>'Salary Record'!G436</f>
        <v>2000</v>
      </c>
      <c r="P74" s="235">
        <f>'Salary Record'!G437</f>
        <v>16500</v>
      </c>
      <c r="Q74" s="237">
        <f>'Salary Record'!K437</f>
        <v>23705.645161290322</v>
      </c>
      <c r="R74" s="131"/>
      <c r="S74" s="131"/>
      <c r="T74" s="165"/>
      <c r="U74" s="165"/>
      <c r="V74" s="167"/>
    </row>
    <row r="75" spans="1:26" ht="15.75" x14ac:dyDescent="0.25">
      <c r="A75" s="264">
        <v>7</v>
      </c>
      <c r="B75" s="321" t="str">
        <f>'Salary Record'!C445</f>
        <v>Lateef</v>
      </c>
      <c r="C75" s="15"/>
      <c r="D75" s="88"/>
      <c r="E75" s="9">
        <f>'Salary Record'!K444</f>
        <v>30000</v>
      </c>
      <c r="F75" s="9">
        <f>'Salary Record'!C450</f>
        <v>28</v>
      </c>
      <c r="G75" s="21">
        <f>'Salary Record'!C451</f>
        <v>3</v>
      </c>
      <c r="H75" s="9">
        <f>'Salary Record'!I449</f>
        <v>15</v>
      </c>
      <c r="I75" s="9">
        <f>'Salary Record'!I448</f>
        <v>28</v>
      </c>
      <c r="J75" s="16">
        <f>'Salary Record'!K449</f>
        <v>1814.516129032258</v>
      </c>
      <c r="K75" s="16">
        <f>'Salary Record'!K450</f>
        <v>28911.290322580644</v>
      </c>
      <c r="L75" s="9">
        <f>'Salary Record'!G448</f>
        <v>35000</v>
      </c>
      <c r="M75" s="9">
        <f>'Salary Record'!G449</f>
        <v>10000</v>
      </c>
      <c r="N75" s="140">
        <f>'Salary Record'!G450</f>
        <v>45000</v>
      </c>
      <c r="O75" s="9">
        <f>'Salary Record'!G451</f>
        <v>15000</v>
      </c>
      <c r="P75" s="140">
        <f>'Salary Record'!G452</f>
        <v>30000</v>
      </c>
      <c r="Q75" s="131">
        <f>'Salary Record'!K452</f>
        <v>13911.290322580644</v>
      </c>
      <c r="R75" s="132">
        <v>0</v>
      </c>
      <c r="S75" s="23">
        <f t="shared" ref="S75" si="2">Q75-R75</f>
        <v>13911.290322580644</v>
      </c>
      <c r="T75" s="119"/>
      <c r="U75" s="8"/>
      <c r="X75" s="2"/>
      <c r="Z75" s="2"/>
    </row>
    <row r="76" spans="1:26" s="166" customFormat="1" ht="21" customHeight="1" x14ac:dyDescent="0.2">
      <c r="A76" s="268">
        <v>8</v>
      </c>
      <c r="B76" s="321" t="s">
        <v>31</v>
      </c>
      <c r="C76" s="197"/>
      <c r="D76" s="198"/>
      <c r="E76" s="230">
        <f>'Salary Record'!K204</f>
        <v>30000</v>
      </c>
      <c r="F76" s="230">
        <f>'Salary Record'!C210</f>
        <v>29</v>
      </c>
      <c r="G76" s="231">
        <f>'Salary Record'!C211</f>
        <v>2</v>
      </c>
      <c r="H76" s="230">
        <f>'Salary Record'!I209</f>
        <v>36</v>
      </c>
      <c r="I76" s="230">
        <f>'Salary Record'!I208</f>
        <v>31</v>
      </c>
      <c r="J76" s="232">
        <f>'Salary Record'!K209</f>
        <v>4354.8387096774195</v>
      </c>
      <c r="K76" s="105">
        <f>'Salary Record'!K210</f>
        <v>34354.838709677417</v>
      </c>
      <c r="L76" s="233">
        <f>'Salary Record'!G208</f>
        <v>75000</v>
      </c>
      <c r="M76" s="234">
        <f>'Salary Record'!G209</f>
        <v>10000</v>
      </c>
      <c r="N76" s="235">
        <f>'Salary Record'!G210</f>
        <v>85000</v>
      </c>
      <c r="O76" s="234">
        <f>'Salary Record'!G211</f>
        <v>15000</v>
      </c>
      <c r="P76" s="235">
        <f>'Salary Record'!G212</f>
        <v>70000</v>
      </c>
      <c r="Q76" s="237">
        <f>'Salary Record'!K212</f>
        <v>19354.838709677417</v>
      </c>
      <c r="R76" s="131"/>
      <c r="S76" s="131"/>
      <c r="T76" s="165" t="s">
        <v>135</v>
      </c>
      <c r="U76" s="165" t="s">
        <v>136</v>
      </c>
      <c r="V76" s="167"/>
    </row>
    <row r="77" spans="1:26" ht="15.75" x14ac:dyDescent="0.25">
      <c r="A77" s="265">
        <v>9</v>
      </c>
      <c r="B77" s="340" t="str">
        <f>'Salary Record'!C580</f>
        <v>Sheheryar Khalid</v>
      </c>
      <c r="C77" s="106"/>
      <c r="D77" s="107"/>
      <c r="E77" s="9">
        <f>'Salary Record'!K579</f>
        <v>30000</v>
      </c>
      <c r="F77" s="9">
        <f>'Salary Record'!C585</f>
        <v>0</v>
      </c>
      <c r="G77" s="21">
        <f>'Salary Record'!C586</f>
        <v>0</v>
      </c>
      <c r="H77" s="9">
        <f>'Salary Record'!I584</f>
        <v>98</v>
      </c>
      <c r="I77" s="9">
        <f>'Salary Record'!I583</f>
        <v>0</v>
      </c>
      <c r="J77" s="311">
        <f>'Salary Record'!K584</f>
        <v>11854.838709677419</v>
      </c>
      <c r="K77" s="16">
        <f>'Salary Record'!K585</f>
        <v>11854.838709677419</v>
      </c>
      <c r="L77" s="9">
        <f>'Salary Record'!G583</f>
        <v>45000</v>
      </c>
      <c r="M77" s="9">
        <f>'Salary Record'!G584</f>
        <v>0</v>
      </c>
      <c r="N77" s="18">
        <f>'Salary Record'!G585</f>
        <v>45000</v>
      </c>
      <c r="O77" s="9">
        <f>'Salary Record'!G586</f>
        <v>0</v>
      </c>
      <c r="P77" s="18">
        <f>'Salary Record'!G587</f>
        <v>45000</v>
      </c>
      <c r="Q77" s="237">
        <f>'Salary Record'!K587</f>
        <v>0</v>
      </c>
      <c r="R77" s="133">
        <f>Q77*75%</f>
        <v>0</v>
      </c>
      <c r="S77" s="23">
        <v>0</v>
      </c>
      <c r="T77" s="119"/>
    </row>
    <row r="78" spans="1:26" s="166" customFormat="1" ht="21" customHeight="1" x14ac:dyDescent="0.2">
      <c r="A78" s="264">
        <v>10</v>
      </c>
      <c r="B78" s="229" t="s">
        <v>9</v>
      </c>
      <c r="C78" s="191"/>
      <c r="D78" s="188"/>
      <c r="E78" s="236">
        <f>'Salary Record'!K159</f>
        <v>30000</v>
      </c>
      <c r="F78" s="236">
        <f>'Salary Record'!C165</f>
        <v>30</v>
      </c>
      <c r="G78" s="236">
        <f>'Salary Record'!C166</f>
        <v>1</v>
      </c>
      <c r="H78" s="236">
        <f>'Salary Record'!I164</f>
        <v>64</v>
      </c>
      <c r="I78" s="236">
        <f>'Salary Record'!I163</f>
        <v>31</v>
      </c>
      <c r="J78" s="232">
        <f>'Salary Record'!K164</f>
        <v>7741.9354838709678</v>
      </c>
      <c r="K78" s="232">
        <f>'Salary Record'!K165</f>
        <v>37741.93548387097</v>
      </c>
      <c r="L78" s="233">
        <f>'Salary Record'!G163</f>
        <v>62867</v>
      </c>
      <c r="M78" s="234">
        <f>'Salary Record'!G164</f>
        <v>0</v>
      </c>
      <c r="N78" s="235">
        <f>'Salary Record'!G165</f>
        <v>62867</v>
      </c>
      <c r="O78" s="234">
        <f>'Salary Record'!G166</f>
        <v>10000</v>
      </c>
      <c r="P78" s="235">
        <f>'Salary Record'!G167</f>
        <v>52867</v>
      </c>
      <c r="Q78" s="237">
        <f>'Salary Record'!K167</f>
        <v>27741.93548387097</v>
      </c>
      <c r="R78" s="131"/>
      <c r="S78" s="131"/>
      <c r="T78" s="165" t="s">
        <v>123</v>
      </c>
      <c r="U78" s="165" t="s">
        <v>124</v>
      </c>
      <c r="V78" s="167"/>
    </row>
    <row r="79" spans="1:26" s="260" customFormat="1" ht="21" x14ac:dyDescent="0.3">
      <c r="A79" s="350" t="s">
        <v>2</v>
      </c>
      <c r="B79" s="351"/>
      <c r="C79" s="287"/>
      <c r="D79" s="287"/>
      <c r="E79" s="291">
        <f>SUM(E68:E78)</f>
        <v>420000</v>
      </c>
      <c r="F79" s="287"/>
      <c r="G79" s="287"/>
      <c r="H79" s="287"/>
      <c r="I79" s="287"/>
      <c r="J79" s="291">
        <f>SUM(J68:J78)</f>
        <v>35947.580645161288</v>
      </c>
      <c r="K79" s="287"/>
      <c r="L79" s="287"/>
      <c r="M79" s="287"/>
      <c r="N79" s="287"/>
      <c r="O79" s="287"/>
      <c r="P79" s="287"/>
      <c r="Q79" s="258">
        <f>SUM(Q68:Q78)</f>
        <v>314028.22580645158</v>
      </c>
      <c r="R79" s="281" t="e">
        <f ca="1">SUM(R74:R90)</f>
        <v>#REF!</v>
      </c>
      <c r="S79" s="281" t="e">
        <f ca="1">SUM(S74:S90)</f>
        <v>#REF!</v>
      </c>
      <c r="T79" s="259"/>
      <c r="V79" s="261"/>
    </row>
    <row r="80" spans="1:26" s="260" customFormat="1" ht="21" x14ac:dyDescent="0.3">
      <c r="A80" s="328"/>
      <c r="B80" s="329"/>
      <c r="C80" s="330"/>
      <c r="D80" s="330"/>
      <c r="E80" s="237"/>
      <c r="F80" s="330"/>
      <c r="G80" s="330"/>
      <c r="H80" s="330"/>
      <c r="I80" s="330"/>
      <c r="J80" s="237"/>
      <c r="K80" s="331"/>
      <c r="L80" s="287"/>
      <c r="M80" s="287"/>
      <c r="N80" s="287"/>
      <c r="O80" s="287"/>
      <c r="P80" s="287"/>
      <c r="Q80" s="332"/>
      <c r="R80" s="333"/>
      <c r="S80" s="333"/>
      <c r="T80" s="285"/>
      <c r="V80" s="334"/>
    </row>
    <row r="81" spans="1:23" ht="21" customHeight="1" x14ac:dyDescent="0.2">
      <c r="A81" s="366" t="s">
        <v>105</v>
      </c>
      <c r="B81" s="367"/>
      <c r="C81" s="279"/>
      <c r="D81" s="279"/>
      <c r="E81" s="293">
        <f>SUM(E4+E5+E65+E53+E46+E34+E27+E20+E11+E79)</f>
        <v>1711500</v>
      </c>
      <c r="F81" s="279"/>
      <c r="G81" s="279"/>
      <c r="H81" s="279"/>
      <c r="I81" s="279"/>
      <c r="J81" s="292">
        <f ca="1">SUM(J4+J5+#REF!+J65+J53+J46+J34+J27+J20+J11+J79)</f>
        <v>140606.24999999997</v>
      </c>
      <c r="K81" s="280"/>
      <c r="L81" s="263">
        <f>SUM(L4:L79)</f>
        <v>602922</v>
      </c>
      <c r="M81" s="290">
        <f>SUM(M4:M79)</f>
        <v>208000</v>
      </c>
      <c r="N81" s="263">
        <f>SUM(N4:N79)</f>
        <v>810922</v>
      </c>
      <c r="O81" s="263">
        <f>SUM(O4:O79)</f>
        <v>175000</v>
      </c>
      <c r="P81" s="263">
        <f>SUM(P4:P79)</f>
        <v>635922</v>
      </c>
      <c r="Q81" s="262">
        <f>SUM(Q4+Q5++Q65+Q53+Q46+Q34+Q27+Q20+Q11+Q79)+20000</f>
        <v>1545231.8548387096</v>
      </c>
      <c r="R81" s="96" t="e">
        <f ca="1">SUM(R4+R5+#REF!+#REF!+R65+R53+#REF!+R46+R34+R27+R20+R11)</f>
        <v>#REF!</v>
      </c>
      <c r="S81" s="96" t="e">
        <f ca="1">SUM(S4+S5+#REF!+#REF!+S65+S53+#REF!+S46+S34+S27+S20+S11)</f>
        <v>#REF!</v>
      </c>
      <c r="T81" s="121"/>
      <c r="U81" s="8"/>
      <c r="V81" s="2">
        <f>63000+29000</f>
        <v>92000</v>
      </c>
      <c r="W81" s="8"/>
    </row>
    <row r="82" spans="1:23" ht="20.45" customHeight="1" x14ac:dyDescent="0.2">
      <c r="A82" s="368" t="s">
        <v>179</v>
      </c>
      <c r="B82" s="369"/>
      <c r="C82" s="369"/>
      <c r="D82" s="369"/>
      <c r="E82" s="369"/>
      <c r="F82" s="369"/>
      <c r="G82" s="369"/>
      <c r="H82" s="369"/>
      <c r="I82" s="369"/>
      <c r="J82" s="369"/>
      <c r="K82" s="369"/>
      <c r="L82" s="369"/>
      <c r="M82" s="369"/>
      <c r="N82" s="369"/>
      <c r="O82" s="369"/>
      <c r="P82" s="370"/>
      <c r="Q82" s="141"/>
      <c r="R82" s="96"/>
      <c r="S82" s="96"/>
      <c r="T82" s="121"/>
      <c r="U82" s="8"/>
      <c r="W82" s="8"/>
    </row>
    <row r="83" spans="1:23" ht="20.45" customHeight="1" x14ac:dyDescent="0.2">
      <c r="A83" s="368" t="s">
        <v>180</v>
      </c>
      <c r="B83" s="369"/>
      <c r="C83" s="369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70"/>
      <c r="Q83" s="141"/>
      <c r="R83" s="96"/>
      <c r="S83" s="96"/>
      <c r="T83" s="121"/>
      <c r="U83" s="8"/>
      <c r="W83" s="8"/>
    </row>
    <row r="84" spans="1:23" ht="20.45" customHeight="1" x14ac:dyDescent="0.25">
      <c r="A84" s="266"/>
      <c r="B84" s="123"/>
      <c r="C84" s="123"/>
      <c r="D84" s="123"/>
      <c r="E84" s="123"/>
      <c r="F84" s="123"/>
      <c r="G84" s="123"/>
      <c r="H84" s="123"/>
      <c r="I84" s="123"/>
      <c r="J84" s="123"/>
      <c r="K84" s="143"/>
      <c r="L84" s="143"/>
      <c r="M84" s="143"/>
      <c r="N84" s="143"/>
      <c r="O84" s="144"/>
      <c r="P84" s="144"/>
      <c r="Q84" s="145"/>
      <c r="R84" s="96"/>
      <c r="S84" s="96"/>
      <c r="T84" s="121"/>
      <c r="U84" s="8"/>
      <c r="W84" s="8"/>
    </row>
    <row r="85" spans="1:23" ht="18" x14ac:dyDescent="0.25">
      <c r="A85" s="268"/>
      <c r="B85" s="142"/>
      <c r="C85" s="98"/>
      <c r="D85" s="99"/>
      <c r="E85" s="9"/>
      <c r="F85" s="9"/>
      <c r="G85" s="21"/>
      <c r="H85" s="101"/>
      <c r="I85" s="9"/>
      <c r="J85" s="16"/>
      <c r="K85" s="10"/>
      <c r="L85" s="9"/>
      <c r="M85" s="9"/>
      <c r="N85" s="18"/>
      <c r="O85" s="9"/>
      <c r="P85" s="18"/>
      <c r="Q85" s="309"/>
      <c r="R85" s="114"/>
      <c r="S85" s="23"/>
      <c r="T85" s="119"/>
      <c r="U85" s="8"/>
      <c r="W85" s="8"/>
    </row>
    <row r="86" spans="1:23" x14ac:dyDescent="0.2">
      <c r="A86" s="269"/>
      <c r="B86" s="135"/>
      <c r="C86" s="135"/>
      <c r="D86" s="135"/>
      <c r="E86" s="110"/>
      <c r="F86" s="110"/>
      <c r="G86" s="136"/>
      <c r="H86" s="110"/>
      <c r="I86" s="110"/>
      <c r="J86" s="110"/>
      <c r="K86" s="110"/>
      <c r="L86" s="110"/>
      <c r="M86" s="110"/>
      <c r="N86" s="137"/>
      <c r="O86" s="110"/>
      <c r="P86" s="137"/>
      <c r="Q86" s="111"/>
      <c r="U86" s="8"/>
    </row>
    <row r="87" spans="1:23" s="166" customFormat="1" ht="21" customHeight="1" x14ac:dyDescent="0.2">
      <c r="A87" s="264">
        <v>2</v>
      </c>
      <c r="B87" s="295" t="s">
        <v>13</v>
      </c>
      <c r="C87" s="203" t="s">
        <v>32</v>
      </c>
      <c r="D87" s="204" t="e">
        <f>SUM(Q26:Q89)</f>
        <v>#REF!</v>
      </c>
      <c r="E87" s="251" t="e">
        <f>'Salary Record'!#REF!</f>
        <v>#REF!</v>
      </c>
      <c r="F87" s="251" t="e">
        <f>'Salary Record'!#REF!</f>
        <v>#REF!</v>
      </c>
      <c r="G87" s="252" t="e">
        <f>'Salary Record'!#REF!</f>
        <v>#REF!</v>
      </c>
      <c r="H87" s="251" t="e">
        <f>'Salary Record'!#REF!</f>
        <v>#REF!</v>
      </c>
      <c r="I87" s="251" t="e">
        <f>'Salary Record'!#REF!</f>
        <v>#REF!</v>
      </c>
      <c r="J87" s="225" t="e">
        <f>'Salary Record'!#REF!</f>
        <v>#REF!</v>
      </c>
      <c r="K87" s="251" t="e">
        <f>'Salary Record'!#REF!</f>
        <v>#REF!</v>
      </c>
      <c r="L87" s="226" t="e">
        <f>'Salary Record'!#REF!</f>
        <v>#REF!</v>
      </c>
      <c r="M87" s="226" t="e">
        <f>'Salary Record'!#REF!</f>
        <v>#REF!</v>
      </c>
      <c r="N87" s="228" t="e">
        <f>'Salary Record'!#REF!</f>
        <v>#REF!</v>
      </c>
      <c r="O87" s="227" t="e">
        <f>'Salary Record'!#REF!</f>
        <v>#REF!</v>
      </c>
      <c r="P87" s="228" t="e">
        <f>'Salary Record'!#REF!</f>
        <v>#REF!</v>
      </c>
      <c r="Q87" s="253" t="e">
        <f>'Salary Record'!#REF!</f>
        <v>#REF!</v>
      </c>
      <c r="R87" s="179"/>
      <c r="S87" s="131"/>
      <c r="T87" s="165"/>
      <c r="U87" s="165"/>
      <c r="V87" s="167"/>
    </row>
    <row r="88" spans="1:23" ht="15" x14ac:dyDescent="0.25">
      <c r="A88" s="268"/>
      <c r="B88" s="19"/>
      <c r="C88" s="138" t="s">
        <v>33</v>
      </c>
      <c r="D88" s="139" t="e">
        <f>SUM(Q27:Q90)</f>
        <v>#REF!</v>
      </c>
      <c r="E88" s="17" t="e">
        <f>'Salary Record'!#REF!</f>
        <v>#REF!</v>
      </c>
      <c r="F88" s="17" t="e">
        <f>'Salary Record'!#REF!</f>
        <v>#REF!</v>
      </c>
      <c r="G88" s="24" t="e">
        <f>'Salary Record'!#REF!</f>
        <v>#REF!</v>
      </c>
      <c r="H88" s="17" t="e">
        <f>'Salary Record'!#REF!</f>
        <v>#REF!</v>
      </c>
      <c r="I88" s="17" t="e">
        <f>'Salary Record'!#REF!</f>
        <v>#REF!</v>
      </c>
      <c r="J88" s="16" t="e">
        <f>'Salary Record'!#REF!</f>
        <v>#REF!</v>
      </c>
      <c r="K88" s="16" t="e">
        <f>'Salary Record'!#REF!</f>
        <v>#REF!</v>
      </c>
      <c r="L88" s="9" t="e">
        <f>'Salary Record'!#REF!</f>
        <v>#REF!</v>
      </c>
      <c r="M88" s="17" t="e">
        <f>'Salary Record'!#REF!</f>
        <v>#REF!</v>
      </c>
      <c r="N88" s="18" t="e">
        <f>'Salary Record'!#REF!</f>
        <v>#REF!</v>
      </c>
      <c r="O88" s="17" t="e">
        <f>'Salary Record'!#REF!</f>
        <v>#REF!</v>
      </c>
      <c r="P88" s="18" t="e">
        <f>'Salary Record'!#REF!</f>
        <v>#REF!</v>
      </c>
      <c r="Q88" s="23" t="e">
        <f>'Salary Record'!#REF!</f>
        <v>#REF!</v>
      </c>
      <c r="R88" s="132"/>
      <c r="S88" s="23"/>
      <c r="T88" s="119"/>
    </row>
    <row r="89" spans="1:23" x14ac:dyDescent="0.2">
      <c r="A89" s="269"/>
      <c r="B89" s="135"/>
      <c r="C89" s="135"/>
      <c r="D89" s="135"/>
      <c r="E89" s="110"/>
      <c r="F89" s="110"/>
      <c r="G89" s="136"/>
      <c r="H89" s="110"/>
      <c r="I89" s="110"/>
      <c r="J89" s="110"/>
      <c r="K89" s="110"/>
      <c r="L89" s="110"/>
      <c r="M89" s="110"/>
      <c r="N89" s="137"/>
      <c r="O89" s="110"/>
      <c r="P89" s="137"/>
      <c r="Q89" s="111"/>
    </row>
    <row r="90" spans="1:23" ht="15.75" x14ac:dyDescent="0.25">
      <c r="A90" s="268">
        <v>3</v>
      </c>
      <c r="B90" s="19" t="s">
        <v>12</v>
      </c>
      <c r="C90" s="90" t="s">
        <v>86</v>
      </c>
      <c r="D90" s="91">
        <f>SUM(Q90:Q90)</f>
        <v>0</v>
      </c>
      <c r="E90" s="10">
        <f>'Salary Record'!K814</f>
        <v>0</v>
      </c>
      <c r="F90" s="10">
        <f>'Salary Record'!C820</f>
        <v>0</v>
      </c>
      <c r="G90" s="20">
        <f>'Salary Record'!C821</f>
        <v>0</v>
      </c>
      <c r="H90" s="10">
        <f>'Salary Record'!I819</f>
        <v>0</v>
      </c>
      <c r="I90" s="10">
        <f>'Salary Record'!I818</f>
        <v>0</v>
      </c>
      <c r="J90" s="16">
        <f>'Salary Record'!K819</f>
        <v>0</v>
      </c>
      <c r="K90" s="10">
        <f>'Salary Record'!K820</f>
        <v>0</v>
      </c>
      <c r="L90" s="9">
        <f>'Salary Record'!G818</f>
        <v>0</v>
      </c>
      <c r="M90" s="17">
        <f>'Salary Record'!G819</f>
        <v>0</v>
      </c>
      <c r="N90" s="18">
        <f>'Salary Record'!G820</f>
        <v>0</v>
      </c>
      <c r="O90" s="10">
        <f>'Salary Record'!G821</f>
        <v>0</v>
      </c>
      <c r="P90" s="18">
        <f>'Salary Record'!G822</f>
        <v>0</v>
      </c>
      <c r="Q90" s="131">
        <f>'Salary Record'!K822</f>
        <v>0</v>
      </c>
      <c r="R90" s="132"/>
      <c r="S90" s="23"/>
      <c r="T90" s="119"/>
      <c r="U90" s="8"/>
    </row>
    <row r="91" spans="1:23" ht="20.25" x14ac:dyDescent="0.3">
      <c r="B91" s="358" t="s">
        <v>95</v>
      </c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/>
      <c r="N91"/>
      <c r="O91"/>
      <c r="P91"/>
      <c r="T91"/>
      <c r="V91"/>
    </row>
    <row r="92" spans="1:23" ht="15" x14ac:dyDescent="0.25">
      <c r="B92" s="296" t="s">
        <v>96</v>
      </c>
      <c r="C92" s="130" t="s">
        <v>111</v>
      </c>
      <c r="D92" s="130" t="s">
        <v>109</v>
      </c>
      <c r="E92" s="130" t="str">
        <f>N1</f>
        <v>August</v>
      </c>
      <c r="G92" s="2"/>
      <c r="H92" s="108"/>
      <c r="K92"/>
      <c r="L92"/>
      <c r="M92"/>
      <c r="N92"/>
      <c r="O92"/>
      <c r="P92"/>
      <c r="T92"/>
      <c r="V92"/>
    </row>
    <row r="93" spans="1:23" x14ac:dyDescent="0.2">
      <c r="B93" s="297" t="s">
        <v>175</v>
      </c>
      <c r="C93" s="126">
        <v>100000</v>
      </c>
      <c r="D93" s="127">
        <v>100000</v>
      </c>
      <c r="E93" s="127">
        <v>25000</v>
      </c>
      <c r="G93" s="2"/>
      <c r="H93" s="108"/>
      <c r="K93" s="8"/>
      <c r="L93"/>
      <c r="M93"/>
      <c r="N93"/>
      <c r="O93"/>
      <c r="P93"/>
      <c r="T93"/>
      <c r="V93"/>
    </row>
    <row r="94" spans="1:23" x14ac:dyDescent="0.2">
      <c r="B94" s="297" t="s">
        <v>164</v>
      </c>
      <c r="C94" s="126"/>
      <c r="D94" s="127"/>
      <c r="E94" s="127">
        <v>25000</v>
      </c>
      <c r="G94" s="2"/>
      <c r="H94" s="108"/>
      <c r="K94"/>
      <c r="L94"/>
      <c r="M94"/>
      <c r="N94"/>
      <c r="O94"/>
      <c r="P94"/>
      <c r="T94"/>
      <c r="V94"/>
    </row>
    <row r="95" spans="1:23" x14ac:dyDescent="0.2">
      <c r="B95" s="297" t="s">
        <v>177</v>
      </c>
      <c r="C95" s="126"/>
      <c r="D95" s="127"/>
      <c r="E95" s="127">
        <v>25000</v>
      </c>
      <c r="G95" s="2"/>
      <c r="H95" s="108"/>
      <c r="I95" s="2" t="e">
        <f>#REF!+#REF!+Q65+Q53+#REF!+Q46+Q34+Q27+Q20+Q5</f>
        <v>#REF!</v>
      </c>
      <c r="K95"/>
      <c r="L95"/>
      <c r="M95"/>
      <c r="N95"/>
      <c r="O95"/>
      <c r="P95"/>
      <c r="T95"/>
      <c r="V95"/>
    </row>
    <row r="96" spans="1:23" x14ac:dyDescent="0.2">
      <c r="B96" s="297" t="s">
        <v>92</v>
      </c>
      <c r="C96" s="126"/>
      <c r="D96" s="127"/>
      <c r="E96" s="127">
        <v>25000</v>
      </c>
      <c r="G96" s="2"/>
      <c r="H96" s="108"/>
      <c r="K96"/>
      <c r="L96"/>
      <c r="M96"/>
      <c r="N96"/>
      <c r="O96"/>
      <c r="P96"/>
      <c r="T96"/>
      <c r="V96"/>
    </row>
    <row r="97" spans="2:22" ht="14.25" x14ac:dyDescent="0.2">
      <c r="B97" s="297" t="s">
        <v>165</v>
      </c>
      <c r="C97" s="126"/>
      <c r="D97" s="127"/>
      <c r="E97" s="127">
        <v>80000</v>
      </c>
      <c r="F97" s="113"/>
      <c r="G97" s="113"/>
      <c r="H97" s="113"/>
      <c r="I97" s="113"/>
      <c r="K97"/>
      <c r="L97"/>
      <c r="M97"/>
      <c r="N97"/>
      <c r="O97"/>
      <c r="P97"/>
      <c r="T97"/>
      <c r="V97"/>
    </row>
    <row r="98" spans="2:22" x14ac:dyDescent="0.2">
      <c r="B98" s="297" t="s">
        <v>34</v>
      </c>
      <c r="C98" s="126"/>
      <c r="D98" s="127"/>
      <c r="E98" s="127">
        <f>Q20</f>
        <v>223000</v>
      </c>
      <c r="G98" s="2"/>
      <c r="H98" s="108"/>
      <c r="K98"/>
      <c r="L98"/>
      <c r="M98"/>
      <c r="N98"/>
      <c r="O98"/>
      <c r="P98"/>
      <c r="T98"/>
      <c r="V98"/>
    </row>
    <row r="99" spans="2:22" x14ac:dyDescent="0.2">
      <c r="B99" s="297" t="s">
        <v>166</v>
      </c>
      <c r="C99" s="126"/>
      <c r="D99" s="127"/>
      <c r="E99" s="127">
        <f>Q27</f>
        <v>126000</v>
      </c>
      <c r="F99" s="8"/>
      <c r="G99" s="8"/>
      <c r="H99" s="128"/>
      <c r="I99" s="8"/>
      <c r="K99" s="14"/>
      <c r="L99"/>
      <c r="M99"/>
      <c r="N99"/>
      <c r="O99"/>
      <c r="P99"/>
      <c r="T99"/>
      <c r="V99"/>
    </row>
    <row r="100" spans="2:22" x14ac:dyDescent="0.2">
      <c r="B100" s="297" t="s">
        <v>167</v>
      </c>
      <c r="C100" s="126"/>
      <c r="D100" s="127"/>
      <c r="E100" s="127">
        <f>Q34</f>
        <v>129794.35483870968</v>
      </c>
      <c r="G100" s="2"/>
      <c r="H100" s="108"/>
      <c r="J100" s="8"/>
      <c r="K100"/>
      <c r="L100"/>
      <c r="M100"/>
      <c r="N100"/>
      <c r="O100"/>
      <c r="P100"/>
      <c r="T100"/>
      <c r="V100"/>
    </row>
    <row r="101" spans="2:22" x14ac:dyDescent="0.2">
      <c r="B101" s="297" t="s">
        <v>164</v>
      </c>
      <c r="C101" s="126"/>
      <c r="D101" s="127"/>
      <c r="E101" s="127">
        <f>Q46</f>
        <v>308965.72580645164</v>
      </c>
      <c r="G101" s="2"/>
      <c r="H101" s="108"/>
      <c r="J101" s="8"/>
      <c r="K101" s="14"/>
      <c r="L101"/>
      <c r="M101"/>
      <c r="N101"/>
      <c r="O101"/>
      <c r="P101"/>
      <c r="T101"/>
      <c r="V101"/>
    </row>
    <row r="102" spans="2:22" x14ac:dyDescent="0.2">
      <c r="B102" s="297" t="s">
        <v>39</v>
      </c>
      <c r="C102" s="126"/>
      <c r="D102" s="127"/>
      <c r="E102" s="127">
        <f>Q53</f>
        <v>130524.19354838709</v>
      </c>
      <c r="F102" s="8"/>
      <c r="G102" s="8"/>
      <c r="H102" s="128"/>
      <c r="I102" s="8"/>
      <c r="J102" s="8"/>
      <c r="K102" s="14"/>
      <c r="L102"/>
      <c r="M102"/>
      <c r="N102"/>
      <c r="O102"/>
      <c r="P102"/>
      <c r="T102"/>
      <c r="V102"/>
    </row>
    <row r="103" spans="2:22" x14ac:dyDescent="0.2">
      <c r="B103" s="297" t="s">
        <v>92</v>
      </c>
      <c r="C103" s="126"/>
      <c r="D103" s="127"/>
      <c r="E103" s="127">
        <f>Q65</f>
        <v>292919.35483870964</v>
      </c>
      <c r="F103" s="8"/>
      <c r="G103"/>
      <c r="I103" s="8"/>
      <c r="K103"/>
      <c r="L103"/>
      <c r="M103"/>
      <c r="N103"/>
      <c r="O103"/>
      <c r="P103"/>
      <c r="T103"/>
      <c r="V103"/>
    </row>
    <row r="104" spans="2:22" x14ac:dyDescent="0.2">
      <c r="B104" s="300" t="s">
        <v>175</v>
      </c>
      <c r="C104" s="126"/>
      <c r="D104" s="127"/>
      <c r="E104" s="127">
        <f>Q79</f>
        <v>314028.22580645158</v>
      </c>
      <c r="F104"/>
      <c r="G104" s="8">
        <f>E107-E93-E94-E95-E96-E97-E106</f>
        <v>1567328.6290322579</v>
      </c>
      <c r="H104"/>
      <c r="I104"/>
      <c r="J104"/>
      <c r="K104"/>
      <c r="L104"/>
      <c r="M104" s="8"/>
      <c r="N104"/>
      <c r="O104" s="8"/>
      <c r="P104"/>
      <c r="U104" s="8"/>
    </row>
    <row r="105" spans="2:22" x14ac:dyDescent="0.2">
      <c r="B105" s="306" t="s">
        <v>168</v>
      </c>
      <c r="C105" s="126"/>
      <c r="D105" s="127"/>
      <c r="E105" s="127">
        <f>Q71</f>
        <v>42096.774193548386</v>
      </c>
      <c r="F105"/>
      <c r="G105"/>
      <c r="H105"/>
      <c r="I105" s="8"/>
      <c r="J105" s="8"/>
      <c r="K105"/>
      <c r="L105"/>
      <c r="M105"/>
      <c r="N105"/>
      <c r="O105" s="8"/>
      <c r="P105" s="14"/>
      <c r="U105" s="8"/>
    </row>
    <row r="106" spans="2:22" x14ac:dyDescent="0.2">
      <c r="B106" s="297" t="s">
        <v>169</v>
      </c>
      <c r="C106" s="126"/>
      <c r="D106" s="127"/>
      <c r="E106" s="127">
        <v>5000</v>
      </c>
      <c r="F106"/>
      <c r="G106"/>
      <c r="H106"/>
      <c r="I106"/>
      <c r="J106"/>
      <c r="K106"/>
      <c r="L106"/>
      <c r="M106"/>
      <c r="N106"/>
      <c r="O106" s="8"/>
      <c r="P106" s="8"/>
      <c r="U106" s="8"/>
    </row>
    <row r="107" spans="2:22" ht="15" x14ac:dyDescent="0.25">
      <c r="B107" s="298" t="s">
        <v>103</v>
      </c>
      <c r="C107" s="125">
        <f>SUM(C93:C106)</f>
        <v>100000</v>
      </c>
      <c r="D107" s="125">
        <f>SUM(D93:D106)</f>
        <v>100000</v>
      </c>
      <c r="E107" s="125">
        <f>SUM(E93:E106)</f>
        <v>1752328.6290322579</v>
      </c>
      <c r="F107"/>
      <c r="G107"/>
      <c r="H107" s="8"/>
      <c r="I107"/>
      <c r="J107"/>
      <c r="K107"/>
      <c r="L107"/>
      <c r="M107"/>
      <c r="N107"/>
      <c r="O107" s="8"/>
      <c r="P107" s="8"/>
      <c r="U107" s="8"/>
    </row>
    <row r="108" spans="2:22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U108" s="8"/>
    </row>
    <row r="109" spans="2:22" x14ac:dyDescent="0.2">
      <c r="B109"/>
      <c r="C109"/>
      <c r="D109"/>
      <c r="E109" s="128"/>
      <c r="F109"/>
      <c r="G109"/>
      <c r="H109"/>
      <c r="I109"/>
      <c r="J109"/>
      <c r="K109"/>
      <c r="L109"/>
      <c r="M109"/>
      <c r="N109"/>
      <c r="O109" s="8"/>
      <c r="P109" s="8"/>
      <c r="U109" s="2"/>
    </row>
    <row r="110" spans="2:22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U110" s="8"/>
    </row>
    <row r="111" spans="2:22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109">
        <f>SUM(O91:O108)</f>
        <v>0</v>
      </c>
      <c r="P111" s="8"/>
    </row>
    <row r="112" spans="2:22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U112" s="8"/>
    </row>
    <row r="113" spans="2:22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U113" s="8"/>
    </row>
    <row r="114" spans="2:22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"/>
      <c r="S114" s="8"/>
      <c r="T114" s="128"/>
      <c r="U114" s="8"/>
    </row>
    <row r="115" spans="2:22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U115" s="2"/>
      <c r="V115"/>
    </row>
    <row r="116" spans="2:22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U116" s="2"/>
      <c r="V116"/>
    </row>
    <row r="117" spans="2:22" x14ac:dyDescent="0.2">
      <c r="B117"/>
      <c r="C117"/>
      <c r="D117"/>
      <c r="E117"/>
      <c r="J117"/>
      <c r="K117"/>
      <c r="L117"/>
      <c r="M117"/>
      <c r="N117"/>
      <c r="O117"/>
      <c r="P117"/>
      <c r="U117" s="8"/>
      <c r="V117"/>
    </row>
    <row r="118" spans="2:22" x14ac:dyDescent="0.2">
      <c r="B118"/>
      <c r="C118"/>
      <c r="D118"/>
      <c r="E118"/>
      <c r="J118"/>
      <c r="K118"/>
      <c r="L118"/>
      <c r="M118"/>
      <c r="N118"/>
      <c r="O118"/>
      <c r="P118"/>
      <c r="V118"/>
    </row>
    <row r="119" spans="2:22" x14ac:dyDescent="0.2">
      <c r="B119"/>
      <c r="C119"/>
      <c r="D119"/>
      <c r="E119"/>
      <c r="J119"/>
      <c r="K119"/>
      <c r="L119"/>
      <c r="M119"/>
      <c r="N119"/>
      <c r="O119"/>
      <c r="P119"/>
      <c r="U119" s="8"/>
      <c r="V119"/>
    </row>
    <row r="120" spans="2:22" x14ac:dyDescent="0.2">
      <c r="B120"/>
      <c r="C120"/>
      <c r="D120"/>
      <c r="E120"/>
      <c r="J120"/>
      <c r="K120"/>
      <c r="L120"/>
      <c r="M120"/>
      <c r="N120"/>
      <c r="O120"/>
      <c r="P120"/>
      <c r="V120"/>
    </row>
    <row r="121" spans="2:22" x14ac:dyDescent="0.2">
      <c r="B121"/>
      <c r="C121"/>
      <c r="D121"/>
      <c r="E121"/>
      <c r="J121"/>
      <c r="K121"/>
      <c r="L121"/>
      <c r="M121"/>
      <c r="N121"/>
      <c r="O121"/>
      <c r="P121"/>
      <c r="V121"/>
    </row>
    <row r="122" spans="2:22" x14ac:dyDescent="0.2">
      <c r="J122"/>
      <c r="K122"/>
      <c r="L122"/>
      <c r="M122"/>
      <c r="N122"/>
      <c r="O122"/>
      <c r="P122"/>
      <c r="V122"/>
    </row>
    <row r="123" spans="2:22" x14ac:dyDescent="0.2">
      <c r="K123"/>
      <c r="L123"/>
      <c r="M123"/>
      <c r="N123"/>
      <c r="O123"/>
      <c r="P123"/>
    </row>
    <row r="124" spans="2:22" x14ac:dyDescent="0.2">
      <c r="K124"/>
      <c r="L124"/>
      <c r="M124"/>
      <c r="N124"/>
      <c r="P124"/>
    </row>
    <row r="125" spans="2:22" x14ac:dyDescent="0.2">
      <c r="P125"/>
    </row>
    <row r="126" spans="2:22" x14ac:dyDescent="0.2">
      <c r="P126" s="3">
        <f>Q53+Q11</f>
        <v>130524.19354838709</v>
      </c>
    </row>
    <row r="127" spans="2:22" x14ac:dyDescent="0.2">
      <c r="P127" s="3">
        <v>14580</v>
      </c>
    </row>
    <row r="128" spans="2:22" x14ac:dyDescent="0.2">
      <c r="P128" s="3">
        <v>20000</v>
      </c>
      <c r="U128" s="8"/>
    </row>
    <row r="129" spans="16:21" x14ac:dyDescent="0.2">
      <c r="P129" s="3">
        <v>4150</v>
      </c>
      <c r="U129" s="2"/>
    </row>
    <row r="130" spans="16:21" x14ac:dyDescent="0.2">
      <c r="U130" s="2"/>
    </row>
    <row r="131" spans="16:21" x14ac:dyDescent="0.2">
      <c r="U131" s="8"/>
    </row>
    <row r="133" spans="16:21" x14ac:dyDescent="0.2">
      <c r="U133" s="8"/>
    </row>
  </sheetData>
  <autoFilter ref="A3:Z90" xr:uid="{00000000-0009-0000-0000-000000000000}"/>
  <mergeCells count="25">
    <mergeCell ref="B91:L91"/>
    <mergeCell ref="N1:O2"/>
    <mergeCell ref="A1:M2"/>
    <mergeCell ref="A81:B81"/>
    <mergeCell ref="A82:P82"/>
    <mergeCell ref="A83:P83"/>
    <mergeCell ref="A55:Q55"/>
    <mergeCell ref="A67:Q67"/>
    <mergeCell ref="P1:P2"/>
    <mergeCell ref="A6:Q6"/>
    <mergeCell ref="C7:C10"/>
    <mergeCell ref="D7:D10"/>
    <mergeCell ref="A65:B65"/>
    <mergeCell ref="A79:B79"/>
    <mergeCell ref="A27:B27"/>
    <mergeCell ref="A13:Q13"/>
    <mergeCell ref="A22:Q22"/>
    <mergeCell ref="A11:B11"/>
    <mergeCell ref="A20:B20"/>
    <mergeCell ref="A53:B53"/>
    <mergeCell ref="A34:B34"/>
    <mergeCell ref="A46:B46"/>
    <mergeCell ref="A36:Q36"/>
    <mergeCell ref="A29:Q29"/>
    <mergeCell ref="A47:Q47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abSelected="1" view="pageBreakPreview" topLeftCell="A660" zoomScale="90" zoomScaleNormal="60" zoomScaleSheetLayoutView="90" workbookViewId="0">
      <selection activeCell="X678" sqref="X678"/>
    </sheetView>
  </sheetViews>
  <sheetFormatPr defaultColWidth="9.140625" defaultRowHeight="15" x14ac:dyDescent="0.25"/>
  <cols>
    <col min="1" max="1" width="1" style="4" customWidth="1"/>
    <col min="2" max="2" width="21" style="4" customWidth="1"/>
    <col min="3" max="3" width="10.5703125" style="4" customWidth="1"/>
    <col min="4" max="4" width="0.42578125" style="4" customWidth="1"/>
    <col min="5" max="5" width="1.7109375" style="4" customWidth="1"/>
    <col min="6" max="6" width="27.5703125" style="4" customWidth="1"/>
    <col min="7" max="7" width="14.57031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ht="21" x14ac:dyDescent="0.25">
      <c r="C1" s="417" t="s">
        <v>66</v>
      </c>
      <c r="D1" s="417"/>
      <c r="E1" s="417"/>
      <c r="F1" s="417"/>
      <c r="G1" s="417"/>
      <c r="H1" s="417"/>
      <c r="I1" s="417"/>
      <c r="J1" s="13" t="s">
        <v>51</v>
      </c>
      <c r="K1" s="12">
        <v>2023</v>
      </c>
      <c r="L1" s="12"/>
      <c r="R1" s="83" t="e">
        <f>K17+K32+#REF!+#REF!+#REF!+#REF!+K47+K62+#REF!+K602+#REF!+#REF!+#REF!+K137+K152+#REF!+K167+#REF!+K662+K257+K272+K227+#REF!+#REF!+K467+#REF!+K182+#REF!+K212+K92+#REF!+#REF!+K647+K347+K497+K407+K587+K822+K710+#REF!+K542+#REF!+#REF!+K437+#REF!+K332+K617+#REF!+K107+#REF!+K362+K694+K77+K377+K452+K678+#REF!+K287+#REF!+K482+#REF!+K557+K512+#REF!+K527+K302+K242+K392+#REF!+K122+K197+#REF!-12678</f>
        <v>#REF!</v>
      </c>
      <c r="U1" s="103" t="e">
        <f>K59+K74+K599+K134+K149+#REF!+K164+K614+K179+K209+K659+K284+#REF!+K224+#REF!+K89+K104+K299+K464+K644+K344+K374+K494+K404+K629+#REF!+K359+#REF!+#REF!+K434+K675+#REF!+#REF!+K119+K194+#REF!+K239+K389+K554+K509+K524+K539+#REF!+#REF!</f>
        <v>#REF!</v>
      </c>
    </row>
    <row r="2" spans="1:27" ht="18.75" x14ac:dyDescent="0.3">
      <c r="J2" s="11" t="s">
        <v>60</v>
      </c>
      <c r="K2" s="4">
        <v>31</v>
      </c>
      <c r="R2" s="103"/>
      <c r="U2" s="103"/>
    </row>
    <row r="4" spans="1:27" s="86" customFormat="1" ht="21" customHeight="1" x14ac:dyDescent="0.2">
      <c r="N4" s="63"/>
      <c r="O4" s="63"/>
      <c r="P4" s="63"/>
      <c r="Q4" s="63"/>
      <c r="R4" s="162"/>
      <c r="S4" s="63"/>
      <c r="T4" s="63"/>
      <c r="U4" s="162"/>
      <c r="V4" s="63"/>
      <c r="W4" s="63"/>
      <c r="X4" s="63"/>
      <c r="Y4" s="63"/>
      <c r="Z4" s="63"/>
    </row>
    <row r="5" spans="1:27" s="86" customFormat="1" ht="21" customHeight="1" x14ac:dyDescent="0.2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thickBot="1" x14ac:dyDescent="0.25"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7" s="29" customFormat="1" ht="27.75" customHeight="1" thickBot="1" x14ac:dyDescent="0.25">
      <c r="A7" s="389" t="s">
        <v>40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1"/>
      <c r="M7" s="28"/>
      <c r="N7" s="64"/>
      <c r="O7" s="377" t="s">
        <v>42</v>
      </c>
      <c r="P7" s="378"/>
      <c r="Q7" s="378"/>
      <c r="R7" s="379"/>
      <c r="S7" s="65"/>
      <c r="T7" s="377" t="s">
        <v>43</v>
      </c>
      <c r="U7" s="378"/>
      <c r="V7" s="378"/>
      <c r="W7" s="378"/>
      <c r="X7" s="378"/>
      <c r="Y7" s="379"/>
      <c r="Z7" s="66"/>
      <c r="AA7" s="28"/>
    </row>
    <row r="8" spans="1:27" s="29" customFormat="1" ht="27.75" customHeight="1" x14ac:dyDescent="0.2">
      <c r="A8" s="30"/>
      <c r="C8" s="386" t="s">
        <v>83</v>
      </c>
      <c r="D8" s="386"/>
      <c r="E8" s="386"/>
      <c r="F8" s="386"/>
      <c r="G8" s="31" t="str">
        <f>$J$1</f>
        <v>August</v>
      </c>
      <c r="H8" s="385">
        <f>$K$1</f>
        <v>2023</v>
      </c>
      <c r="I8" s="385"/>
      <c r="K8" s="32"/>
      <c r="L8" s="33"/>
      <c r="M8" s="32"/>
      <c r="N8" s="67"/>
      <c r="O8" s="68" t="s">
        <v>53</v>
      </c>
      <c r="P8" s="68" t="s">
        <v>7</v>
      </c>
      <c r="Q8" s="68" t="s">
        <v>6</v>
      </c>
      <c r="R8" s="68" t="s">
        <v>54</v>
      </c>
      <c r="S8" s="69"/>
      <c r="T8" s="68" t="s">
        <v>53</v>
      </c>
      <c r="U8" s="68" t="s">
        <v>55</v>
      </c>
      <c r="V8" s="68" t="s">
        <v>20</v>
      </c>
      <c r="W8" s="68" t="s">
        <v>19</v>
      </c>
      <c r="X8" s="68" t="s">
        <v>21</v>
      </c>
      <c r="Y8" s="68" t="s">
        <v>59</v>
      </c>
      <c r="Z8" s="70"/>
      <c r="AA8" s="32"/>
    </row>
    <row r="9" spans="1:27" s="29" customFormat="1" ht="27.75" customHeight="1" x14ac:dyDescent="0.2">
      <c r="A9" s="30"/>
      <c r="D9" s="35"/>
      <c r="E9" s="35"/>
      <c r="F9" s="35"/>
      <c r="G9" s="35"/>
      <c r="H9" s="35"/>
      <c r="J9" s="36" t="s">
        <v>1</v>
      </c>
      <c r="K9" s="37">
        <v>60000</v>
      </c>
      <c r="L9" s="38"/>
      <c r="N9" s="71"/>
      <c r="O9" s="72" t="s">
        <v>45</v>
      </c>
      <c r="P9" s="72">
        <v>31</v>
      </c>
      <c r="Q9" s="72">
        <v>0</v>
      </c>
      <c r="R9" s="72">
        <f>15-Q9</f>
        <v>15</v>
      </c>
      <c r="S9" s="73"/>
      <c r="T9" s="72" t="s">
        <v>45</v>
      </c>
      <c r="U9" s="74"/>
      <c r="V9" s="74"/>
      <c r="W9" s="74">
        <f>V9+U9</f>
        <v>0</v>
      </c>
      <c r="X9" s="74"/>
      <c r="Y9" s="74">
        <f>W9-X9</f>
        <v>0</v>
      </c>
      <c r="Z9" s="70"/>
    </row>
    <row r="10" spans="1:27" s="29" customFormat="1" ht="27.75" customHeight="1" x14ac:dyDescent="0.2">
      <c r="A10" s="30"/>
      <c r="B10" s="29" t="s">
        <v>0</v>
      </c>
      <c r="C10" s="40" t="s">
        <v>72</v>
      </c>
      <c r="H10" s="41"/>
      <c r="I10" s="35"/>
      <c r="L10" s="42"/>
      <c r="M10" s="28"/>
      <c r="N10" s="75"/>
      <c r="O10" s="72" t="s">
        <v>71</v>
      </c>
      <c r="P10" s="72">
        <v>28</v>
      </c>
      <c r="Q10" s="72">
        <v>0</v>
      </c>
      <c r="R10" s="72">
        <f t="shared" ref="R10:R20" si="0">IF(Q10="","",R9-Q10)</f>
        <v>15</v>
      </c>
      <c r="S10" s="63"/>
      <c r="T10" s="72" t="s">
        <v>71</v>
      </c>
      <c r="U10" s="102" t="str">
        <f>IF($J$1="February",Y9,"")</f>
        <v/>
      </c>
      <c r="V10" s="74"/>
      <c r="W10" s="102" t="str">
        <f>IF(U10="","",U10+V10)</f>
        <v/>
      </c>
      <c r="X10" s="74"/>
      <c r="Y10" s="102" t="str">
        <f>IF(W10="","",W10-X10)</f>
        <v/>
      </c>
      <c r="Z10" s="76"/>
      <c r="AA10" s="28"/>
    </row>
    <row r="11" spans="1:27" s="29" customFormat="1" ht="27.75" customHeight="1" x14ac:dyDescent="0.2">
      <c r="A11" s="30"/>
      <c r="B11" s="44" t="s">
        <v>41</v>
      </c>
      <c r="C11" s="45"/>
      <c r="F11" s="382" t="s">
        <v>43</v>
      </c>
      <c r="G11" s="384"/>
      <c r="I11" s="382" t="s">
        <v>44</v>
      </c>
      <c r="J11" s="383"/>
      <c r="K11" s="384"/>
      <c r="L11" s="46"/>
      <c r="N11" s="71"/>
      <c r="O11" s="72" t="s">
        <v>46</v>
      </c>
      <c r="P11" s="72">
        <v>31</v>
      </c>
      <c r="Q11" s="72">
        <v>0</v>
      </c>
      <c r="R11" s="72">
        <f t="shared" si="0"/>
        <v>15</v>
      </c>
      <c r="S11" s="63"/>
      <c r="T11" s="72" t="s">
        <v>46</v>
      </c>
      <c r="U11" s="102" t="str">
        <f>IF($J$1="March",Y10,"")</f>
        <v/>
      </c>
      <c r="V11" s="74"/>
      <c r="W11" s="102" t="str">
        <f t="shared" ref="W11:W20" si="1">IF(U11="","",U11+V11)</f>
        <v/>
      </c>
      <c r="X11" s="74"/>
      <c r="Y11" s="102" t="str">
        <f t="shared" ref="Y11:Y20" si="2">IF(W11="","",W11-X11)</f>
        <v/>
      </c>
      <c r="Z11" s="76"/>
    </row>
    <row r="12" spans="1:27" s="29" customFormat="1" ht="27.75" customHeight="1" x14ac:dyDescent="0.2">
      <c r="A12" s="30"/>
      <c r="H12" s="47"/>
      <c r="L12" s="34"/>
      <c r="N12" s="71"/>
      <c r="O12" s="72" t="s">
        <v>47</v>
      </c>
      <c r="P12" s="72">
        <v>30</v>
      </c>
      <c r="Q12" s="72">
        <v>0</v>
      </c>
      <c r="R12" s="72">
        <f t="shared" si="0"/>
        <v>15</v>
      </c>
      <c r="S12" s="63"/>
      <c r="T12" s="72" t="s">
        <v>47</v>
      </c>
      <c r="U12" s="102" t="str">
        <f>IF($J$1="April",Y11,"")</f>
        <v/>
      </c>
      <c r="V12" s="74"/>
      <c r="W12" s="102" t="str">
        <f t="shared" si="1"/>
        <v/>
      </c>
      <c r="X12" s="74"/>
      <c r="Y12" s="102" t="str">
        <f t="shared" si="2"/>
        <v/>
      </c>
      <c r="Z12" s="76"/>
    </row>
    <row r="13" spans="1:27" s="29" customFormat="1" ht="27.75" customHeight="1" x14ac:dyDescent="0.2">
      <c r="A13" s="30"/>
      <c r="B13" s="380" t="s">
        <v>42</v>
      </c>
      <c r="C13" s="381"/>
      <c r="F13" s="48" t="s">
        <v>64</v>
      </c>
      <c r="G13" s="4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47"/>
      <c r="I13" s="49">
        <f>K2</f>
        <v>31</v>
      </c>
      <c r="J13" s="50" t="s">
        <v>61</v>
      </c>
      <c r="K13" s="51">
        <f>K9/$K$2*I13</f>
        <v>60000</v>
      </c>
      <c r="L13" s="52"/>
      <c r="N13" s="71"/>
      <c r="O13" s="72" t="s">
        <v>48</v>
      </c>
      <c r="P13" s="72">
        <v>29</v>
      </c>
      <c r="Q13" s="72">
        <v>2</v>
      </c>
      <c r="R13" s="72">
        <f t="shared" si="0"/>
        <v>13</v>
      </c>
      <c r="S13" s="63"/>
      <c r="T13" s="72" t="s">
        <v>48</v>
      </c>
      <c r="U13" s="102" t="str">
        <f>IF($J$1="May",Y12,"")</f>
        <v/>
      </c>
      <c r="V13" s="74"/>
      <c r="W13" s="102" t="str">
        <f t="shared" si="1"/>
        <v/>
      </c>
      <c r="X13" s="74"/>
      <c r="Y13" s="102" t="str">
        <f t="shared" si="2"/>
        <v/>
      </c>
      <c r="Z13" s="76"/>
    </row>
    <row r="14" spans="1:27" s="29" customFormat="1" ht="27.75" customHeight="1" x14ac:dyDescent="0.2">
      <c r="A14" s="30"/>
      <c r="B14" s="39"/>
      <c r="C14" s="39"/>
      <c r="F14" s="48" t="s">
        <v>20</v>
      </c>
      <c r="G14" s="4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47"/>
      <c r="I14" s="49"/>
      <c r="J14" s="50" t="s">
        <v>62</v>
      </c>
      <c r="K14" s="53">
        <f>K9/$K$2/8*I14</f>
        <v>0</v>
      </c>
      <c r="L14" s="54"/>
      <c r="N14" s="71"/>
      <c r="O14" s="72" t="s">
        <v>49</v>
      </c>
      <c r="P14" s="72">
        <v>29</v>
      </c>
      <c r="Q14" s="72">
        <v>1</v>
      </c>
      <c r="R14" s="72">
        <f t="shared" si="0"/>
        <v>12</v>
      </c>
      <c r="S14" s="63"/>
      <c r="T14" s="72" t="s">
        <v>49</v>
      </c>
      <c r="U14" s="102" t="str">
        <f>IF($J$1="June",Y13,"")</f>
        <v/>
      </c>
      <c r="V14" s="74"/>
      <c r="W14" s="102" t="str">
        <f t="shared" si="1"/>
        <v/>
      </c>
      <c r="X14" s="74"/>
      <c r="Y14" s="102" t="str">
        <f t="shared" si="2"/>
        <v/>
      </c>
      <c r="Z14" s="76"/>
    </row>
    <row r="15" spans="1:27" s="29" customFormat="1" ht="27.75" customHeight="1" x14ac:dyDescent="0.2">
      <c r="A15" s="30"/>
      <c r="B15" s="48" t="s">
        <v>7</v>
      </c>
      <c r="C15" s="39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F15" s="48" t="s">
        <v>65</v>
      </c>
      <c r="G15" s="4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47"/>
      <c r="I15" s="387" t="s">
        <v>69</v>
      </c>
      <c r="J15" s="388"/>
      <c r="K15" s="53">
        <f>K13+K14</f>
        <v>60000</v>
      </c>
      <c r="L15" s="54"/>
      <c r="N15" s="71"/>
      <c r="O15" s="72" t="s">
        <v>50</v>
      </c>
      <c r="P15" s="72">
        <v>30</v>
      </c>
      <c r="Q15" s="72">
        <v>1</v>
      </c>
      <c r="R15" s="72">
        <f t="shared" si="0"/>
        <v>11</v>
      </c>
      <c r="S15" s="63"/>
      <c r="T15" s="72" t="s">
        <v>50</v>
      </c>
      <c r="U15" s="102" t="str">
        <f>IF($J$1="July",Y14,"")</f>
        <v/>
      </c>
      <c r="V15" s="74"/>
      <c r="W15" s="102" t="str">
        <f t="shared" si="1"/>
        <v/>
      </c>
      <c r="X15" s="74"/>
      <c r="Y15" s="102" t="str">
        <f t="shared" si="2"/>
        <v/>
      </c>
      <c r="Z15" s="76"/>
    </row>
    <row r="16" spans="1:27" s="29" customFormat="1" ht="27.75" customHeight="1" x14ac:dyDescent="0.2">
      <c r="A16" s="30"/>
      <c r="B16" s="48" t="s">
        <v>6</v>
      </c>
      <c r="C16" s="39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F16" s="48" t="s">
        <v>21</v>
      </c>
      <c r="G16" s="4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47"/>
      <c r="I16" s="387" t="s">
        <v>70</v>
      </c>
      <c r="J16" s="388"/>
      <c r="K16" s="43">
        <f>G16</f>
        <v>0</v>
      </c>
      <c r="L16" s="55"/>
      <c r="N16" s="71"/>
      <c r="O16" s="72" t="s">
        <v>51</v>
      </c>
      <c r="P16" s="72">
        <v>31</v>
      </c>
      <c r="Q16" s="72">
        <v>0</v>
      </c>
      <c r="R16" s="72">
        <v>0</v>
      </c>
      <c r="S16" s="63"/>
      <c r="T16" s="72" t="s">
        <v>51</v>
      </c>
      <c r="U16" s="102" t="str">
        <f>IF($J$1="August",Y15,"")</f>
        <v/>
      </c>
      <c r="V16" s="74"/>
      <c r="W16" s="102" t="str">
        <f t="shared" si="1"/>
        <v/>
      </c>
      <c r="X16" s="74"/>
      <c r="Y16" s="102" t="str">
        <f t="shared" si="2"/>
        <v/>
      </c>
      <c r="Z16" s="76"/>
    </row>
    <row r="17" spans="1:27" s="29" customFormat="1" ht="27.75" customHeight="1" x14ac:dyDescent="0.2">
      <c r="A17" s="30"/>
      <c r="B17" s="48" t="s">
        <v>68</v>
      </c>
      <c r="C17" s="39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F17" s="48" t="s">
        <v>210</v>
      </c>
      <c r="G17" s="4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I17" s="382" t="s">
        <v>63</v>
      </c>
      <c r="J17" s="384"/>
      <c r="K17" s="57">
        <f>K15-K16</f>
        <v>60000</v>
      </c>
      <c r="L17" s="58"/>
      <c r="N17" s="71"/>
      <c r="O17" s="72" t="s">
        <v>56</v>
      </c>
      <c r="P17" s="72"/>
      <c r="Q17" s="72"/>
      <c r="R17" s="72">
        <v>0</v>
      </c>
      <c r="S17" s="63"/>
      <c r="T17" s="72" t="s">
        <v>56</v>
      </c>
      <c r="U17" s="102" t="str">
        <f>IF($J$1="September",Y16,"")</f>
        <v/>
      </c>
      <c r="V17" s="74"/>
      <c r="W17" s="102" t="str">
        <f t="shared" si="1"/>
        <v/>
      </c>
      <c r="X17" s="74"/>
      <c r="Y17" s="102" t="str">
        <f t="shared" si="2"/>
        <v/>
      </c>
      <c r="Z17" s="76"/>
    </row>
    <row r="18" spans="1:27" s="29" customFormat="1" ht="27.75" customHeight="1" x14ac:dyDescent="0.2">
      <c r="A18" s="30"/>
      <c r="L18" s="46"/>
      <c r="N18" s="71"/>
      <c r="O18" s="72" t="s">
        <v>52</v>
      </c>
      <c r="P18" s="72"/>
      <c r="Q18" s="72"/>
      <c r="R18" s="72">
        <v>0</v>
      </c>
      <c r="S18" s="63"/>
      <c r="T18" s="72" t="s">
        <v>52</v>
      </c>
      <c r="U18" s="102" t="str">
        <f>IF($J$1="October",Y17,"")</f>
        <v/>
      </c>
      <c r="V18" s="74"/>
      <c r="W18" s="102" t="str">
        <f t="shared" si="1"/>
        <v/>
      </c>
      <c r="X18" s="74"/>
      <c r="Y18" s="102" t="str">
        <f t="shared" si="2"/>
        <v/>
      </c>
      <c r="Z18" s="76"/>
    </row>
    <row r="19" spans="1:27" s="29" customFormat="1" ht="27.75" customHeight="1" x14ac:dyDescent="0.35">
      <c r="A19" s="30"/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46"/>
      <c r="N19" s="71"/>
      <c r="O19" s="72" t="s">
        <v>57</v>
      </c>
      <c r="P19" s="72"/>
      <c r="Q19" s="72"/>
      <c r="R19" s="72">
        <v>0</v>
      </c>
      <c r="S19" s="63"/>
      <c r="T19" s="72" t="s">
        <v>57</v>
      </c>
      <c r="U19" s="102" t="str">
        <f>IF($J$1="November",Y18,"")</f>
        <v/>
      </c>
      <c r="V19" s="74"/>
      <c r="W19" s="102" t="str">
        <f t="shared" si="1"/>
        <v/>
      </c>
      <c r="X19" s="74"/>
      <c r="Y19" s="102" t="str">
        <f t="shared" si="2"/>
        <v/>
      </c>
      <c r="Z19" s="76"/>
    </row>
    <row r="20" spans="1:27" s="29" customFormat="1" ht="27.75" customHeight="1" thickBot="1" x14ac:dyDescent="0.4">
      <c r="A20" s="59"/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61"/>
      <c r="N20" s="71"/>
      <c r="O20" s="72" t="s">
        <v>58</v>
      </c>
      <c r="P20" s="72"/>
      <c r="Q20" s="72"/>
      <c r="R20" s="72" t="str">
        <f t="shared" si="0"/>
        <v/>
      </c>
      <c r="S20" s="63"/>
      <c r="T20" s="72" t="s">
        <v>58</v>
      </c>
      <c r="U20" s="102" t="str">
        <f>IF($J$1="December",Y19,"")</f>
        <v/>
      </c>
      <c r="V20" s="74"/>
      <c r="W20" s="102" t="str">
        <f t="shared" si="1"/>
        <v/>
      </c>
      <c r="X20" s="74"/>
      <c r="Y20" s="102" t="str">
        <f t="shared" si="2"/>
        <v/>
      </c>
      <c r="Z20" s="76"/>
    </row>
    <row r="21" spans="1:27" s="94" customFormat="1" ht="27.75" customHeight="1" thickBot="1" x14ac:dyDescent="0.25"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7" s="29" customFormat="1" ht="27.75" customHeight="1" thickBot="1" x14ac:dyDescent="0.25">
      <c r="A22" s="389" t="s">
        <v>40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1"/>
      <c r="M22" s="28"/>
      <c r="N22" s="75"/>
      <c r="O22" s="392" t="s">
        <v>42</v>
      </c>
      <c r="P22" s="393"/>
      <c r="Q22" s="393"/>
      <c r="R22" s="394"/>
      <c r="S22" s="63"/>
      <c r="T22" s="392" t="s">
        <v>43</v>
      </c>
      <c r="U22" s="393"/>
      <c r="V22" s="393"/>
      <c r="W22" s="393"/>
      <c r="X22" s="393"/>
      <c r="Y22" s="394"/>
      <c r="Z22" s="85"/>
      <c r="AA22" s="28"/>
    </row>
    <row r="23" spans="1:27" s="29" customFormat="1" ht="27.75" customHeight="1" x14ac:dyDescent="0.2">
      <c r="A23" s="30"/>
      <c r="C23" s="386" t="s">
        <v>83</v>
      </c>
      <c r="D23" s="386"/>
      <c r="E23" s="386"/>
      <c r="F23" s="386"/>
      <c r="G23" s="31" t="str">
        <f>$J$1</f>
        <v>August</v>
      </c>
      <c r="H23" s="385">
        <f>$K$1</f>
        <v>2023</v>
      </c>
      <c r="I23" s="385"/>
      <c r="K23" s="32"/>
      <c r="L23" s="33"/>
      <c r="M23" s="32"/>
      <c r="N23" s="67"/>
      <c r="O23" s="68" t="s">
        <v>53</v>
      </c>
      <c r="P23" s="68" t="s">
        <v>7</v>
      </c>
      <c r="Q23" s="68" t="s">
        <v>6</v>
      </c>
      <c r="R23" s="68" t="s">
        <v>54</v>
      </c>
      <c r="S23" s="69"/>
      <c r="T23" s="68" t="s">
        <v>53</v>
      </c>
      <c r="U23" s="68" t="s">
        <v>55</v>
      </c>
      <c r="V23" s="68" t="s">
        <v>20</v>
      </c>
      <c r="W23" s="68" t="s">
        <v>19</v>
      </c>
      <c r="X23" s="68" t="s">
        <v>21</v>
      </c>
      <c r="Y23" s="68" t="s">
        <v>59</v>
      </c>
      <c r="Z23" s="70"/>
      <c r="AA23" s="32"/>
    </row>
    <row r="24" spans="1:27" s="29" customFormat="1" ht="27.75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</v>
      </c>
      <c r="L24" s="38"/>
      <c r="N24" s="71"/>
      <c r="O24" s="72" t="s">
        <v>45</v>
      </c>
      <c r="P24" s="72"/>
      <c r="Q24" s="72"/>
      <c r="R24" s="72"/>
      <c r="S24" s="73"/>
      <c r="T24" s="72" t="s">
        <v>45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7.75" customHeight="1" x14ac:dyDescent="0.2">
      <c r="A25" s="30"/>
      <c r="B25" s="29" t="s">
        <v>0</v>
      </c>
      <c r="C25" s="40" t="s">
        <v>132</v>
      </c>
      <c r="H25" s="41"/>
      <c r="I25" s="35"/>
      <c r="L25" s="42"/>
      <c r="M25" s="28"/>
      <c r="N25" s="75"/>
      <c r="O25" s="72" t="s">
        <v>71</v>
      </c>
      <c r="P25" s="72"/>
      <c r="Q25" s="72"/>
      <c r="R25" s="72"/>
      <c r="S25" s="63"/>
      <c r="T25" s="72" t="s">
        <v>71</v>
      </c>
      <c r="U25" s="102">
        <f>Y24</f>
        <v>0</v>
      </c>
      <c r="V25" s="74"/>
      <c r="W25" s="102">
        <f>IF(U25="","",U25+V25)</f>
        <v>0</v>
      </c>
      <c r="X25" s="74"/>
      <c r="Y25" s="102">
        <f>IF(W25="","",W25-X25)</f>
        <v>0</v>
      </c>
      <c r="Z25" s="76"/>
      <c r="AA25" s="28"/>
    </row>
    <row r="26" spans="1:27" s="29" customFormat="1" ht="27.75" customHeight="1" x14ac:dyDescent="0.2">
      <c r="A26" s="30"/>
      <c r="B26" s="44" t="s">
        <v>41</v>
      </c>
      <c r="C26" s="45"/>
      <c r="F26" s="382" t="s">
        <v>43</v>
      </c>
      <c r="G26" s="384"/>
      <c r="I26" s="382" t="s">
        <v>44</v>
      </c>
      <c r="J26" s="383"/>
      <c r="K26" s="384"/>
      <c r="L26" s="46"/>
      <c r="N26" s="71"/>
      <c r="O26" s="72" t="s">
        <v>46</v>
      </c>
      <c r="P26" s="72"/>
      <c r="Q26" s="72"/>
      <c r="R26" s="72" t="str">
        <f t="shared" ref="R26:R35" si="3">IF(Q26="","",R25-Q26)</f>
        <v/>
      </c>
      <c r="S26" s="63"/>
      <c r="T26" s="72" t="s">
        <v>46</v>
      </c>
      <c r="U26" s="102"/>
      <c r="V26" s="74"/>
      <c r="W26" s="102" t="str">
        <f t="shared" ref="W26:W35" si="4">IF(U26="","",U26+V26)</f>
        <v/>
      </c>
      <c r="X26" s="74"/>
      <c r="Y26" s="102" t="str">
        <f t="shared" ref="Y26:Y35" si="5">IF(W26="","",W26-X26)</f>
        <v/>
      </c>
      <c r="Z26" s="76"/>
    </row>
    <row r="27" spans="1:27" s="29" customFormat="1" ht="27.75" customHeight="1" x14ac:dyDescent="0.2">
      <c r="A27" s="30"/>
      <c r="H27" s="47"/>
      <c r="L27" s="34"/>
      <c r="N27" s="71"/>
      <c r="O27" s="72" t="s">
        <v>47</v>
      </c>
      <c r="P27" s="72"/>
      <c r="Q27" s="72"/>
      <c r="R27" s="72" t="str">
        <f t="shared" si="3"/>
        <v/>
      </c>
      <c r="S27" s="63"/>
      <c r="T27" s="72" t="s">
        <v>47</v>
      </c>
      <c r="U27" s="102"/>
      <c r="V27" s="74"/>
      <c r="W27" s="102">
        <f>V27+U27</f>
        <v>0</v>
      </c>
      <c r="X27" s="74"/>
      <c r="Y27" s="102">
        <f t="shared" si="5"/>
        <v>0</v>
      </c>
      <c r="Z27" s="76"/>
    </row>
    <row r="28" spans="1:27" s="29" customFormat="1" ht="27.75" customHeight="1" x14ac:dyDescent="0.2">
      <c r="A28" s="30"/>
      <c r="B28" s="380" t="s">
        <v>42</v>
      </c>
      <c r="C28" s="381"/>
      <c r="F28" s="48" t="s">
        <v>64</v>
      </c>
      <c r="G28" s="4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7"/>
      <c r="I28" s="49"/>
      <c r="J28" s="50" t="s">
        <v>61</v>
      </c>
      <c r="K28" s="51">
        <v>5000</v>
      </c>
      <c r="L28" s="52"/>
      <c r="N28" s="71"/>
      <c r="O28" s="72" t="s">
        <v>48</v>
      </c>
      <c r="P28" s="72"/>
      <c r="Q28" s="72"/>
      <c r="R28" s="72" t="str">
        <f t="shared" si="3"/>
        <v/>
      </c>
      <c r="S28" s="63"/>
      <c r="T28" s="72" t="s">
        <v>48</v>
      </c>
      <c r="U28" s="102">
        <f>Y27</f>
        <v>0</v>
      </c>
      <c r="V28" s="74"/>
      <c r="W28" s="102">
        <f t="shared" si="4"/>
        <v>0</v>
      </c>
      <c r="X28" s="74"/>
      <c r="Y28" s="102">
        <f t="shared" si="5"/>
        <v>0</v>
      </c>
      <c r="Z28" s="76"/>
    </row>
    <row r="29" spans="1:27" s="29" customFormat="1" ht="27.75" customHeight="1" x14ac:dyDescent="0.2">
      <c r="A29" s="30"/>
      <c r="B29" s="39"/>
      <c r="C29" s="39"/>
      <c r="F29" s="48" t="s">
        <v>20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62</v>
      </c>
      <c r="K29" s="53">
        <f>K24/$K$2/8*I29</f>
        <v>0</v>
      </c>
      <c r="L29" s="54"/>
      <c r="N29" s="71"/>
      <c r="O29" s="72" t="s">
        <v>49</v>
      </c>
      <c r="P29" s="72"/>
      <c r="Q29" s="72"/>
      <c r="R29" s="72" t="str">
        <f t="shared" si="3"/>
        <v/>
      </c>
      <c r="S29" s="63"/>
      <c r="T29" s="72" t="s">
        <v>49</v>
      </c>
      <c r="U29" s="102">
        <f>Y28</f>
        <v>0</v>
      </c>
      <c r="V29" s="74">
        <v>5000</v>
      </c>
      <c r="W29" s="102">
        <f t="shared" si="4"/>
        <v>5000</v>
      </c>
      <c r="X29" s="74">
        <v>5000</v>
      </c>
      <c r="Y29" s="102">
        <f t="shared" si="5"/>
        <v>0</v>
      </c>
      <c r="Z29" s="76"/>
    </row>
    <row r="30" spans="1:27" s="29" customFormat="1" ht="27.75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65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387" t="s">
        <v>69</v>
      </c>
      <c r="J30" s="388"/>
      <c r="K30" s="53">
        <f>K28+K29</f>
        <v>5000</v>
      </c>
      <c r="L30" s="54"/>
      <c r="N30" s="71"/>
      <c r="O30" s="72" t="s">
        <v>50</v>
      </c>
      <c r="P30" s="72"/>
      <c r="Q30" s="72"/>
      <c r="R30" s="72" t="str">
        <f t="shared" si="3"/>
        <v/>
      </c>
      <c r="S30" s="63"/>
      <c r="T30" s="72" t="s">
        <v>50</v>
      </c>
      <c r="U30" s="102"/>
      <c r="V30" s="74"/>
      <c r="W30" s="102" t="str">
        <f t="shared" si="4"/>
        <v/>
      </c>
      <c r="X30" s="74"/>
      <c r="Y30" s="102" t="str">
        <f t="shared" si="5"/>
        <v/>
      </c>
      <c r="Z30" s="76"/>
    </row>
    <row r="31" spans="1:27" s="29" customFormat="1" ht="27.75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21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387" t="s">
        <v>70</v>
      </c>
      <c r="J31" s="388"/>
      <c r="K31" s="43">
        <f>X29</f>
        <v>5000</v>
      </c>
      <c r="L31" s="55"/>
      <c r="N31" s="71"/>
      <c r="O31" s="72" t="s">
        <v>51</v>
      </c>
      <c r="P31" s="72"/>
      <c r="Q31" s="72"/>
      <c r="R31" s="72" t="str">
        <f t="shared" si="3"/>
        <v/>
      </c>
      <c r="S31" s="63"/>
      <c r="T31" s="72" t="s">
        <v>51</v>
      </c>
      <c r="U31" s="102"/>
      <c r="V31" s="74"/>
      <c r="W31" s="102" t="str">
        <f t="shared" si="4"/>
        <v/>
      </c>
      <c r="X31" s="74"/>
      <c r="Y31" s="102" t="str">
        <f t="shared" si="5"/>
        <v/>
      </c>
      <c r="Z31" s="76"/>
    </row>
    <row r="32" spans="1:27" s="29" customFormat="1" ht="27.75" customHeight="1" x14ac:dyDescent="0.2">
      <c r="A32" s="30"/>
      <c r="B32" s="48" t="s">
        <v>68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210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382" t="s">
        <v>63</v>
      </c>
      <c r="J32" s="384"/>
      <c r="K32" s="57">
        <f>K30-K31</f>
        <v>0</v>
      </c>
      <c r="L32" s="58"/>
      <c r="N32" s="71"/>
      <c r="O32" s="72" t="s">
        <v>56</v>
      </c>
      <c r="P32" s="72"/>
      <c r="Q32" s="72"/>
      <c r="R32" s="72">
        <v>0</v>
      </c>
      <c r="S32" s="63"/>
      <c r="T32" s="72" t="s">
        <v>56</v>
      </c>
      <c r="U32" s="102" t="str">
        <f>IF($J$1="September",Y31,"")</f>
        <v/>
      </c>
      <c r="V32" s="74"/>
      <c r="W32" s="102" t="str">
        <f t="shared" si="4"/>
        <v/>
      </c>
      <c r="X32" s="74"/>
      <c r="Y32" s="102" t="str">
        <f t="shared" si="5"/>
        <v/>
      </c>
      <c r="Z32" s="76"/>
    </row>
    <row r="33" spans="1:27" s="29" customFormat="1" ht="27.75" customHeight="1" x14ac:dyDescent="0.2">
      <c r="A33" s="30"/>
      <c r="L33" s="46"/>
      <c r="N33" s="71"/>
      <c r="O33" s="72" t="s">
        <v>52</v>
      </c>
      <c r="P33" s="72"/>
      <c r="Q33" s="72"/>
      <c r="R33" s="72">
        <v>0</v>
      </c>
      <c r="S33" s="63"/>
      <c r="T33" s="72" t="s">
        <v>52</v>
      </c>
      <c r="U33" s="102" t="str">
        <f>IF($J$1="October",Y32,"")</f>
        <v/>
      </c>
      <c r="V33" s="74"/>
      <c r="W33" s="102" t="str">
        <f t="shared" si="4"/>
        <v/>
      </c>
      <c r="X33" s="74"/>
      <c r="Y33" s="102" t="str">
        <f t="shared" si="5"/>
        <v/>
      </c>
      <c r="Z33" s="76"/>
    </row>
    <row r="34" spans="1:27" s="29" customFormat="1" ht="27.75" customHeight="1" x14ac:dyDescent="0.35">
      <c r="A34" s="30"/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46"/>
      <c r="N34" s="71"/>
      <c r="O34" s="72" t="s">
        <v>57</v>
      </c>
      <c r="P34" s="72"/>
      <c r="Q34" s="72"/>
      <c r="R34" s="72" t="str">
        <f t="shared" si="3"/>
        <v/>
      </c>
      <c r="S34" s="63"/>
      <c r="T34" s="72" t="s">
        <v>57</v>
      </c>
      <c r="U34" s="102"/>
      <c r="V34" s="74"/>
      <c r="W34" s="102" t="str">
        <f t="shared" si="4"/>
        <v/>
      </c>
      <c r="X34" s="74"/>
      <c r="Y34" s="102" t="str">
        <f t="shared" si="5"/>
        <v/>
      </c>
      <c r="Z34" s="76"/>
    </row>
    <row r="35" spans="1:27" s="29" customFormat="1" ht="27.75" customHeight="1" thickBot="1" x14ac:dyDescent="0.4">
      <c r="A35" s="59"/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61"/>
      <c r="N35" s="71"/>
      <c r="O35" s="72" t="s">
        <v>58</v>
      </c>
      <c r="P35" s="72"/>
      <c r="Q35" s="72"/>
      <c r="R35" s="72" t="str">
        <f t="shared" si="3"/>
        <v/>
      </c>
      <c r="S35" s="63"/>
      <c r="T35" s="72" t="s">
        <v>58</v>
      </c>
      <c r="U35" s="102"/>
      <c r="V35" s="74"/>
      <c r="W35" s="102" t="str">
        <f t="shared" si="4"/>
        <v/>
      </c>
      <c r="X35" s="74"/>
      <c r="Y35" s="102" t="str">
        <f t="shared" si="5"/>
        <v/>
      </c>
      <c r="Z35" s="76"/>
    </row>
    <row r="36" spans="1:27" s="94" customFormat="1" ht="27.75" customHeight="1" thickBot="1" x14ac:dyDescent="0.25"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7" s="29" customFormat="1" ht="27.75" customHeight="1" thickBot="1" x14ac:dyDescent="0.25">
      <c r="A37" s="389" t="s">
        <v>40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1"/>
      <c r="M37" s="28"/>
      <c r="N37" s="64"/>
      <c r="O37" s="377" t="s">
        <v>42</v>
      </c>
      <c r="P37" s="378"/>
      <c r="Q37" s="378"/>
      <c r="R37" s="379"/>
      <c r="S37" s="65"/>
      <c r="T37" s="377" t="s">
        <v>43</v>
      </c>
      <c r="U37" s="378"/>
      <c r="V37" s="378"/>
      <c r="W37" s="378"/>
      <c r="X37" s="378"/>
      <c r="Y37" s="379"/>
      <c r="Z37" s="66"/>
      <c r="AA37" s="28"/>
    </row>
    <row r="38" spans="1:27" s="29" customFormat="1" ht="27.75" customHeight="1" x14ac:dyDescent="0.2">
      <c r="A38" s="30"/>
      <c r="C38" s="386" t="s">
        <v>83</v>
      </c>
      <c r="D38" s="386"/>
      <c r="E38" s="386"/>
      <c r="F38" s="386"/>
      <c r="G38" s="31" t="str">
        <f>$J$1</f>
        <v>August</v>
      </c>
      <c r="H38" s="385">
        <f>$K$1</f>
        <v>2023</v>
      </c>
      <c r="I38" s="385"/>
      <c r="K38" s="32"/>
      <c r="L38" s="33"/>
      <c r="M38" s="32"/>
      <c r="N38" s="67"/>
      <c r="O38" s="68" t="s">
        <v>53</v>
      </c>
      <c r="P38" s="68" t="s">
        <v>7</v>
      </c>
      <c r="Q38" s="68" t="s">
        <v>6</v>
      </c>
      <c r="R38" s="68" t="s">
        <v>54</v>
      </c>
      <c r="S38" s="69"/>
      <c r="T38" s="68" t="s">
        <v>53</v>
      </c>
      <c r="U38" s="68" t="s">
        <v>55</v>
      </c>
      <c r="V38" s="68" t="s">
        <v>20</v>
      </c>
      <c r="W38" s="68" t="s">
        <v>19</v>
      </c>
      <c r="X38" s="68" t="s">
        <v>21</v>
      </c>
      <c r="Y38" s="68" t="s">
        <v>59</v>
      </c>
      <c r="Z38" s="70"/>
      <c r="AA38" s="32"/>
    </row>
    <row r="39" spans="1:27" s="29" customFormat="1" ht="27.75" customHeight="1" x14ac:dyDescent="0.2">
      <c r="A39" s="30"/>
      <c r="D39" s="35"/>
      <c r="E39" s="35"/>
      <c r="F39" s="35"/>
      <c r="G39" s="35"/>
      <c r="H39" s="35"/>
      <c r="J39" s="36" t="s">
        <v>1</v>
      </c>
      <c r="K39" s="37">
        <v>18000</v>
      </c>
      <c r="L39" s="38"/>
      <c r="N39" s="71"/>
      <c r="O39" s="72" t="s">
        <v>45</v>
      </c>
      <c r="P39" s="72"/>
      <c r="Q39" s="72"/>
      <c r="R39" s="72"/>
      <c r="S39" s="73"/>
      <c r="T39" s="72" t="s">
        <v>45</v>
      </c>
      <c r="U39" s="74">
        <v>6000</v>
      </c>
      <c r="V39" s="74"/>
      <c r="W39" s="74">
        <f>V39+U39</f>
        <v>6000</v>
      </c>
      <c r="X39" s="74">
        <v>3000</v>
      </c>
      <c r="Y39" s="74">
        <f>W39-X39</f>
        <v>3000</v>
      </c>
      <c r="Z39" s="70"/>
    </row>
    <row r="40" spans="1:27" s="29" customFormat="1" ht="27.75" customHeight="1" x14ac:dyDescent="0.2">
      <c r="A40" s="30"/>
      <c r="B40" s="29" t="s">
        <v>0</v>
      </c>
      <c r="C40" s="40" t="s">
        <v>162</v>
      </c>
      <c r="H40" s="41"/>
      <c r="I40" s="35"/>
      <c r="L40" s="42"/>
      <c r="M40" s="28"/>
      <c r="N40" s="75"/>
      <c r="O40" s="72" t="s">
        <v>71</v>
      </c>
      <c r="P40" s="72"/>
      <c r="Q40" s="72"/>
      <c r="R40" s="72"/>
      <c r="S40" s="63"/>
      <c r="T40" s="72" t="s">
        <v>71</v>
      </c>
      <c r="U40" s="102">
        <f t="shared" ref="U40:U45" si="6">Y39</f>
        <v>3000</v>
      </c>
      <c r="V40" s="74">
        <f>10000+5000</f>
        <v>15000</v>
      </c>
      <c r="W40" s="74">
        <f>V40+U40</f>
        <v>18000</v>
      </c>
      <c r="X40" s="74">
        <v>18000</v>
      </c>
      <c r="Y40" s="102">
        <f>IF(W40="","",W40-X40)</f>
        <v>0</v>
      </c>
      <c r="Z40" s="76"/>
      <c r="AA40" s="28"/>
    </row>
    <row r="41" spans="1:27" s="29" customFormat="1" ht="27.75" customHeight="1" x14ac:dyDescent="0.2">
      <c r="A41" s="30"/>
      <c r="B41" s="44" t="s">
        <v>41</v>
      </c>
      <c r="C41" s="45"/>
      <c r="F41" s="382" t="s">
        <v>43</v>
      </c>
      <c r="G41" s="384"/>
      <c r="I41" s="382" t="s">
        <v>44</v>
      </c>
      <c r="J41" s="383"/>
      <c r="K41" s="384"/>
      <c r="L41" s="46"/>
      <c r="N41" s="71"/>
      <c r="O41" s="72" t="s">
        <v>46</v>
      </c>
      <c r="P41" s="72"/>
      <c r="Q41" s="72"/>
      <c r="R41" s="72" t="str">
        <f t="shared" ref="R41:R50" si="7">IF(Q41="","",R40-Q41)</f>
        <v/>
      </c>
      <c r="S41" s="63"/>
      <c r="T41" s="72" t="s">
        <v>46</v>
      </c>
      <c r="U41" s="102">
        <f t="shared" si="6"/>
        <v>0</v>
      </c>
      <c r="V41" s="74">
        <v>8000</v>
      </c>
      <c r="W41" s="74">
        <f>V41+U41</f>
        <v>8000</v>
      </c>
      <c r="X41" s="74"/>
      <c r="Y41" s="102">
        <f t="shared" ref="Y41:Y50" si="8">IF(W41="","",W41-X41)</f>
        <v>8000</v>
      </c>
      <c r="Z41" s="76"/>
    </row>
    <row r="42" spans="1:27" s="29" customFormat="1" ht="27.75" customHeight="1" x14ac:dyDescent="0.2">
      <c r="A42" s="30"/>
      <c r="H42" s="47"/>
      <c r="L42" s="34"/>
      <c r="N42" s="71"/>
      <c r="O42" s="72" t="s">
        <v>47</v>
      </c>
      <c r="P42" s="72"/>
      <c r="Q42" s="72"/>
      <c r="R42" s="72" t="str">
        <f t="shared" si="7"/>
        <v/>
      </c>
      <c r="S42" s="63"/>
      <c r="T42" s="72" t="s">
        <v>47</v>
      </c>
      <c r="U42" s="102">
        <f t="shared" si="6"/>
        <v>8000</v>
      </c>
      <c r="V42" s="74"/>
      <c r="W42" s="102">
        <f t="shared" ref="W42:W50" si="9">IF(U42="","",U42+V42)</f>
        <v>8000</v>
      </c>
      <c r="X42" s="74">
        <v>3000</v>
      </c>
      <c r="Y42" s="102">
        <f t="shared" si="8"/>
        <v>5000</v>
      </c>
      <c r="Z42" s="76"/>
    </row>
    <row r="43" spans="1:27" s="29" customFormat="1" ht="27.75" customHeight="1" x14ac:dyDescent="0.2">
      <c r="A43" s="30"/>
      <c r="B43" s="380" t="s">
        <v>42</v>
      </c>
      <c r="C43" s="381"/>
      <c r="F43" s="48" t="s">
        <v>64</v>
      </c>
      <c r="G43" s="4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47"/>
      <c r="I43" s="49">
        <f>IF(C47&gt;=C46,$K$2,C45-C46+C47)</f>
        <v>31</v>
      </c>
      <c r="J43" s="50" t="s">
        <v>61</v>
      </c>
      <c r="K43" s="51">
        <f>K39/$K$2*I43</f>
        <v>18000</v>
      </c>
      <c r="L43" s="52"/>
      <c r="N43" s="71"/>
      <c r="O43" s="72" t="s">
        <v>48</v>
      </c>
      <c r="P43" s="72"/>
      <c r="Q43" s="72"/>
      <c r="R43" s="72" t="str">
        <f t="shared" si="7"/>
        <v/>
      </c>
      <c r="S43" s="63"/>
      <c r="T43" s="72" t="s">
        <v>48</v>
      </c>
      <c r="U43" s="102">
        <f t="shared" si="6"/>
        <v>5000</v>
      </c>
      <c r="V43" s="74"/>
      <c r="W43" s="102">
        <f t="shared" si="9"/>
        <v>5000</v>
      </c>
      <c r="X43" s="74"/>
      <c r="Y43" s="102">
        <f t="shared" si="8"/>
        <v>5000</v>
      </c>
      <c r="Z43" s="76"/>
    </row>
    <row r="44" spans="1:27" s="29" customFormat="1" ht="27.75" customHeight="1" x14ac:dyDescent="0.2">
      <c r="A44" s="30"/>
      <c r="B44" s="39"/>
      <c r="C44" s="39"/>
      <c r="F44" s="48" t="s">
        <v>20</v>
      </c>
      <c r="G44" s="4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47"/>
      <c r="I44" s="49"/>
      <c r="J44" s="50" t="s">
        <v>62</v>
      </c>
      <c r="K44" s="53">
        <f>K39/$K$2/8*I44</f>
        <v>0</v>
      </c>
      <c r="L44" s="54"/>
      <c r="N44" s="71"/>
      <c r="O44" s="72" t="s">
        <v>49</v>
      </c>
      <c r="P44" s="72"/>
      <c r="Q44" s="72"/>
      <c r="R44" s="72">
        <v>0</v>
      </c>
      <c r="S44" s="63"/>
      <c r="T44" s="72" t="s">
        <v>49</v>
      </c>
      <c r="U44" s="102">
        <f t="shared" si="6"/>
        <v>5000</v>
      </c>
      <c r="V44" s="74">
        <v>18000</v>
      </c>
      <c r="W44" s="102">
        <f t="shared" si="9"/>
        <v>23000</v>
      </c>
      <c r="X44" s="74">
        <v>18000</v>
      </c>
      <c r="Y44" s="102">
        <f t="shared" si="8"/>
        <v>5000</v>
      </c>
      <c r="Z44" s="76"/>
    </row>
    <row r="45" spans="1:27" s="29" customFormat="1" ht="27.75" customHeight="1" x14ac:dyDescent="0.2">
      <c r="A45" s="30"/>
      <c r="B45" s="48" t="s">
        <v>7</v>
      </c>
      <c r="C45" s="39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F45" s="48" t="s">
        <v>65</v>
      </c>
      <c r="G45" s="43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47"/>
      <c r="I45" s="387" t="s">
        <v>69</v>
      </c>
      <c r="J45" s="388"/>
      <c r="K45" s="53">
        <f>K43+K44</f>
        <v>18000</v>
      </c>
      <c r="L45" s="54"/>
      <c r="N45" s="71"/>
      <c r="O45" s="72" t="s">
        <v>50</v>
      </c>
      <c r="P45" s="72"/>
      <c r="Q45" s="72"/>
      <c r="R45" s="72" t="str">
        <f t="shared" si="7"/>
        <v/>
      </c>
      <c r="S45" s="63"/>
      <c r="T45" s="72" t="s">
        <v>50</v>
      </c>
      <c r="U45" s="102">
        <f t="shared" si="6"/>
        <v>5000</v>
      </c>
      <c r="V45" s="74"/>
      <c r="W45" s="102">
        <f t="shared" si="9"/>
        <v>5000</v>
      </c>
      <c r="X45" s="74"/>
      <c r="Y45" s="102">
        <f t="shared" si="8"/>
        <v>5000</v>
      </c>
      <c r="Z45" s="76"/>
    </row>
    <row r="46" spans="1:27" s="29" customFormat="1" ht="27.75" customHeight="1" x14ac:dyDescent="0.2">
      <c r="A46" s="30"/>
      <c r="B46" s="48" t="s">
        <v>6</v>
      </c>
      <c r="C46" s="39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F46" s="48" t="s">
        <v>21</v>
      </c>
      <c r="G46" s="4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47"/>
      <c r="I46" s="387" t="s">
        <v>70</v>
      </c>
      <c r="J46" s="388"/>
      <c r="K46" s="43">
        <f>G46</f>
        <v>0</v>
      </c>
      <c r="L46" s="55"/>
      <c r="N46" s="71"/>
      <c r="O46" s="72" t="s">
        <v>51</v>
      </c>
      <c r="P46" s="72"/>
      <c r="Q46" s="72"/>
      <c r="R46" s="72" t="str">
        <f t="shared" si="7"/>
        <v/>
      </c>
      <c r="S46" s="63"/>
      <c r="T46" s="72" t="s">
        <v>51</v>
      </c>
      <c r="U46" s="102">
        <v>3000</v>
      </c>
      <c r="V46" s="74"/>
      <c r="W46" s="102">
        <f t="shared" si="9"/>
        <v>3000</v>
      </c>
      <c r="X46" s="74"/>
      <c r="Y46" s="102">
        <f t="shared" si="8"/>
        <v>3000</v>
      </c>
      <c r="Z46" s="76"/>
    </row>
    <row r="47" spans="1:27" s="29" customFormat="1" ht="27.75" customHeight="1" x14ac:dyDescent="0.2">
      <c r="A47" s="30"/>
      <c r="B47" s="318" t="s">
        <v>68</v>
      </c>
      <c r="C47" s="39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F47" s="318" t="s">
        <v>210</v>
      </c>
      <c r="G47" s="43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I47" s="382" t="s">
        <v>63</v>
      </c>
      <c r="J47" s="384"/>
      <c r="K47" s="57">
        <f>K45-K46</f>
        <v>18000</v>
      </c>
      <c r="L47" s="58"/>
      <c r="N47" s="71"/>
      <c r="O47" s="72" t="s">
        <v>56</v>
      </c>
      <c r="P47" s="72"/>
      <c r="Q47" s="72"/>
      <c r="R47" s="72">
        <v>0</v>
      </c>
      <c r="S47" s="63"/>
      <c r="T47" s="72" t="s">
        <v>56</v>
      </c>
      <c r="U47" s="102">
        <v>0</v>
      </c>
      <c r="V47" s="74"/>
      <c r="W47" s="102">
        <f t="shared" si="9"/>
        <v>0</v>
      </c>
      <c r="X47" s="74"/>
      <c r="Y47" s="102">
        <f t="shared" si="8"/>
        <v>0</v>
      </c>
      <c r="Z47" s="76"/>
    </row>
    <row r="48" spans="1:27" s="29" customFormat="1" ht="27.75" customHeight="1" x14ac:dyDescent="0.2">
      <c r="A48" s="30"/>
      <c r="L48" s="46"/>
      <c r="N48" s="71"/>
      <c r="O48" s="72" t="s">
        <v>52</v>
      </c>
      <c r="P48" s="72"/>
      <c r="Q48" s="72"/>
      <c r="R48" s="72">
        <v>0</v>
      </c>
      <c r="S48" s="63"/>
      <c r="T48" s="72" t="s">
        <v>52</v>
      </c>
      <c r="U48" s="102" t="str">
        <f>IF($J$1="October",Y47,"")</f>
        <v/>
      </c>
      <c r="V48" s="74"/>
      <c r="W48" s="102" t="str">
        <f t="shared" si="9"/>
        <v/>
      </c>
      <c r="X48" s="74"/>
      <c r="Y48" s="102" t="str">
        <f t="shared" si="8"/>
        <v/>
      </c>
      <c r="Z48" s="76"/>
    </row>
    <row r="49" spans="1:27" s="29" customFormat="1" ht="27.75" customHeight="1" x14ac:dyDescent="0.35">
      <c r="A49" s="30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46"/>
      <c r="N49" s="71"/>
      <c r="O49" s="72" t="s">
        <v>57</v>
      </c>
      <c r="P49" s="72"/>
      <c r="Q49" s="72"/>
      <c r="R49" s="72" t="str">
        <f t="shared" si="7"/>
        <v/>
      </c>
      <c r="S49" s="63"/>
      <c r="T49" s="72" t="s">
        <v>57</v>
      </c>
      <c r="U49" s="102" t="str">
        <f>Y48</f>
        <v/>
      </c>
      <c r="V49" s="74"/>
      <c r="W49" s="102" t="str">
        <f t="shared" si="9"/>
        <v/>
      </c>
      <c r="X49" s="74"/>
      <c r="Y49" s="102" t="str">
        <f t="shared" si="8"/>
        <v/>
      </c>
      <c r="Z49" s="76"/>
    </row>
    <row r="50" spans="1:27" s="29" customFormat="1" ht="27.75" customHeight="1" thickBot="1" x14ac:dyDescent="0.4">
      <c r="A50" s="59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61"/>
      <c r="N50" s="71"/>
      <c r="O50" s="72" t="s">
        <v>58</v>
      </c>
      <c r="P50" s="72"/>
      <c r="Q50" s="72"/>
      <c r="R50" s="72" t="str">
        <f t="shared" si="7"/>
        <v/>
      </c>
      <c r="S50" s="63"/>
      <c r="T50" s="72" t="s">
        <v>58</v>
      </c>
      <c r="U50" s="102" t="str">
        <f>Y49</f>
        <v/>
      </c>
      <c r="V50" s="74"/>
      <c r="W50" s="102" t="str">
        <f t="shared" si="9"/>
        <v/>
      </c>
      <c r="X50" s="74"/>
      <c r="Y50" s="102" t="str">
        <f t="shared" si="8"/>
        <v/>
      </c>
      <c r="Z50" s="76"/>
    </row>
    <row r="51" spans="1:27" s="94" customFormat="1" ht="27.75" customHeight="1" thickBot="1" x14ac:dyDescent="0.25"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7" s="29" customFormat="1" ht="27.75" customHeight="1" thickBot="1" x14ac:dyDescent="0.25">
      <c r="A52" s="389" t="s">
        <v>40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1"/>
      <c r="M52" s="28"/>
      <c r="N52" s="64"/>
      <c r="O52" s="377" t="s">
        <v>42</v>
      </c>
      <c r="P52" s="378"/>
      <c r="Q52" s="378"/>
      <c r="R52" s="379"/>
      <c r="S52" s="65"/>
      <c r="T52" s="377" t="s">
        <v>43</v>
      </c>
      <c r="U52" s="378"/>
      <c r="V52" s="378"/>
      <c r="W52" s="378"/>
      <c r="X52" s="378"/>
      <c r="Y52" s="379"/>
      <c r="Z52" s="66"/>
      <c r="AA52" s="28"/>
    </row>
    <row r="53" spans="1:27" s="29" customFormat="1" ht="27.75" customHeight="1" x14ac:dyDescent="0.2">
      <c r="A53" s="30"/>
      <c r="C53" s="386" t="s">
        <v>83</v>
      </c>
      <c r="D53" s="386"/>
      <c r="E53" s="386"/>
      <c r="F53" s="386"/>
      <c r="G53" s="31" t="str">
        <f>$J$1</f>
        <v>August</v>
      </c>
      <c r="H53" s="385">
        <f>$K$1</f>
        <v>2023</v>
      </c>
      <c r="I53" s="385"/>
      <c r="K53" s="32"/>
      <c r="L53" s="33"/>
      <c r="M53" s="32"/>
      <c r="N53" s="67"/>
      <c r="O53" s="68" t="s">
        <v>53</v>
      </c>
      <c r="P53" s="68" t="s">
        <v>7</v>
      </c>
      <c r="Q53" s="68" t="s">
        <v>6</v>
      </c>
      <c r="R53" s="68" t="s">
        <v>54</v>
      </c>
      <c r="S53" s="69"/>
      <c r="T53" s="68" t="s">
        <v>53</v>
      </c>
      <c r="U53" s="68" t="s">
        <v>55</v>
      </c>
      <c r="V53" s="68" t="s">
        <v>20</v>
      </c>
      <c r="W53" s="68" t="s">
        <v>19</v>
      </c>
      <c r="X53" s="68" t="s">
        <v>21</v>
      </c>
      <c r="Y53" s="68" t="s">
        <v>59</v>
      </c>
      <c r="Z53" s="70"/>
      <c r="AA53" s="32"/>
    </row>
    <row r="54" spans="1:27" s="29" customFormat="1" ht="27.75" customHeight="1" x14ac:dyDescent="0.2">
      <c r="A54" s="30"/>
      <c r="D54" s="35"/>
      <c r="E54" s="35"/>
      <c r="F54" s="35"/>
      <c r="G54" s="35"/>
      <c r="H54" s="35"/>
      <c r="J54" s="36" t="s">
        <v>1</v>
      </c>
      <c r="K54" s="37">
        <f>40000+5000</f>
        <v>45000</v>
      </c>
      <c r="L54" s="38"/>
      <c r="N54" s="71"/>
      <c r="O54" s="72" t="s">
        <v>45</v>
      </c>
      <c r="P54" s="72">
        <v>30</v>
      </c>
      <c r="Q54" s="72">
        <v>1</v>
      </c>
      <c r="R54" s="72">
        <f>15-Q54</f>
        <v>14</v>
      </c>
      <c r="S54" s="73"/>
      <c r="T54" s="72" t="s">
        <v>45</v>
      </c>
      <c r="U54" s="74">
        <v>10000</v>
      </c>
      <c r="V54" s="74"/>
      <c r="W54" s="74">
        <f>V54+U54</f>
        <v>10000</v>
      </c>
      <c r="X54" s="74">
        <v>2000</v>
      </c>
      <c r="Y54" s="74">
        <f>W54-X54</f>
        <v>8000</v>
      </c>
      <c r="Z54" s="70"/>
    </row>
    <row r="55" spans="1:27" s="29" customFormat="1" ht="27.75" customHeight="1" x14ac:dyDescent="0.2">
      <c r="A55" s="30"/>
      <c r="B55" s="29" t="s">
        <v>0</v>
      </c>
      <c r="C55" s="40" t="s">
        <v>79</v>
      </c>
      <c r="H55" s="41"/>
      <c r="I55" s="35"/>
      <c r="L55" s="42"/>
      <c r="M55" s="28"/>
      <c r="N55" s="75"/>
      <c r="O55" s="72" t="s">
        <v>71</v>
      </c>
      <c r="P55" s="72">
        <v>27</v>
      </c>
      <c r="Q55" s="72">
        <v>1</v>
      </c>
      <c r="R55" s="72">
        <f t="shared" ref="R55:R64" si="10">IF(Q55="","",R54-Q55)</f>
        <v>13</v>
      </c>
      <c r="S55" s="63"/>
      <c r="T55" s="72" t="s">
        <v>71</v>
      </c>
      <c r="U55" s="102">
        <f t="shared" ref="U55:U60" si="11">Y54</f>
        <v>8000</v>
      </c>
      <c r="V55" s="74">
        <v>5000</v>
      </c>
      <c r="W55" s="102">
        <f>IF(U55="","",U55+V55)</f>
        <v>13000</v>
      </c>
      <c r="X55" s="74">
        <v>7000</v>
      </c>
      <c r="Y55" s="102">
        <f>IF(W55="","",W55-X55)</f>
        <v>6000</v>
      </c>
      <c r="Z55" s="76"/>
      <c r="AA55" s="28"/>
    </row>
    <row r="56" spans="1:27" s="29" customFormat="1" ht="27.75" customHeight="1" x14ac:dyDescent="0.2">
      <c r="A56" s="30"/>
      <c r="B56" s="44" t="s">
        <v>41</v>
      </c>
      <c r="C56" s="45"/>
      <c r="F56" s="382" t="s">
        <v>43</v>
      </c>
      <c r="G56" s="384"/>
      <c r="I56" s="382" t="s">
        <v>44</v>
      </c>
      <c r="J56" s="383"/>
      <c r="K56" s="384"/>
      <c r="L56" s="46"/>
      <c r="N56" s="71"/>
      <c r="O56" s="72" t="s">
        <v>46</v>
      </c>
      <c r="P56" s="72">
        <v>30</v>
      </c>
      <c r="Q56" s="72">
        <v>1</v>
      </c>
      <c r="R56" s="72">
        <f t="shared" si="10"/>
        <v>12</v>
      </c>
      <c r="S56" s="63"/>
      <c r="T56" s="72" t="s">
        <v>46</v>
      </c>
      <c r="U56" s="102">
        <f t="shared" si="11"/>
        <v>6000</v>
      </c>
      <c r="V56" s="74">
        <v>1000</v>
      </c>
      <c r="W56" s="102">
        <f t="shared" ref="W56:W65" si="12">IF(U56="","",U56+V56)</f>
        <v>7000</v>
      </c>
      <c r="X56" s="74">
        <v>7000</v>
      </c>
      <c r="Y56" s="102">
        <f t="shared" ref="Y56:Y65" si="13">IF(W56="","",W56-X56)</f>
        <v>0</v>
      </c>
      <c r="Z56" s="76"/>
    </row>
    <row r="57" spans="1:27" s="29" customFormat="1" ht="27.75" customHeight="1" x14ac:dyDescent="0.2">
      <c r="A57" s="30"/>
      <c r="H57" s="47"/>
      <c r="L57" s="34"/>
      <c r="N57" s="71"/>
      <c r="O57" s="72" t="s">
        <v>47</v>
      </c>
      <c r="P57" s="72">
        <v>25</v>
      </c>
      <c r="Q57" s="72">
        <v>5</v>
      </c>
      <c r="R57" s="72">
        <f t="shared" si="10"/>
        <v>7</v>
      </c>
      <c r="S57" s="63"/>
      <c r="T57" s="72" t="s">
        <v>47</v>
      </c>
      <c r="U57" s="102">
        <f t="shared" si="11"/>
        <v>0</v>
      </c>
      <c r="V57" s="74"/>
      <c r="W57" s="102">
        <f t="shared" si="12"/>
        <v>0</v>
      </c>
      <c r="X57" s="74"/>
      <c r="Y57" s="102">
        <f t="shared" si="13"/>
        <v>0</v>
      </c>
      <c r="Z57" s="76"/>
    </row>
    <row r="58" spans="1:27" s="29" customFormat="1" ht="27.75" customHeight="1" x14ac:dyDescent="0.2">
      <c r="A58" s="30"/>
      <c r="B58" s="380" t="s">
        <v>42</v>
      </c>
      <c r="C58" s="381"/>
      <c r="F58" s="48" t="s">
        <v>64</v>
      </c>
      <c r="G58" s="4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47"/>
      <c r="I58" s="49">
        <f>IF(C62&gt;0,$K$2,C60)</f>
        <v>31</v>
      </c>
      <c r="J58" s="50" t="s">
        <v>61</v>
      </c>
      <c r="K58" s="51">
        <f>K54/$K$2*I58</f>
        <v>45000</v>
      </c>
      <c r="L58" s="52"/>
      <c r="N58" s="71"/>
      <c r="O58" s="72" t="s">
        <v>48</v>
      </c>
      <c r="P58" s="72">
        <v>31</v>
      </c>
      <c r="Q58" s="72">
        <v>0</v>
      </c>
      <c r="R58" s="72">
        <f t="shared" si="10"/>
        <v>7</v>
      </c>
      <c r="S58" s="63"/>
      <c r="T58" s="72" t="s">
        <v>48</v>
      </c>
      <c r="U58" s="102">
        <f t="shared" si="11"/>
        <v>0</v>
      </c>
      <c r="V58" s="74">
        <v>5000</v>
      </c>
      <c r="W58" s="102">
        <f t="shared" si="12"/>
        <v>5000</v>
      </c>
      <c r="X58" s="74">
        <v>5000</v>
      </c>
      <c r="Y58" s="102">
        <f t="shared" si="13"/>
        <v>0</v>
      </c>
      <c r="Z58" s="76"/>
    </row>
    <row r="59" spans="1:27" s="29" customFormat="1" ht="27.75" customHeight="1" x14ac:dyDescent="0.2">
      <c r="A59" s="30"/>
      <c r="B59" s="39"/>
      <c r="C59" s="39"/>
      <c r="F59" s="48" t="s">
        <v>20</v>
      </c>
      <c r="G59" s="4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1000</v>
      </c>
      <c r="H59" s="47"/>
      <c r="I59" s="49"/>
      <c r="J59" s="50" t="s">
        <v>62</v>
      </c>
      <c r="K59" s="53">
        <f>K54/$K$2/8*I59</f>
        <v>0</v>
      </c>
      <c r="L59" s="54"/>
      <c r="N59" s="71"/>
      <c r="O59" s="72" t="s">
        <v>49</v>
      </c>
      <c r="P59" s="72">
        <v>29</v>
      </c>
      <c r="Q59" s="72">
        <v>1</v>
      </c>
      <c r="R59" s="72">
        <f t="shared" si="10"/>
        <v>6</v>
      </c>
      <c r="S59" s="63"/>
      <c r="T59" s="72" t="s">
        <v>49</v>
      </c>
      <c r="U59" s="102">
        <f t="shared" si="11"/>
        <v>0</v>
      </c>
      <c r="V59" s="74">
        <v>25000</v>
      </c>
      <c r="W59" s="102">
        <f t="shared" si="12"/>
        <v>25000</v>
      </c>
      <c r="X59" s="74">
        <v>25000</v>
      </c>
      <c r="Y59" s="102">
        <f t="shared" si="13"/>
        <v>0</v>
      </c>
      <c r="Z59" s="76"/>
    </row>
    <row r="60" spans="1:27" s="29" customFormat="1" ht="27.75" customHeight="1" x14ac:dyDescent="0.2">
      <c r="A60" s="30"/>
      <c r="B60" s="48" t="s">
        <v>7</v>
      </c>
      <c r="C60" s="39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F60" s="48" t="s">
        <v>65</v>
      </c>
      <c r="G60" s="43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1000</v>
      </c>
      <c r="H60" s="47"/>
      <c r="I60" s="387" t="s">
        <v>69</v>
      </c>
      <c r="J60" s="388"/>
      <c r="K60" s="53">
        <f>K58+K59</f>
        <v>45000</v>
      </c>
      <c r="L60" s="54"/>
      <c r="N60" s="71"/>
      <c r="O60" s="72" t="s">
        <v>50</v>
      </c>
      <c r="P60" s="72">
        <v>30</v>
      </c>
      <c r="Q60" s="72">
        <v>1</v>
      </c>
      <c r="R60" s="72">
        <f t="shared" si="10"/>
        <v>5</v>
      </c>
      <c r="S60" s="63"/>
      <c r="T60" s="72" t="s">
        <v>50</v>
      </c>
      <c r="U60" s="102">
        <f t="shared" si="11"/>
        <v>0</v>
      </c>
      <c r="V60" s="74"/>
      <c r="W60" s="102">
        <f t="shared" si="12"/>
        <v>0</v>
      </c>
      <c r="X60" s="74"/>
      <c r="Y60" s="102">
        <f t="shared" si="13"/>
        <v>0</v>
      </c>
      <c r="Z60" s="76"/>
    </row>
    <row r="61" spans="1:27" s="29" customFormat="1" ht="27.75" customHeight="1" x14ac:dyDescent="0.2">
      <c r="A61" s="30"/>
      <c r="B61" s="48" t="s">
        <v>6</v>
      </c>
      <c r="C61" s="39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F61" s="48" t="s">
        <v>21</v>
      </c>
      <c r="G61" s="4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47"/>
      <c r="I61" s="387" t="s">
        <v>70</v>
      </c>
      <c r="J61" s="388"/>
      <c r="K61" s="43">
        <f>G61</f>
        <v>1000</v>
      </c>
      <c r="L61" s="55"/>
      <c r="N61" s="71"/>
      <c r="O61" s="72" t="s">
        <v>51</v>
      </c>
      <c r="P61" s="72">
        <v>29</v>
      </c>
      <c r="Q61" s="72">
        <v>2</v>
      </c>
      <c r="R61" s="72">
        <f t="shared" si="10"/>
        <v>3</v>
      </c>
      <c r="S61" s="63"/>
      <c r="T61" s="72" t="s">
        <v>51</v>
      </c>
      <c r="U61" s="102">
        <f>Y60</f>
        <v>0</v>
      </c>
      <c r="V61" s="74">
        <v>1000</v>
      </c>
      <c r="W61" s="102">
        <f t="shared" si="12"/>
        <v>1000</v>
      </c>
      <c r="X61" s="74">
        <v>1000</v>
      </c>
      <c r="Y61" s="102">
        <f t="shared" si="13"/>
        <v>0</v>
      </c>
      <c r="Z61" s="76"/>
    </row>
    <row r="62" spans="1:27" s="29" customFormat="1" ht="27.75" customHeight="1" x14ac:dyDescent="0.2">
      <c r="A62" s="30"/>
      <c r="B62" s="318" t="s">
        <v>68</v>
      </c>
      <c r="C62" s="39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3</v>
      </c>
      <c r="F62" s="318" t="s">
        <v>210</v>
      </c>
      <c r="G62" s="43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I62" s="382" t="s">
        <v>63</v>
      </c>
      <c r="J62" s="384"/>
      <c r="K62" s="57">
        <f>K60-K61</f>
        <v>44000</v>
      </c>
      <c r="L62" s="58"/>
      <c r="N62" s="71"/>
      <c r="O62" s="72" t="s">
        <v>56</v>
      </c>
      <c r="P62" s="72"/>
      <c r="Q62" s="72"/>
      <c r="R62" s="72">
        <v>0</v>
      </c>
      <c r="S62" s="63"/>
      <c r="T62" s="72" t="s">
        <v>56</v>
      </c>
      <c r="U62" s="102">
        <v>0</v>
      </c>
      <c r="V62" s="74"/>
      <c r="W62" s="102">
        <f t="shared" si="12"/>
        <v>0</v>
      </c>
      <c r="X62" s="74"/>
      <c r="Y62" s="102">
        <f t="shared" si="13"/>
        <v>0</v>
      </c>
      <c r="Z62" s="76"/>
    </row>
    <row r="63" spans="1:27" s="29" customFormat="1" ht="27.75" customHeight="1" x14ac:dyDescent="0.2">
      <c r="A63" s="30"/>
      <c r="L63" s="46"/>
      <c r="N63" s="71"/>
      <c r="O63" s="72" t="s">
        <v>52</v>
      </c>
      <c r="P63" s="72"/>
      <c r="Q63" s="72"/>
      <c r="R63" s="72">
        <v>0</v>
      </c>
      <c r="S63" s="63"/>
      <c r="T63" s="72" t="s">
        <v>52</v>
      </c>
      <c r="U63" s="102" t="str">
        <f>IF($J$1="October",Y62,"")</f>
        <v/>
      </c>
      <c r="V63" s="74"/>
      <c r="W63" s="102" t="str">
        <f t="shared" si="12"/>
        <v/>
      </c>
      <c r="X63" s="74"/>
      <c r="Y63" s="102" t="str">
        <f t="shared" si="13"/>
        <v/>
      </c>
      <c r="Z63" s="76"/>
    </row>
    <row r="64" spans="1:27" s="29" customFormat="1" ht="27.75" customHeight="1" x14ac:dyDescent="0.35">
      <c r="A64" s="30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46"/>
      <c r="N64" s="71"/>
      <c r="O64" s="72" t="s">
        <v>57</v>
      </c>
      <c r="P64" s="72"/>
      <c r="Q64" s="72"/>
      <c r="R64" s="72" t="str">
        <f t="shared" si="10"/>
        <v/>
      </c>
      <c r="S64" s="63"/>
      <c r="T64" s="72" t="s">
        <v>57</v>
      </c>
      <c r="U64" s="102"/>
      <c r="V64" s="74"/>
      <c r="W64" s="102" t="str">
        <f t="shared" si="12"/>
        <v/>
      </c>
      <c r="X64" s="74"/>
      <c r="Y64" s="102" t="str">
        <f t="shared" si="13"/>
        <v/>
      </c>
      <c r="Z64" s="76"/>
    </row>
    <row r="65" spans="1:26" s="29" customFormat="1" ht="27.75" customHeight="1" thickBot="1" x14ac:dyDescent="0.4">
      <c r="A65" s="59"/>
      <c r="B65" s="320"/>
      <c r="C65" s="320"/>
      <c r="D65" s="320"/>
      <c r="E65" s="320"/>
      <c r="F65" s="320"/>
      <c r="G65" s="320"/>
      <c r="H65" s="320"/>
      <c r="I65" s="320"/>
      <c r="J65" s="320"/>
      <c r="K65" s="320"/>
      <c r="L65" s="61"/>
      <c r="N65" s="71"/>
      <c r="O65" s="72" t="s">
        <v>58</v>
      </c>
      <c r="P65" s="72"/>
      <c r="Q65" s="72"/>
      <c r="R65" s="72" t="str">
        <f t="shared" ref="R65" si="14">IF(Q65="","",R64-Q65)</f>
        <v/>
      </c>
      <c r="S65" s="63"/>
      <c r="T65" s="72" t="s">
        <v>58</v>
      </c>
      <c r="U65" s="102"/>
      <c r="V65" s="74"/>
      <c r="W65" s="102" t="str">
        <f t="shared" si="12"/>
        <v/>
      </c>
      <c r="X65" s="74"/>
      <c r="Y65" s="102" t="str">
        <f t="shared" si="13"/>
        <v/>
      </c>
      <c r="Z65" s="76"/>
    </row>
    <row r="66" spans="1:26" s="94" customFormat="1" ht="27.75" customHeight="1" thickBot="1" x14ac:dyDescent="0.25"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29" customFormat="1" ht="27.75" customHeight="1" thickBot="1" x14ac:dyDescent="0.25">
      <c r="A67" s="389" t="s">
        <v>40</v>
      </c>
      <c r="B67" s="390"/>
      <c r="C67" s="390"/>
      <c r="D67" s="390"/>
      <c r="E67" s="390"/>
      <c r="F67" s="390"/>
      <c r="G67" s="390"/>
      <c r="H67" s="390"/>
      <c r="I67" s="390"/>
      <c r="J67" s="390"/>
      <c r="K67" s="390"/>
      <c r="L67" s="391"/>
      <c r="M67" s="28"/>
      <c r="N67" s="64"/>
      <c r="O67" s="377" t="s">
        <v>42</v>
      </c>
      <c r="P67" s="378"/>
      <c r="Q67" s="378"/>
      <c r="R67" s="379"/>
      <c r="S67" s="65"/>
      <c r="T67" s="377" t="s">
        <v>43</v>
      </c>
      <c r="U67" s="378"/>
      <c r="V67" s="378"/>
      <c r="W67" s="378"/>
      <c r="X67" s="378"/>
      <c r="Y67" s="379"/>
      <c r="Z67" s="66"/>
    </row>
    <row r="68" spans="1:26" s="29" customFormat="1" ht="27.75" customHeight="1" x14ac:dyDescent="0.2">
      <c r="A68" s="30"/>
      <c r="C68" s="386" t="s">
        <v>83</v>
      </c>
      <c r="D68" s="386"/>
      <c r="E68" s="386"/>
      <c r="F68" s="386"/>
      <c r="G68" s="31" t="str">
        <f>$J$1</f>
        <v>August</v>
      </c>
      <c r="H68" s="385">
        <f>$K$1</f>
        <v>2023</v>
      </c>
      <c r="I68" s="385"/>
      <c r="K68" s="32"/>
      <c r="L68" s="33"/>
      <c r="M68" s="32"/>
      <c r="N68" s="67"/>
      <c r="O68" s="68" t="s">
        <v>53</v>
      </c>
      <c r="P68" s="68" t="s">
        <v>7</v>
      </c>
      <c r="Q68" s="68" t="s">
        <v>6</v>
      </c>
      <c r="R68" s="68" t="s">
        <v>54</v>
      </c>
      <c r="S68" s="69"/>
      <c r="T68" s="68" t="s">
        <v>53</v>
      </c>
      <c r="U68" s="68" t="s">
        <v>55</v>
      </c>
      <c r="V68" s="68" t="s">
        <v>20</v>
      </c>
      <c r="W68" s="68" t="s">
        <v>19</v>
      </c>
      <c r="X68" s="68" t="s">
        <v>21</v>
      </c>
      <c r="Y68" s="68" t="s">
        <v>59</v>
      </c>
      <c r="Z68" s="70"/>
    </row>
    <row r="69" spans="1:26" s="29" customFormat="1" ht="27.75" customHeight="1" x14ac:dyDescent="0.2">
      <c r="A69" s="30"/>
      <c r="D69" s="35"/>
      <c r="E69" s="35"/>
      <c r="F69" s="35"/>
      <c r="G69" s="35"/>
      <c r="H69" s="35"/>
      <c r="J69" s="36" t="s">
        <v>1</v>
      </c>
      <c r="K69" s="37">
        <f>50000+15000</f>
        <v>65000</v>
      </c>
      <c r="L69" s="38"/>
      <c r="N69" s="71"/>
      <c r="O69" s="72" t="s">
        <v>45</v>
      </c>
      <c r="P69" s="72"/>
      <c r="Q69" s="72"/>
      <c r="R69" s="72">
        <v>0</v>
      </c>
      <c r="S69" s="73"/>
      <c r="T69" s="72" t="s">
        <v>45</v>
      </c>
      <c r="U69" s="74"/>
      <c r="V69" s="74"/>
      <c r="W69" s="74">
        <f>V69+U69</f>
        <v>0</v>
      </c>
      <c r="X69" s="74"/>
      <c r="Y69" s="74">
        <f>W69-X69</f>
        <v>0</v>
      </c>
      <c r="Z69" s="70"/>
    </row>
    <row r="70" spans="1:26" s="29" customFormat="1" ht="27.75" customHeight="1" x14ac:dyDescent="0.2">
      <c r="A70" s="30"/>
      <c r="B70" s="29" t="s">
        <v>0</v>
      </c>
      <c r="C70" s="40" t="s">
        <v>181</v>
      </c>
      <c r="H70" s="41"/>
      <c r="I70" s="35"/>
      <c r="L70" s="42"/>
      <c r="M70" s="28"/>
      <c r="N70" s="75"/>
      <c r="O70" s="72" t="s">
        <v>71</v>
      </c>
      <c r="P70" s="72"/>
      <c r="Q70" s="72"/>
      <c r="R70" s="72">
        <v>0</v>
      </c>
      <c r="S70" s="63"/>
      <c r="T70" s="72" t="s">
        <v>71</v>
      </c>
      <c r="U70" s="102">
        <f>IF($J$1="January","",Y69)</f>
        <v>0</v>
      </c>
      <c r="V70" s="74"/>
      <c r="W70" s="102">
        <f>IF(U70="","",U70+V70)</f>
        <v>0</v>
      </c>
      <c r="X70" s="74"/>
      <c r="Y70" s="102">
        <f>IF(W70="","",W70-X70)</f>
        <v>0</v>
      </c>
      <c r="Z70" s="76"/>
    </row>
    <row r="71" spans="1:26" s="29" customFormat="1" ht="27.75" customHeight="1" x14ac:dyDescent="0.2">
      <c r="A71" s="30"/>
      <c r="B71" s="44"/>
      <c r="C71" s="45"/>
      <c r="F71" s="382" t="s">
        <v>43</v>
      </c>
      <c r="G71" s="384"/>
      <c r="I71" s="382" t="s">
        <v>44</v>
      </c>
      <c r="J71" s="383"/>
      <c r="K71" s="384"/>
      <c r="L71" s="46"/>
      <c r="N71" s="71"/>
      <c r="O71" s="72" t="s">
        <v>46</v>
      </c>
      <c r="P71" s="72">
        <f>31-8</f>
        <v>23</v>
      </c>
      <c r="Q71" s="72">
        <v>8</v>
      </c>
      <c r="R71" s="72">
        <v>0</v>
      </c>
      <c r="S71" s="63"/>
      <c r="T71" s="72" t="s">
        <v>46</v>
      </c>
      <c r="U71" s="102">
        <f>IF($J$1="February","",Y70)</f>
        <v>0</v>
      </c>
      <c r="V71" s="74">
        <v>20000</v>
      </c>
      <c r="W71" s="102">
        <f t="shared" ref="W71:W80" si="15">IF(U71="","",U71+V71)</f>
        <v>20000</v>
      </c>
      <c r="X71" s="74"/>
      <c r="Y71" s="102">
        <f t="shared" ref="Y71:Y80" si="16">IF(W71="","",W71-X71)</f>
        <v>20000</v>
      </c>
      <c r="Z71" s="76"/>
    </row>
    <row r="72" spans="1:26" s="29" customFormat="1" ht="27.75" customHeight="1" x14ac:dyDescent="0.2">
      <c r="A72" s="30"/>
      <c r="H72" s="47"/>
      <c r="L72" s="34"/>
      <c r="N72" s="71"/>
      <c r="O72" s="72" t="s">
        <v>47</v>
      </c>
      <c r="P72" s="72">
        <v>30</v>
      </c>
      <c r="Q72" s="72">
        <v>0</v>
      </c>
      <c r="R72" s="72">
        <v>0</v>
      </c>
      <c r="S72" s="63"/>
      <c r="T72" s="72" t="s">
        <v>47</v>
      </c>
      <c r="U72" s="102">
        <f>IF($J$1="March","",Y71)</f>
        <v>20000</v>
      </c>
      <c r="V72" s="74"/>
      <c r="W72" s="102">
        <f t="shared" si="15"/>
        <v>20000</v>
      </c>
      <c r="X72" s="74"/>
      <c r="Y72" s="102">
        <f t="shared" si="16"/>
        <v>20000</v>
      </c>
      <c r="Z72" s="76"/>
    </row>
    <row r="73" spans="1:26" s="29" customFormat="1" ht="27.75" customHeight="1" x14ac:dyDescent="0.2">
      <c r="A73" s="30"/>
      <c r="B73" s="380" t="s">
        <v>42</v>
      </c>
      <c r="C73" s="381"/>
      <c r="F73" s="48" t="s">
        <v>64</v>
      </c>
      <c r="G73" s="4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6000</v>
      </c>
      <c r="H73" s="47"/>
      <c r="I73" s="49">
        <f>IF(C77&gt;0,$K$2,C75)</f>
        <v>31</v>
      </c>
      <c r="J73" s="50" t="s">
        <v>61</v>
      </c>
      <c r="K73" s="51">
        <f>K69/$K$2*I73</f>
        <v>65000.000000000007</v>
      </c>
      <c r="L73" s="52"/>
      <c r="N73" s="71"/>
      <c r="O73" s="72" t="s">
        <v>48</v>
      </c>
      <c r="P73" s="72">
        <v>31</v>
      </c>
      <c r="Q73" s="72">
        <v>0</v>
      </c>
      <c r="R73" s="72">
        <v>0</v>
      </c>
      <c r="S73" s="63"/>
      <c r="T73" s="72" t="s">
        <v>48</v>
      </c>
      <c r="U73" s="102">
        <f>IF($J$1="April","",Y72)</f>
        <v>20000</v>
      </c>
      <c r="V73" s="74">
        <v>5000</v>
      </c>
      <c r="W73" s="102">
        <f t="shared" si="15"/>
        <v>25000</v>
      </c>
      <c r="X73" s="74">
        <v>5000</v>
      </c>
      <c r="Y73" s="102">
        <f t="shared" si="16"/>
        <v>20000</v>
      </c>
      <c r="Z73" s="76"/>
    </row>
    <row r="74" spans="1:26" s="29" customFormat="1" ht="27.75" customHeight="1" x14ac:dyDescent="0.2">
      <c r="A74" s="30"/>
      <c r="B74" s="39"/>
      <c r="C74" s="39"/>
      <c r="F74" s="48" t="s">
        <v>20</v>
      </c>
      <c r="G74" s="4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5000</v>
      </c>
      <c r="H74" s="47"/>
      <c r="I74" s="49"/>
      <c r="J74" s="50" t="s">
        <v>62</v>
      </c>
      <c r="K74" s="53">
        <f>K69/$K$2/8*I74</f>
        <v>0</v>
      </c>
      <c r="L74" s="54"/>
      <c r="N74" s="71"/>
      <c r="O74" s="72" t="s">
        <v>49</v>
      </c>
      <c r="P74" s="72">
        <v>29</v>
      </c>
      <c r="Q74" s="72">
        <v>1</v>
      </c>
      <c r="R74" s="72">
        <v>0</v>
      </c>
      <c r="S74" s="63"/>
      <c r="T74" s="72" t="s">
        <v>49</v>
      </c>
      <c r="U74" s="102"/>
      <c r="V74" s="74">
        <v>10000</v>
      </c>
      <c r="W74" s="102">
        <f>V74+U74</f>
        <v>10000</v>
      </c>
      <c r="X74" s="74">
        <v>2000</v>
      </c>
      <c r="Y74" s="102">
        <f t="shared" si="16"/>
        <v>8000</v>
      </c>
      <c r="Z74" s="76"/>
    </row>
    <row r="75" spans="1:26" s="29" customFormat="1" ht="27.75" customHeight="1" x14ac:dyDescent="0.2">
      <c r="A75" s="30"/>
      <c r="B75" s="48" t="s">
        <v>7</v>
      </c>
      <c r="C75" s="39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F75" s="48" t="s">
        <v>65</v>
      </c>
      <c r="G75" s="4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11000</v>
      </c>
      <c r="H75" s="47"/>
      <c r="I75" s="387" t="s">
        <v>69</v>
      </c>
      <c r="J75" s="388"/>
      <c r="K75" s="53">
        <f>K73+K74</f>
        <v>65000.000000000007</v>
      </c>
      <c r="L75" s="54"/>
      <c r="N75" s="71"/>
      <c r="O75" s="72" t="s">
        <v>50</v>
      </c>
      <c r="P75" s="72">
        <v>31</v>
      </c>
      <c r="Q75" s="72">
        <v>0</v>
      </c>
      <c r="R75" s="72">
        <v>0</v>
      </c>
      <c r="S75" s="63"/>
      <c r="T75" s="72" t="s">
        <v>50</v>
      </c>
      <c r="U75" s="102">
        <f>IF($J$1="June","",Y74)</f>
        <v>8000</v>
      </c>
      <c r="V75" s="74"/>
      <c r="W75" s="102">
        <f t="shared" si="15"/>
        <v>8000</v>
      </c>
      <c r="X75" s="74">
        <v>2000</v>
      </c>
      <c r="Y75" s="102">
        <f t="shared" si="16"/>
        <v>6000</v>
      </c>
      <c r="Z75" s="76"/>
    </row>
    <row r="76" spans="1:26" s="29" customFormat="1" ht="27.75" customHeight="1" x14ac:dyDescent="0.2">
      <c r="A76" s="30"/>
      <c r="B76" s="48" t="s">
        <v>6</v>
      </c>
      <c r="C76" s="39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F76" s="48" t="s">
        <v>21</v>
      </c>
      <c r="G76" s="4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47"/>
      <c r="I76" s="387" t="s">
        <v>70</v>
      </c>
      <c r="J76" s="388"/>
      <c r="K76" s="43">
        <f>G76</f>
        <v>2000</v>
      </c>
      <c r="L76" s="55"/>
      <c r="N76" s="71"/>
      <c r="O76" s="72" t="s">
        <v>51</v>
      </c>
      <c r="P76" s="72">
        <v>31</v>
      </c>
      <c r="Q76" s="72">
        <v>0</v>
      </c>
      <c r="R76" s="72">
        <v>0</v>
      </c>
      <c r="S76" s="63"/>
      <c r="T76" s="72" t="s">
        <v>51</v>
      </c>
      <c r="U76" s="102">
        <f>IF($J$1="July","",Y75)</f>
        <v>6000</v>
      </c>
      <c r="V76" s="74">
        <v>5000</v>
      </c>
      <c r="W76" s="102">
        <f t="shared" si="15"/>
        <v>11000</v>
      </c>
      <c r="X76" s="74">
        <v>2000</v>
      </c>
      <c r="Y76" s="102">
        <f t="shared" si="16"/>
        <v>9000</v>
      </c>
      <c r="Z76" s="76"/>
    </row>
    <row r="77" spans="1:26" s="29" customFormat="1" ht="27.75" customHeight="1" x14ac:dyDescent="0.2">
      <c r="A77" s="30"/>
      <c r="B77" s="318" t="s">
        <v>68</v>
      </c>
      <c r="C77" s="39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F77" s="318" t="s">
        <v>210</v>
      </c>
      <c r="G77" s="4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9000</v>
      </c>
      <c r="I77" s="382" t="s">
        <v>63</v>
      </c>
      <c r="J77" s="384"/>
      <c r="K77" s="57">
        <f>K75-K76</f>
        <v>63000.000000000007</v>
      </c>
      <c r="L77" s="58"/>
      <c r="N77" s="71"/>
      <c r="O77" s="72" t="s">
        <v>56</v>
      </c>
      <c r="P77" s="72"/>
      <c r="Q77" s="72"/>
      <c r="R77" s="72">
        <v>0</v>
      </c>
      <c r="S77" s="63"/>
      <c r="T77" s="72" t="s">
        <v>56</v>
      </c>
      <c r="U77" s="102" t="str">
        <f>IF($J$1="September",Y76,"")</f>
        <v/>
      </c>
      <c r="V77" s="74"/>
      <c r="W77" s="102" t="str">
        <f t="shared" si="15"/>
        <v/>
      </c>
      <c r="X77" s="74"/>
      <c r="Y77" s="102" t="str">
        <f t="shared" si="16"/>
        <v/>
      </c>
      <c r="Z77" s="76"/>
    </row>
    <row r="78" spans="1:26" s="29" customFormat="1" ht="27.75" customHeight="1" x14ac:dyDescent="0.2">
      <c r="A78" s="30"/>
      <c r="L78" s="46"/>
      <c r="N78" s="71"/>
      <c r="O78" s="72" t="s">
        <v>52</v>
      </c>
      <c r="P78" s="72"/>
      <c r="Q78" s="72"/>
      <c r="R78" s="72">
        <v>0</v>
      </c>
      <c r="S78" s="63"/>
      <c r="T78" s="72" t="s">
        <v>52</v>
      </c>
      <c r="U78" s="102" t="str">
        <f>IF($J$1="October",Y77,"")</f>
        <v/>
      </c>
      <c r="V78" s="74"/>
      <c r="W78" s="102" t="str">
        <f t="shared" si="15"/>
        <v/>
      </c>
      <c r="X78" s="74"/>
      <c r="Y78" s="102" t="str">
        <f t="shared" si="16"/>
        <v/>
      </c>
      <c r="Z78" s="76"/>
    </row>
    <row r="79" spans="1:26" s="29" customFormat="1" ht="27.75" customHeight="1" x14ac:dyDescent="0.35">
      <c r="A79" s="30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46"/>
      <c r="N79" s="71"/>
      <c r="O79" s="72" t="s">
        <v>57</v>
      </c>
      <c r="P79" s="72"/>
      <c r="Q79" s="72"/>
      <c r="R79" s="72">
        <v>0</v>
      </c>
      <c r="S79" s="63"/>
      <c r="T79" s="72" t="s">
        <v>57</v>
      </c>
      <c r="U79" s="102" t="str">
        <f>Y78</f>
        <v/>
      </c>
      <c r="V79" s="74"/>
      <c r="W79" s="102" t="str">
        <f t="shared" si="15"/>
        <v/>
      </c>
      <c r="X79" s="74"/>
      <c r="Y79" s="102" t="str">
        <f t="shared" si="16"/>
        <v/>
      </c>
      <c r="Z79" s="76"/>
    </row>
    <row r="80" spans="1:26" s="29" customFormat="1" ht="27.75" customHeight="1" thickBot="1" x14ac:dyDescent="0.4">
      <c r="A80" s="5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61"/>
      <c r="N80" s="71"/>
      <c r="O80" s="72" t="s">
        <v>58</v>
      </c>
      <c r="P80" s="72"/>
      <c r="Q80" s="72"/>
      <c r="R80" s="72">
        <v>0</v>
      </c>
      <c r="S80" s="63"/>
      <c r="T80" s="72" t="s">
        <v>58</v>
      </c>
      <c r="U80" s="102">
        <v>0</v>
      </c>
      <c r="V80" s="74"/>
      <c r="W80" s="102">
        <f t="shared" si="15"/>
        <v>0</v>
      </c>
      <c r="X80" s="74"/>
      <c r="Y80" s="102">
        <f t="shared" si="16"/>
        <v>0</v>
      </c>
      <c r="Z80" s="76"/>
    </row>
    <row r="81" spans="1:27" s="94" customFormat="1" ht="27.75" customHeight="1" thickBot="1" x14ac:dyDescent="0.25"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7" s="29" customFormat="1" ht="27.75" customHeight="1" thickBot="1" x14ac:dyDescent="0.25">
      <c r="A82" s="389" t="s">
        <v>40</v>
      </c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1"/>
      <c r="M82" s="28"/>
      <c r="N82" s="64"/>
      <c r="O82" s="377" t="s">
        <v>42</v>
      </c>
      <c r="P82" s="378"/>
      <c r="Q82" s="378"/>
      <c r="R82" s="379"/>
      <c r="S82" s="65"/>
      <c r="T82" s="377" t="s">
        <v>43</v>
      </c>
      <c r="U82" s="378"/>
      <c r="V82" s="378"/>
      <c r="W82" s="378"/>
      <c r="X82" s="378"/>
      <c r="Y82" s="379"/>
      <c r="Z82" s="66"/>
      <c r="AA82" s="28"/>
    </row>
    <row r="83" spans="1:27" s="29" customFormat="1" ht="27.75" customHeight="1" x14ac:dyDescent="0.2">
      <c r="A83" s="30"/>
      <c r="C83" s="386" t="s">
        <v>83</v>
      </c>
      <c r="D83" s="386"/>
      <c r="E83" s="386"/>
      <c r="F83" s="386"/>
      <c r="G83" s="31" t="str">
        <f>$J$1</f>
        <v>August</v>
      </c>
      <c r="H83" s="385">
        <f>$K$1</f>
        <v>2023</v>
      </c>
      <c r="I83" s="385"/>
      <c r="K83" s="32"/>
      <c r="L83" s="33"/>
      <c r="M83" s="32"/>
      <c r="N83" s="67"/>
      <c r="O83" s="68" t="s">
        <v>53</v>
      </c>
      <c r="P83" s="68" t="s">
        <v>7</v>
      </c>
      <c r="Q83" s="68" t="s">
        <v>6</v>
      </c>
      <c r="R83" s="68" t="s">
        <v>54</v>
      </c>
      <c r="S83" s="69"/>
      <c r="T83" s="68" t="s">
        <v>53</v>
      </c>
      <c r="U83" s="68" t="s">
        <v>55</v>
      </c>
      <c r="V83" s="68" t="s">
        <v>20</v>
      </c>
      <c r="W83" s="68" t="s">
        <v>19</v>
      </c>
      <c r="X83" s="68" t="s">
        <v>21</v>
      </c>
      <c r="Y83" s="68" t="s">
        <v>59</v>
      </c>
      <c r="Z83" s="70"/>
      <c r="AA83" s="32"/>
    </row>
    <row r="84" spans="1:27" s="29" customFormat="1" ht="27.75" customHeight="1" x14ac:dyDescent="0.2">
      <c r="A84" s="30"/>
      <c r="D84" s="35"/>
      <c r="E84" s="35"/>
      <c r="F84" s="35"/>
      <c r="G84" s="35"/>
      <c r="H84" s="35"/>
      <c r="J84" s="36" t="s">
        <v>1</v>
      </c>
      <c r="K84" s="37">
        <f>45000+5000</f>
        <v>50000</v>
      </c>
      <c r="L84" s="38"/>
      <c r="N84" s="71"/>
      <c r="O84" s="72" t="s">
        <v>45</v>
      </c>
      <c r="P84" s="72">
        <v>31</v>
      </c>
      <c r="Q84" s="72">
        <v>0</v>
      </c>
      <c r="R84" s="72">
        <f>15-Q84</f>
        <v>15</v>
      </c>
      <c r="S84" s="73"/>
      <c r="T84" s="72" t="s">
        <v>45</v>
      </c>
      <c r="U84" s="74">
        <v>5000</v>
      </c>
      <c r="V84" s="74"/>
      <c r="W84" s="74">
        <f>V84+U84</f>
        <v>5000</v>
      </c>
      <c r="X84" s="74">
        <v>5000</v>
      </c>
      <c r="Y84" s="74">
        <f>W84-X84</f>
        <v>0</v>
      </c>
      <c r="Z84" s="70"/>
    </row>
    <row r="85" spans="1:27" s="29" customFormat="1" ht="27.75" customHeight="1" x14ac:dyDescent="0.2">
      <c r="A85" s="30"/>
      <c r="B85" s="29" t="s">
        <v>0</v>
      </c>
      <c r="C85" s="40" t="s">
        <v>75</v>
      </c>
      <c r="H85" s="41"/>
      <c r="I85" s="35"/>
      <c r="L85" s="42"/>
      <c r="M85" s="28"/>
      <c r="N85" s="75"/>
      <c r="O85" s="72" t="s">
        <v>71</v>
      </c>
      <c r="P85" s="72">
        <v>27</v>
      </c>
      <c r="Q85" s="72">
        <v>1</v>
      </c>
      <c r="R85" s="72">
        <f t="shared" ref="R85:R95" si="17">IF(Q85="","",R84-Q85)</f>
        <v>14</v>
      </c>
      <c r="S85" s="63"/>
      <c r="T85" s="72" t="s">
        <v>71</v>
      </c>
      <c r="U85" s="102">
        <f t="shared" ref="U85:U90" si="18">Y84</f>
        <v>0</v>
      </c>
      <c r="V85" s="74">
        <v>10000</v>
      </c>
      <c r="W85" s="102">
        <f>IF(U85="","",U85+V85)</f>
        <v>10000</v>
      </c>
      <c r="X85" s="74">
        <v>10000</v>
      </c>
      <c r="Y85" s="102">
        <f>IF(W85="","",W85-X85)</f>
        <v>0</v>
      </c>
      <c r="Z85" s="76"/>
      <c r="AA85" s="28"/>
    </row>
    <row r="86" spans="1:27" s="29" customFormat="1" ht="27.75" customHeight="1" x14ac:dyDescent="0.2">
      <c r="A86" s="30"/>
      <c r="B86" s="44" t="s">
        <v>41</v>
      </c>
      <c r="C86" s="45"/>
      <c r="F86" s="382" t="s">
        <v>43</v>
      </c>
      <c r="G86" s="384"/>
      <c r="I86" s="382" t="s">
        <v>44</v>
      </c>
      <c r="J86" s="383"/>
      <c r="K86" s="384"/>
      <c r="L86" s="46"/>
      <c r="N86" s="71"/>
      <c r="O86" s="72" t="s">
        <v>46</v>
      </c>
      <c r="P86" s="72">
        <v>30</v>
      </c>
      <c r="Q86" s="72">
        <v>1</v>
      </c>
      <c r="R86" s="72">
        <f t="shared" si="17"/>
        <v>13</v>
      </c>
      <c r="S86" s="63"/>
      <c r="T86" s="72" t="s">
        <v>46</v>
      </c>
      <c r="U86" s="102">
        <f t="shared" si="18"/>
        <v>0</v>
      </c>
      <c r="V86" s="74">
        <v>6000</v>
      </c>
      <c r="W86" s="102">
        <f t="shared" ref="W86:W95" si="19">IF(U86="","",U86+V86)</f>
        <v>6000</v>
      </c>
      <c r="X86" s="74"/>
      <c r="Y86" s="102">
        <f t="shared" ref="Y86:Y95" si="20">IF(W86="","",W86-X86)</f>
        <v>6000</v>
      </c>
      <c r="Z86" s="76"/>
    </row>
    <row r="87" spans="1:27" s="29" customFormat="1" ht="27.75" customHeight="1" x14ac:dyDescent="0.2">
      <c r="A87" s="30"/>
      <c r="H87" s="47"/>
      <c r="L87" s="34"/>
      <c r="N87" s="71"/>
      <c r="O87" s="72" t="s">
        <v>47</v>
      </c>
      <c r="P87" s="72">
        <v>30</v>
      </c>
      <c r="Q87" s="72">
        <v>0</v>
      </c>
      <c r="R87" s="72">
        <f t="shared" si="17"/>
        <v>13</v>
      </c>
      <c r="S87" s="63"/>
      <c r="T87" s="72" t="s">
        <v>47</v>
      </c>
      <c r="U87" s="102">
        <f t="shared" si="18"/>
        <v>6000</v>
      </c>
      <c r="V87" s="74"/>
      <c r="W87" s="102">
        <f t="shared" si="19"/>
        <v>6000</v>
      </c>
      <c r="X87" s="74">
        <v>6000</v>
      </c>
      <c r="Y87" s="102">
        <f t="shared" si="20"/>
        <v>0</v>
      </c>
      <c r="Z87" s="76"/>
    </row>
    <row r="88" spans="1:27" s="29" customFormat="1" ht="27.75" customHeight="1" x14ac:dyDescent="0.2">
      <c r="A88" s="30"/>
      <c r="B88" s="380" t="s">
        <v>42</v>
      </c>
      <c r="C88" s="381"/>
      <c r="F88" s="48" t="s">
        <v>64</v>
      </c>
      <c r="G88" s="4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47"/>
      <c r="I88" s="49">
        <f>IF(C92&gt;0,$K$2,C90)</f>
        <v>31</v>
      </c>
      <c r="J88" s="50" t="s">
        <v>61</v>
      </c>
      <c r="K88" s="51">
        <f>K84/$K$2*I88</f>
        <v>50000</v>
      </c>
      <c r="L88" s="52"/>
      <c r="N88" s="71"/>
      <c r="O88" s="72" t="s">
        <v>48</v>
      </c>
      <c r="P88" s="72">
        <v>31</v>
      </c>
      <c r="Q88" s="72">
        <v>0</v>
      </c>
      <c r="R88" s="72">
        <f t="shared" si="17"/>
        <v>13</v>
      </c>
      <c r="S88" s="63"/>
      <c r="T88" s="72" t="s">
        <v>48</v>
      </c>
      <c r="U88" s="102">
        <f t="shared" si="18"/>
        <v>0</v>
      </c>
      <c r="V88" s="74">
        <v>10000</v>
      </c>
      <c r="W88" s="102">
        <f t="shared" si="19"/>
        <v>10000</v>
      </c>
      <c r="X88" s="74">
        <v>10000</v>
      </c>
      <c r="Y88" s="102">
        <f t="shared" si="20"/>
        <v>0</v>
      </c>
      <c r="Z88" s="76"/>
    </row>
    <row r="89" spans="1:27" s="29" customFormat="1" ht="27.75" customHeight="1" x14ac:dyDescent="0.2">
      <c r="A89" s="30"/>
      <c r="B89" s="39"/>
      <c r="C89" s="39"/>
      <c r="F89" s="48" t="s">
        <v>20</v>
      </c>
      <c r="G89" s="4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50000</v>
      </c>
      <c r="H89" s="47"/>
      <c r="I89" s="49">
        <v>47</v>
      </c>
      <c r="J89" s="50" t="s">
        <v>62</v>
      </c>
      <c r="K89" s="53">
        <f>K84/$K$2/8*I89</f>
        <v>9475.8064516129034</v>
      </c>
      <c r="L89" s="54"/>
      <c r="N89" s="71"/>
      <c r="O89" s="72" t="s">
        <v>49</v>
      </c>
      <c r="P89" s="72">
        <v>28</v>
      </c>
      <c r="Q89" s="72">
        <v>2</v>
      </c>
      <c r="R89" s="72">
        <f t="shared" si="17"/>
        <v>11</v>
      </c>
      <c r="S89" s="63"/>
      <c r="T89" s="72" t="s">
        <v>49</v>
      </c>
      <c r="U89" s="102">
        <f t="shared" si="18"/>
        <v>0</v>
      </c>
      <c r="V89" s="74">
        <v>50000</v>
      </c>
      <c r="W89" s="102">
        <f t="shared" si="19"/>
        <v>50000</v>
      </c>
      <c r="X89" s="74">
        <v>50000</v>
      </c>
      <c r="Y89" s="102">
        <f t="shared" si="20"/>
        <v>0</v>
      </c>
      <c r="Z89" s="76"/>
    </row>
    <row r="90" spans="1:27" s="29" customFormat="1" ht="27.75" customHeight="1" x14ac:dyDescent="0.2">
      <c r="A90" s="30"/>
      <c r="B90" s="48" t="s">
        <v>7</v>
      </c>
      <c r="C90" s="39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F90" s="48" t="s">
        <v>65</v>
      </c>
      <c r="G90" s="4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50000</v>
      </c>
      <c r="H90" s="47"/>
      <c r="I90" s="387" t="s">
        <v>69</v>
      </c>
      <c r="J90" s="388"/>
      <c r="K90" s="53">
        <f>K88+K89</f>
        <v>59475.806451612902</v>
      </c>
      <c r="L90" s="54"/>
      <c r="N90" s="71"/>
      <c r="O90" s="72" t="s">
        <v>50</v>
      </c>
      <c r="P90" s="72">
        <v>31</v>
      </c>
      <c r="Q90" s="72">
        <v>0</v>
      </c>
      <c r="R90" s="72">
        <f t="shared" si="17"/>
        <v>11</v>
      </c>
      <c r="S90" s="63"/>
      <c r="T90" s="72" t="s">
        <v>50</v>
      </c>
      <c r="U90" s="102">
        <f t="shared" si="18"/>
        <v>0</v>
      </c>
      <c r="V90" s="74">
        <v>10000</v>
      </c>
      <c r="W90" s="102">
        <f t="shared" si="19"/>
        <v>10000</v>
      </c>
      <c r="X90" s="74">
        <v>10000</v>
      </c>
      <c r="Y90" s="102">
        <f t="shared" si="20"/>
        <v>0</v>
      </c>
      <c r="Z90" s="76"/>
    </row>
    <row r="91" spans="1:27" s="29" customFormat="1" ht="27.75" customHeight="1" x14ac:dyDescent="0.2">
      <c r="A91" s="30"/>
      <c r="B91" s="48" t="s">
        <v>6</v>
      </c>
      <c r="C91" s="39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F91" s="48" t="s">
        <v>21</v>
      </c>
      <c r="G91" s="4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50000</v>
      </c>
      <c r="H91" s="47"/>
      <c r="I91" s="387" t="s">
        <v>70</v>
      </c>
      <c r="J91" s="388"/>
      <c r="K91" s="43">
        <f>G91</f>
        <v>50000</v>
      </c>
      <c r="L91" s="55"/>
      <c r="N91" s="71"/>
      <c r="O91" s="72" t="s">
        <v>51</v>
      </c>
      <c r="P91" s="72">
        <v>31</v>
      </c>
      <c r="Q91" s="72">
        <v>0</v>
      </c>
      <c r="R91" s="72">
        <f t="shared" si="17"/>
        <v>11</v>
      </c>
      <c r="S91" s="63"/>
      <c r="T91" s="72" t="s">
        <v>51</v>
      </c>
      <c r="U91" s="102">
        <f>Y90</f>
        <v>0</v>
      </c>
      <c r="V91" s="74">
        <f>10000+40000</f>
        <v>50000</v>
      </c>
      <c r="W91" s="102">
        <f t="shared" si="19"/>
        <v>50000</v>
      </c>
      <c r="X91" s="74">
        <v>50000</v>
      </c>
      <c r="Y91" s="102">
        <f t="shared" si="20"/>
        <v>0</v>
      </c>
      <c r="Z91" s="76"/>
    </row>
    <row r="92" spans="1:27" s="29" customFormat="1" ht="27.75" customHeight="1" x14ac:dyDescent="0.2">
      <c r="A92" s="30"/>
      <c r="B92" s="318" t="s">
        <v>68</v>
      </c>
      <c r="C92" s="39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11</v>
      </c>
      <c r="F92" s="318" t="s">
        <v>210</v>
      </c>
      <c r="G92" s="4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I92" s="382" t="s">
        <v>63</v>
      </c>
      <c r="J92" s="384"/>
      <c r="K92" s="57">
        <f>K90-K91</f>
        <v>9475.8064516129016</v>
      </c>
      <c r="L92" s="58"/>
      <c r="N92" s="71"/>
      <c r="O92" s="72" t="s">
        <v>56</v>
      </c>
      <c r="P92" s="72"/>
      <c r="Q92" s="72"/>
      <c r="R92" s="72">
        <v>0</v>
      </c>
      <c r="S92" s="63"/>
      <c r="T92" s="72" t="s">
        <v>56</v>
      </c>
      <c r="U92" s="102">
        <v>0</v>
      </c>
      <c r="V92" s="74"/>
      <c r="W92" s="102">
        <f t="shared" si="19"/>
        <v>0</v>
      </c>
      <c r="X92" s="74"/>
      <c r="Y92" s="102">
        <f t="shared" si="20"/>
        <v>0</v>
      </c>
      <c r="Z92" s="76"/>
    </row>
    <row r="93" spans="1:27" s="29" customFormat="1" ht="27.75" customHeight="1" x14ac:dyDescent="0.2">
      <c r="A93" s="30"/>
      <c r="L93" s="46"/>
      <c r="N93" s="71"/>
      <c r="O93" s="72" t="s">
        <v>52</v>
      </c>
      <c r="P93" s="72"/>
      <c r="Q93" s="72"/>
      <c r="R93" s="72">
        <v>0</v>
      </c>
      <c r="S93" s="63"/>
      <c r="T93" s="72" t="s">
        <v>52</v>
      </c>
      <c r="U93" s="102" t="str">
        <f>IF($J$1="October",Y92,"")</f>
        <v/>
      </c>
      <c r="V93" s="74"/>
      <c r="W93" s="102" t="str">
        <f t="shared" si="19"/>
        <v/>
      </c>
      <c r="X93" s="74"/>
      <c r="Y93" s="102" t="str">
        <f t="shared" si="20"/>
        <v/>
      </c>
      <c r="Z93" s="76"/>
    </row>
    <row r="94" spans="1:27" s="29" customFormat="1" ht="27.75" customHeight="1" x14ac:dyDescent="0.35">
      <c r="A94" s="30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46"/>
      <c r="N94" s="71"/>
      <c r="O94" s="72" t="s">
        <v>57</v>
      </c>
      <c r="P94" s="72"/>
      <c r="Q94" s="72"/>
      <c r="R94" s="72" t="str">
        <f t="shared" si="17"/>
        <v/>
      </c>
      <c r="S94" s="63"/>
      <c r="T94" s="72" t="s">
        <v>57</v>
      </c>
      <c r="U94" s="102"/>
      <c r="V94" s="74"/>
      <c r="W94" s="102" t="str">
        <f t="shared" si="19"/>
        <v/>
      </c>
      <c r="X94" s="74"/>
      <c r="Y94" s="102" t="str">
        <f t="shared" si="20"/>
        <v/>
      </c>
      <c r="Z94" s="76"/>
    </row>
    <row r="95" spans="1:27" s="29" customFormat="1" ht="27.75" customHeight="1" thickBot="1" x14ac:dyDescent="0.4">
      <c r="A95" s="59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61"/>
      <c r="N95" s="71"/>
      <c r="O95" s="72" t="s">
        <v>58</v>
      </c>
      <c r="P95" s="72"/>
      <c r="Q95" s="72"/>
      <c r="R95" s="72" t="str">
        <f t="shared" si="17"/>
        <v/>
      </c>
      <c r="S95" s="63"/>
      <c r="T95" s="72" t="s">
        <v>58</v>
      </c>
      <c r="U95" s="102"/>
      <c r="V95" s="74"/>
      <c r="W95" s="102" t="str">
        <f t="shared" si="19"/>
        <v/>
      </c>
      <c r="X95" s="74"/>
      <c r="Y95" s="102" t="str">
        <f t="shared" si="20"/>
        <v/>
      </c>
      <c r="Z95" s="76"/>
    </row>
    <row r="96" spans="1:27" s="94" customFormat="1" ht="27.75" customHeight="1" thickBot="1" x14ac:dyDescent="0.25"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s="29" customFormat="1" ht="27.75" customHeight="1" thickBot="1" x14ac:dyDescent="0.25">
      <c r="A97" s="389" t="s">
        <v>40</v>
      </c>
      <c r="B97" s="390"/>
      <c r="C97" s="390"/>
      <c r="D97" s="390"/>
      <c r="E97" s="390"/>
      <c r="F97" s="390"/>
      <c r="G97" s="390"/>
      <c r="H97" s="390"/>
      <c r="I97" s="390"/>
      <c r="J97" s="390"/>
      <c r="K97" s="390"/>
      <c r="L97" s="391"/>
      <c r="M97" s="28"/>
      <c r="N97" s="64"/>
      <c r="O97" s="377" t="s">
        <v>42</v>
      </c>
      <c r="P97" s="378"/>
      <c r="Q97" s="378"/>
      <c r="R97" s="379"/>
      <c r="S97" s="65"/>
      <c r="T97" s="377" t="s">
        <v>43</v>
      </c>
      <c r="U97" s="378"/>
      <c r="V97" s="378"/>
      <c r="W97" s="378"/>
      <c r="X97" s="378"/>
      <c r="Y97" s="379"/>
      <c r="Z97" s="63"/>
    </row>
    <row r="98" spans="1:26" s="29" customFormat="1" ht="27.75" customHeight="1" x14ac:dyDescent="0.2">
      <c r="A98" s="30"/>
      <c r="C98" s="386" t="s">
        <v>83</v>
      </c>
      <c r="D98" s="386"/>
      <c r="E98" s="386"/>
      <c r="F98" s="386"/>
      <c r="G98" s="31" t="str">
        <f>$J$1</f>
        <v>August</v>
      </c>
      <c r="H98" s="385">
        <f>$K$1</f>
        <v>2023</v>
      </c>
      <c r="I98" s="385"/>
      <c r="K98" s="32"/>
      <c r="L98" s="33"/>
      <c r="M98" s="32"/>
      <c r="N98" s="67"/>
      <c r="O98" s="68" t="s">
        <v>53</v>
      </c>
      <c r="P98" s="68" t="s">
        <v>7</v>
      </c>
      <c r="Q98" s="68" t="s">
        <v>6</v>
      </c>
      <c r="R98" s="68" t="s">
        <v>54</v>
      </c>
      <c r="S98" s="69"/>
      <c r="T98" s="68" t="s">
        <v>53</v>
      </c>
      <c r="U98" s="68" t="s">
        <v>55</v>
      </c>
      <c r="V98" s="68" t="s">
        <v>20</v>
      </c>
      <c r="W98" s="68" t="s">
        <v>19</v>
      </c>
      <c r="X98" s="68" t="s">
        <v>21</v>
      </c>
      <c r="Y98" s="68" t="s">
        <v>59</v>
      </c>
      <c r="Z98" s="63"/>
    </row>
    <row r="99" spans="1:26" s="29" customFormat="1" ht="27.75" customHeight="1" x14ac:dyDescent="0.2">
      <c r="A99" s="30"/>
      <c r="D99" s="35"/>
      <c r="E99" s="35"/>
      <c r="F99" s="35"/>
      <c r="G99" s="35"/>
      <c r="H99" s="35"/>
      <c r="J99" s="36" t="s">
        <v>1</v>
      </c>
      <c r="K99" s="37">
        <v>65000</v>
      </c>
      <c r="L99" s="38"/>
      <c r="N99" s="71"/>
      <c r="O99" s="72" t="s">
        <v>45</v>
      </c>
      <c r="P99" s="72">
        <v>31</v>
      </c>
      <c r="Q99" s="72">
        <v>0</v>
      </c>
      <c r="R99" s="72"/>
      <c r="S99" s="73"/>
      <c r="T99" s="72" t="s">
        <v>45</v>
      </c>
      <c r="U99" s="74"/>
      <c r="V99" s="74"/>
      <c r="W99" s="74">
        <f>V99+U99</f>
        <v>0</v>
      </c>
      <c r="X99" s="74"/>
      <c r="Y99" s="74">
        <f>W99-X99</f>
        <v>0</v>
      </c>
      <c r="Z99" s="63"/>
    </row>
    <row r="100" spans="1:26" s="29" customFormat="1" ht="27.75" customHeight="1" x14ac:dyDescent="0.2">
      <c r="A100" s="30"/>
      <c r="B100" s="29" t="s">
        <v>0</v>
      </c>
      <c r="C100" s="40" t="s">
        <v>174</v>
      </c>
      <c r="H100" s="41"/>
      <c r="I100" s="35"/>
      <c r="L100" s="42"/>
      <c r="M100" s="28"/>
      <c r="N100" s="75"/>
      <c r="O100" s="72" t="s">
        <v>71</v>
      </c>
      <c r="P100" s="72">
        <v>28</v>
      </c>
      <c r="Q100" s="72">
        <v>0</v>
      </c>
      <c r="R100" s="72"/>
      <c r="S100" s="63"/>
      <c r="T100" s="72" t="s">
        <v>71</v>
      </c>
      <c r="U100" s="102">
        <f>IF($J$1="January","",Y99)</f>
        <v>0</v>
      </c>
      <c r="V100" s="74"/>
      <c r="W100" s="102">
        <f>IF(U100="","",U100+V100)</f>
        <v>0</v>
      </c>
      <c r="X100" s="74"/>
      <c r="Y100" s="102">
        <f>IF(W100="","",W100-X100)</f>
        <v>0</v>
      </c>
      <c r="Z100" s="63"/>
    </row>
    <row r="101" spans="1:26" s="29" customFormat="1" ht="27.75" customHeight="1" x14ac:dyDescent="0.2">
      <c r="A101" s="30"/>
      <c r="B101" s="44" t="s">
        <v>41</v>
      </c>
      <c r="C101" s="45"/>
      <c r="F101" s="382" t="s">
        <v>43</v>
      </c>
      <c r="G101" s="384"/>
      <c r="I101" s="382" t="s">
        <v>44</v>
      </c>
      <c r="J101" s="383"/>
      <c r="K101" s="384"/>
      <c r="L101" s="46"/>
      <c r="N101" s="71"/>
      <c r="O101" s="72" t="s">
        <v>46</v>
      </c>
      <c r="P101" s="72"/>
      <c r="Q101" s="72"/>
      <c r="R101" s="72" t="str">
        <f t="shared" ref="R101:R110" si="21">IF(Q101="","",R100-Q101)</f>
        <v/>
      </c>
      <c r="S101" s="63"/>
      <c r="T101" s="72" t="s">
        <v>46</v>
      </c>
      <c r="U101" s="102">
        <f>IF($J$1="February","",Y100)</f>
        <v>0</v>
      </c>
      <c r="V101" s="74"/>
      <c r="W101" s="102">
        <f t="shared" ref="W101:W110" si="22">IF(U101="","",U101+V101)</f>
        <v>0</v>
      </c>
      <c r="X101" s="74"/>
      <c r="Y101" s="102">
        <f t="shared" ref="Y101:Y110" si="23">IF(W101="","",W101-X101)</f>
        <v>0</v>
      </c>
      <c r="Z101" s="63"/>
    </row>
    <row r="102" spans="1:26" s="29" customFormat="1" ht="27.75" customHeight="1" x14ac:dyDescent="0.2">
      <c r="A102" s="30"/>
      <c r="H102" s="47"/>
      <c r="L102" s="34"/>
      <c r="N102" s="71"/>
      <c r="O102" s="72" t="s">
        <v>47</v>
      </c>
      <c r="P102" s="72">
        <v>20</v>
      </c>
      <c r="Q102" s="72">
        <v>10</v>
      </c>
      <c r="R102" s="72">
        <v>0</v>
      </c>
      <c r="S102" s="63"/>
      <c r="T102" s="72" t="s">
        <v>47</v>
      </c>
      <c r="U102" s="102">
        <f>IF($J$1="March","",Y101)</f>
        <v>0</v>
      </c>
      <c r="V102" s="74"/>
      <c r="W102" s="102">
        <f t="shared" si="22"/>
        <v>0</v>
      </c>
      <c r="X102" s="74"/>
      <c r="Y102" s="102">
        <f t="shared" si="23"/>
        <v>0</v>
      </c>
      <c r="Z102" s="63"/>
    </row>
    <row r="103" spans="1:26" s="29" customFormat="1" ht="27.75" customHeight="1" x14ac:dyDescent="0.2">
      <c r="A103" s="30"/>
      <c r="B103" s="380" t="s">
        <v>42</v>
      </c>
      <c r="C103" s="381"/>
      <c r="F103" s="48" t="s">
        <v>64</v>
      </c>
      <c r="G103" s="4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0</v>
      </c>
      <c r="H103" s="47"/>
      <c r="I103" s="49">
        <f>IF(C107&gt;0,$K$2,C105)</f>
        <v>31</v>
      </c>
      <c r="J103" s="50" t="s">
        <v>61</v>
      </c>
      <c r="K103" s="51">
        <f>K99/$K$2*I103</f>
        <v>65000.000000000007</v>
      </c>
      <c r="L103" s="52"/>
      <c r="N103" s="71"/>
      <c r="O103" s="72" t="s">
        <v>48</v>
      </c>
      <c r="P103" s="72">
        <v>30</v>
      </c>
      <c r="Q103" s="72">
        <v>1</v>
      </c>
      <c r="R103" s="72">
        <f t="shared" si="21"/>
        <v>-1</v>
      </c>
      <c r="S103" s="63"/>
      <c r="T103" s="72" t="s">
        <v>48</v>
      </c>
      <c r="U103" s="102">
        <f>IF($J$1="April","",Y102)</f>
        <v>0</v>
      </c>
      <c r="V103" s="74">
        <v>15000</v>
      </c>
      <c r="W103" s="102">
        <f t="shared" si="22"/>
        <v>15000</v>
      </c>
      <c r="X103" s="74">
        <v>5000</v>
      </c>
      <c r="Y103" s="102">
        <f t="shared" si="23"/>
        <v>10000</v>
      </c>
      <c r="Z103" s="63"/>
    </row>
    <row r="104" spans="1:26" s="29" customFormat="1" ht="27.75" customHeight="1" x14ac:dyDescent="0.2">
      <c r="A104" s="30"/>
      <c r="B104" s="39"/>
      <c r="C104" s="39"/>
      <c r="F104" s="48" t="s">
        <v>20</v>
      </c>
      <c r="G104" s="4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47"/>
      <c r="I104" s="49"/>
      <c r="J104" s="50" t="s">
        <v>62</v>
      </c>
      <c r="K104" s="53">
        <f>K99/$K$2/8*I104</f>
        <v>0</v>
      </c>
      <c r="L104" s="54"/>
      <c r="N104" s="71"/>
      <c r="O104" s="72" t="s">
        <v>49</v>
      </c>
      <c r="P104" s="72">
        <v>30</v>
      </c>
      <c r="Q104" s="72">
        <v>0</v>
      </c>
      <c r="R104" s="72">
        <f t="shared" si="21"/>
        <v>-1</v>
      </c>
      <c r="S104" s="63"/>
      <c r="T104" s="72" t="s">
        <v>49</v>
      </c>
      <c r="U104" s="102">
        <f>IF($J$1="May","",Y103)</f>
        <v>10000</v>
      </c>
      <c r="V104" s="74">
        <f>5000+30000</f>
        <v>35000</v>
      </c>
      <c r="W104" s="102">
        <f t="shared" si="22"/>
        <v>45000</v>
      </c>
      <c r="X104" s="74">
        <v>35000</v>
      </c>
      <c r="Y104" s="102">
        <f t="shared" si="23"/>
        <v>10000</v>
      </c>
      <c r="Z104" s="63"/>
    </row>
    <row r="105" spans="1:26" s="29" customFormat="1" ht="27.75" customHeight="1" x14ac:dyDescent="0.2">
      <c r="A105" s="30"/>
      <c r="B105" s="48" t="s">
        <v>7</v>
      </c>
      <c r="C105" s="39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F105" s="48" t="s">
        <v>65</v>
      </c>
      <c r="G105" s="43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0</v>
      </c>
      <c r="H105" s="47"/>
      <c r="I105" s="387" t="s">
        <v>69</v>
      </c>
      <c r="J105" s="388"/>
      <c r="K105" s="53">
        <f>K103+K104</f>
        <v>65000.000000000007</v>
      </c>
      <c r="L105" s="54"/>
      <c r="N105" s="71"/>
      <c r="O105" s="72" t="s">
        <v>50</v>
      </c>
      <c r="P105" s="72">
        <v>31</v>
      </c>
      <c r="Q105" s="72">
        <v>0</v>
      </c>
      <c r="R105" s="72">
        <f t="shared" si="21"/>
        <v>-1</v>
      </c>
      <c r="S105" s="63"/>
      <c r="T105" s="72" t="s">
        <v>50</v>
      </c>
      <c r="U105" s="102">
        <f>IF($J$1="June","",Y104)</f>
        <v>10000</v>
      </c>
      <c r="V105" s="74">
        <v>5000</v>
      </c>
      <c r="W105" s="102">
        <f t="shared" si="22"/>
        <v>15000</v>
      </c>
      <c r="X105" s="74">
        <v>15000</v>
      </c>
      <c r="Y105" s="102">
        <f t="shared" si="23"/>
        <v>0</v>
      </c>
      <c r="Z105" s="63"/>
    </row>
    <row r="106" spans="1:26" s="29" customFormat="1" ht="27.75" customHeight="1" x14ac:dyDescent="0.2">
      <c r="A106" s="30"/>
      <c r="B106" s="48" t="s">
        <v>6</v>
      </c>
      <c r="C106" s="39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F106" s="48" t="s">
        <v>21</v>
      </c>
      <c r="G106" s="4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47"/>
      <c r="I106" s="387" t="s">
        <v>70</v>
      </c>
      <c r="J106" s="388"/>
      <c r="K106" s="43">
        <f>G106</f>
        <v>0</v>
      </c>
      <c r="L106" s="55"/>
      <c r="N106" s="71"/>
      <c r="O106" s="72" t="s">
        <v>51</v>
      </c>
      <c r="P106" s="72">
        <v>31</v>
      </c>
      <c r="Q106" s="72">
        <v>0</v>
      </c>
      <c r="R106" s="72">
        <v>0</v>
      </c>
      <c r="S106" s="63"/>
      <c r="T106" s="72" t="s">
        <v>51</v>
      </c>
      <c r="U106" s="102">
        <f>Y105</f>
        <v>0</v>
      </c>
      <c r="V106" s="74"/>
      <c r="W106" s="102">
        <f t="shared" si="22"/>
        <v>0</v>
      </c>
      <c r="X106" s="74"/>
      <c r="Y106" s="102">
        <f t="shared" si="23"/>
        <v>0</v>
      </c>
      <c r="Z106" s="63"/>
    </row>
    <row r="107" spans="1:26" s="29" customFormat="1" ht="27.75" customHeight="1" x14ac:dyDescent="0.2">
      <c r="A107" s="30"/>
      <c r="B107" s="318" t="s">
        <v>68</v>
      </c>
      <c r="C107" s="39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F107" s="318" t="s">
        <v>210</v>
      </c>
      <c r="G107" s="43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0</v>
      </c>
      <c r="I107" s="382" t="s">
        <v>63</v>
      </c>
      <c r="J107" s="384"/>
      <c r="K107" s="57">
        <f>K105-K106</f>
        <v>65000.000000000007</v>
      </c>
      <c r="L107" s="58"/>
      <c r="N107" s="71"/>
      <c r="O107" s="72" t="s">
        <v>56</v>
      </c>
      <c r="P107" s="72"/>
      <c r="Q107" s="72"/>
      <c r="R107" s="72">
        <v>0</v>
      </c>
      <c r="S107" s="63"/>
      <c r="T107" s="72" t="s">
        <v>56</v>
      </c>
      <c r="U107" s="102">
        <v>0</v>
      </c>
      <c r="V107" s="74"/>
      <c r="W107" s="102">
        <f t="shared" si="22"/>
        <v>0</v>
      </c>
      <c r="X107" s="74"/>
      <c r="Y107" s="102">
        <f t="shared" si="23"/>
        <v>0</v>
      </c>
      <c r="Z107" s="76"/>
    </row>
    <row r="108" spans="1:26" s="29" customFormat="1" ht="27.75" customHeight="1" x14ac:dyDescent="0.2">
      <c r="A108" s="30"/>
      <c r="L108" s="46"/>
      <c r="N108" s="71"/>
      <c r="O108" s="72" t="s">
        <v>52</v>
      </c>
      <c r="P108" s="72"/>
      <c r="Q108" s="72"/>
      <c r="R108" s="72">
        <v>0</v>
      </c>
      <c r="S108" s="63"/>
      <c r="T108" s="72" t="s">
        <v>52</v>
      </c>
      <c r="U108" s="102" t="str">
        <f>IF($J$1="October",Y107,"")</f>
        <v/>
      </c>
      <c r="V108" s="74"/>
      <c r="W108" s="102" t="str">
        <f t="shared" si="22"/>
        <v/>
      </c>
      <c r="X108" s="74"/>
      <c r="Y108" s="102" t="str">
        <f t="shared" si="23"/>
        <v/>
      </c>
      <c r="Z108" s="76"/>
    </row>
    <row r="109" spans="1:26" s="29" customFormat="1" ht="27.75" customHeight="1" x14ac:dyDescent="0.35">
      <c r="A109" s="30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46"/>
      <c r="N109" s="71"/>
      <c r="O109" s="72" t="s">
        <v>57</v>
      </c>
      <c r="P109" s="72"/>
      <c r="Q109" s="72"/>
      <c r="R109" s="72" t="str">
        <f t="shared" si="21"/>
        <v/>
      </c>
      <c r="S109" s="63"/>
      <c r="T109" s="72" t="s">
        <v>57</v>
      </c>
      <c r="U109" s="102" t="str">
        <f>Y108</f>
        <v/>
      </c>
      <c r="V109" s="74"/>
      <c r="W109" s="102" t="str">
        <f t="shared" si="22"/>
        <v/>
      </c>
      <c r="X109" s="74"/>
      <c r="Y109" s="102" t="str">
        <f t="shared" si="23"/>
        <v/>
      </c>
      <c r="Z109" s="63"/>
    </row>
    <row r="110" spans="1:26" s="29" customFormat="1" ht="27.75" customHeight="1" thickBot="1" x14ac:dyDescent="0.4">
      <c r="A110" s="5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61"/>
      <c r="N110" s="71"/>
      <c r="O110" s="72" t="s">
        <v>58</v>
      </c>
      <c r="P110" s="72"/>
      <c r="Q110" s="72"/>
      <c r="R110" s="72" t="str">
        <f t="shared" si="21"/>
        <v/>
      </c>
      <c r="S110" s="63"/>
      <c r="T110" s="72" t="s">
        <v>58</v>
      </c>
      <c r="U110" s="102">
        <v>0</v>
      </c>
      <c r="V110" s="74"/>
      <c r="W110" s="102">
        <f t="shared" si="22"/>
        <v>0</v>
      </c>
      <c r="X110" s="74"/>
      <c r="Y110" s="102">
        <f t="shared" si="23"/>
        <v>0</v>
      </c>
      <c r="Z110" s="63"/>
    </row>
    <row r="111" spans="1:26" s="94" customFormat="1" ht="27.75" customHeight="1" thickBot="1" x14ac:dyDescent="0.25"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s="29" customFormat="1" ht="27.75" customHeight="1" thickBot="1" x14ac:dyDescent="0.25">
      <c r="A112" s="389" t="s">
        <v>40</v>
      </c>
      <c r="B112" s="390"/>
      <c r="C112" s="390"/>
      <c r="D112" s="390"/>
      <c r="E112" s="390"/>
      <c r="F112" s="390"/>
      <c r="G112" s="390"/>
      <c r="H112" s="390"/>
      <c r="I112" s="390"/>
      <c r="J112" s="390"/>
      <c r="K112" s="390"/>
      <c r="L112" s="391"/>
      <c r="M112" s="28"/>
      <c r="N112" s="64"/>
      <c r="O112" s="377" t="s">
        <v>42</v>
      </c>
      <c r="P112" s="378"/>
      <c r="Q112" s="378"/>
      <c r="R112" s="379"/>
      <c r="S112" s="65"/>
      <c r="T112" s="377" t="s">
        <v>43</v>
      </c>
      <c r="U112" s="378"/>
      <c r="V112" s="378"/>
      <c r="W112" s="378"/>
      <c r="X112" s="378"/>
      <c r="Y112" s="379"/>
      <c r="Z112" s="66"/>
    </row>
    <row r="113" spans="1:27" s="29" customFormat="1" ht="27.75" customHeight="1" x14ac:dyDescent="0.2">
      <c r="A113" s="30"/>
      <c r="C113" s="386" t="s">
        <v>83</v>
      </c>
      <c r="D113" s="386"/>
      <c r="E113" s="386"/>
      <c r="F113" s="386"/>
      <c r="G113" s="31" t="str">
        <f>$J$1</f>
        <v>August</v>
      </c>
      <c r="H113" s="385">
        <f>$K$1</f>
        <v>2023</v>
      </c>
      <c r="I113" s="385"/>
      <c r="K113" s="32"/>
      <c r="L113" s="33"/>
      <c r="M113" s="32"/>
      <c r="N113" s="67"/>
      <c r="O113" s="68" t="s">
        <v>53</v>
      </c>
      <c r="P113" s="68" t="s">
        <v>7</v>
      </c>
      <c r="Q113" s="68" t="s">
        <v>6</v>
      </c>
      <c r="R113" s="68" t="s">
        <v>54</v>
      </c>
      <c r="S113" s="69"/>
      <c r="T113" s="68" t="s">
        <v>53</v>
      </c>
      <c r="U113" s="68" t="s">
        <v>55</v>
      </c>
      <c r="V113" s="68" t="s">
        <v>20</v>
      </c>
      <c r="W113" s="68" t="s">
        <v>19</v>
      </c>
      <c r="X113" s="68" t="s">
        <v>21</v>
      </c>
      <c r="Y113" s="68" t="s">
        <v>59</v>
      </c>
      <c r="Z113" s="70"/>
    </row>
    <row r="114" spans="1:27" s="29" customFormat="1" ht="27.75" customHeight="1" x14ac:dyDescent="0.2">
      <c r="A114" s="30"/>
      <c r="D114" s="35"/>
      <c r="E114" s="35"/>
      <c r="F114" s="35"/>
      <c r="G114" s="35"/>
      <c r="H114" s="35"/>
      <c r="J114" s="36" t="s">
        <v>1</v>
      </c>
      <c r="K114" s="37">
        <v>38000</v>
      </c>
      <c r="L114" s="38"/>
      <c r="N114" s="71"/>
      <c r="O114" s="72" t="s">
        <v>45</v>
      </c>
      <c r="P114" s="72">
        <v>30</v>
      </c>
      <c r="Q114" s="72">
        <v>1</v>
      </c>
      <c r="R114" s="72"/>
      <c r="S114" s="73"/>
      <c r="T114" s="72" t="s">
        <v>45</v>
      </c>
      <c r="U114" s="74">
        <v>35000</v>
      </c>
      <c r="V114" s="74"/>
      <c r="W114" s="74">
        <f>V114+U114</f>
        <v>35000</v>
      </c>
      <c r="X114" s="74"/>
      <c r="Y114" s="74">
        <f>W114-X114</f>
        <v>35000</v>
      </c>
      <c r="Z114" s="70"/>
    </row>
    <row r="115" spans="1:27" s="29" customFormat="1" ht="27.75" customHeight="1" x14ac:dyDescent="0.2">
      <c r="A115" s="30"/>
      <c r="B115" s="29" t="s">
        <v>0</v>
      </c>
      <c r="C115" s="40" t="s">
        <v>173</v>
      </c>
      <c r="H115" s="41"/>
      <c r="I115" s="35"/>
      <c r="L115" s="42"/>
      <c r="M115" s="28"/>
      <c r="N115" s="75"/>
      <c r="O115" s="72" t="s">
        <v>71</v>
      </c>
      <c r="P115" s="72">
        <v>28</v>
      </c>
      <c r="Q115" s="72">
        <v>0</v>
      </c>
      <c r="R115" s="72">
        <v>0</v>
      </c>
      <c r="S115" s="63"/>
      <c r="T115" s="72" t="s">
        <v>71</v>
      </c>
      <c r="U115" s="102">
        <f>IF($J$1="January","",Y114)</f>
        <v>35000</v>
      </c>
      <c r="V115" s="74">
        <v>5000</v>
      </c>
      <c r="W115" s="102">
        <f>IF(U115="","",U115+V115)</f>
        <v>40000</v>
      </c>
      <c r="X115" s="74">
        <v>5000</v>
      </c>
      <c r="Y115" s="102">
        <f>IF(W115="","",W115-X115)</f>
        <v>35000</v>
      </c>
      <c r="Z115" s="76"/>
    </row>
    <row r="116" spans="1:27" s="29" customFormat="1" ht="27.75" customHeight="1" x14ac:dyDescent="0.2">
      <c r="A116" s="30"/>
      <c r="B116" s="44" t="s">
        <v>41</v>
      </c>
      <c r="C116" s="45"/>
      <c r="F116" s="382" t="s">
        <v>43</v>
      </c>
      <c r="G116" s="384"/>
      <c r="I116" s="382" t="s">
        <v>44</v>
      </c>
      <c r="J116" s="383"/>
      <c r="K116" s="384"/>
      <c r="L116" s="46"/>
      <c r="N116" s="71"/>
      <c r="O116" s="72" t="s">
        <v>46</v>
      </c>
      <c r="P116" s="72">
        <v>29</v>
      </c>
      <c r="Q116" s="72">
        <v>2</v>
      </c>
      <c r="R116" s="72">
        <v>0</v>
      </c>
      <c r="S116" s="63"/>
      <c r="T116" s="72" t="s">
        <v>46</v>
      </c>
      <c r="U116" s="102">
        <f>IF($J$1="February","",Y115)</f>
        <v>35000</v>
      </c>
      <c r="V116" s="74"/>
      <c r="W116" s="102">
        <f t="shared" ref="W116:W125" si="24">IF(U116="","",U116+V116)</f>
        <v>35000</v>
      </c>
      <c r="X116" s="74"/>
      <c r="Y116" s="102">
        <f t="shared" ref="Y116:Y125" si="25">IF(W116="","",W116-X116)</f>
        <v>35000</v>
      </c>
      <c r="Z116" s="76"/>
    </row>
    <row r="117" spans="1:27" s="29" customFormat="1" ht="27.75" customHeight="1" x14ac:dyDescent="0.2">
      <c r="A117" s="30"/>
      <c r="H117" s="47"/>
      <c r="L117" s="34"/>
      <c r="N117" s="71"/>
      <c r="O117" s="72" t="s">
        <v>47</v>
      </c>
      <c r="P117" s="72">
        <v>29</v>
      </c>
      <c r="Q117" s="72">
        <v>1</v>
      </c>
      <c r="R117" s="72">
        <v>0</v>
      </c>
      <c r="S117" s="63"/>
      <c r="T117" s="72" t="s">
        <v>47</v>
      </c>
      <c r="U117" s="102">
        <f>IF($J$1="March","",Y116)</f>
        <v>35000</v>
      </c>
      <c r="V117" s="74"/>
      <c r="W117" s="102">
        <f t="shared" si="24"/>
        <v>35000</v>
      </c>
      <c r="X117" s="74"/>
      <c r="Y117" s="102">
        <f t="shared" si="25"/>
        <v>35000</v>
      </c>
      <c r="Z117" s="76"/>
    </row>
    <row r="118" spans="1:27" s="29" customFormat="1" ht="27.75" customHeight="1" x14ac:dyDescent="0.2">
      <c r="A118" s="30"/>
      <c r="B118" s="380" t="s">
        <v>42</v>
      </c>
      <c r="C118" s="381"/>
      <c r="F118" s="48" t="s">
        <v>64</v>
      </c>
      <c r="G118" s="4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35000</v>
      </c>
      <c r="H118" s="47"/>
      <c r="I118" s="49">
        <f>IF(C122&gt;0,$K$2,C120)</f>
        <v>31</v>
      </c>
      <c r="J118" s="50" t="s">
        <v>61</v>
      </c>
      <c r="K118" s="51">
        <f>K114/$K$2*I118</f>
        <v>38000</v>
      </c>
      <c r="L118" s="52"/>
      <c r="N118" s="71"/>
      <c r="O118" s="72" t="s">
        <v>48</v>
      </c>
      <c r="P118" s="72">
        <v>25</v>
      </c>
      <c r="Q118" s="72">
        <v>6</v>
      </c>
      <c r="R118" s="72">
        <v>0</v>
      </c>
      <c r="S118" s="63"/>
      <c r="T118" s="72" t="s">
        <v>48</v>
      </c>
      <c r="U118" s="102">
        <f>Y117</f>
        <v>35000</v>
      </c>
      <c r="V118" s="74">
        <f>1000+4000</f>
        <v>5000</v>
      </c>
      <c r="W118" s="102">
        <f t="shared" si="24"/>
        <v>40000</v>
      </c>
      <c r="X118" s="74">
        <v>5000</v>
      </c>
      <c r="Y118" s="102">
        <f t="shared" si="25"/>
        <v>35000</v>
      </c>
      <c r="Z118" s="76"/>
    </row>
    <row r="119" spans="1:27" s="29" customFormat="1" ht="27.75" customHeight="1" x14ac:dyDescent="0.2">
      <c r="A119" s="30"/>
      <c r="B119" s="39"/>
      <c r="C119" s="39"/>
      <c r="F119" s="48" t="s">
        <v>20</v>
      </c>
      <c r="G119" s="4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47"/>
      <c r="I119" s="49"/>
      <c r="J119" s="50" t="s">
        <v>62</v>
      </c>
      <c r="K119" s="53">
        <f>K114/$K$2/8*I119</f>
        <v>0</v>
      </c>
      <c r="L119" s="54"/>
      <c r="N119" s="71"/>
      <c r="O119" s="72" t="s">
        <v>49</v>
      </c>
      <c r="P119" s="72">
        <v>29</v>
      </c>
      <c r="Q119" s="72">
        <v>1</v>
      </c>
      <c r="R119" s="72">
        <v>14</v>
      </c>
      <c r="S119" s="63"/>
      <c r="T119" s="72" t="s">
        <v>49</v>
      </c>
      <c r="U119" s="102">
        <f>Y118</f>
        <v>35000</v>
      </c>
      <c r="V119" s="74">
        <v>25000</v>
      </c>
      <c r="W119" s="102">
        <f t="shared" si="24"/>
        <v>60000</v>
      </c>
      <c r="X119" s="74">
        <v>25000</v>
      </c>
      <c r="Y119" s="102">
        <f t="shared" si="25"/>
        <v>35000</v>
      </c>
      <c r="Z119" s="76"/>
    </row>
    <row r="120" spans="1:27" s="29" customFormat="1" ht="27.75" customHeight="1" x14ac:dyDescent="0.2">
      <c r="A120" s="30"/>
      <c r="B120" s="48" t="s">
        <v>7</v>
      </c>
      <c r="C120" s="39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F120" s="48" t="s">
        <v>65</v>
      </c>
      <c r="G120" s="43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35000</v>
      </c>
      <c r="H120" s="47"/>
      <c r="I120" s="387" t="s">
        <v>69</v>
      </c>
      <c r="J120" s="388"/>
      <c r="K120" s="53">
        <f>K118+K119</f>
        <v>38000</v>
      </c>
      <c r="L120" s="54"/>
      <c r="N120" s="71"/>
      <c r="O120" s="72" t="s">
        <v>50</v>
      </c>
      <c r="P120" s="72">
        <v>29</v>
      </c>
      <c r="Q120" s="72">
        <v>2</v>
      </c>
      <c r="R120" s="72">
        <f>R119-Q120+1</f>
        <v>13</v>
      </c>
      <c r="S120" s="63"/>
      <c r="T120" s="72" t="s">
        <v>50</v>
      </c>
      <c r="U120" s="102">
        <f>Y119</f>
        <v>35000</v>
      </c>
      <c r="V120" s="74"/>
      <c r="W120" s="102">
        <f t="shared" si="24"/>
        <v>35000</v>
      </c>
      <c r="X120" s="74"/>
      <c r="Y120" s="102">
        <f t="shared" si="25"/>
        <v>35000</v>
      </c>
      <c r="Z120" s="76"/>
    </row>
    <row r="121" spans="1:27" s="29" customFormat="1" ht="27.75" customHeight="1" x14ac:dyDescent="0.2">
      <c r="A121" s="30"/>
      <c r="B121" s="48" t="s">
        <v>6</v>
      </c>
      <c r="C121" s="39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F121" s="48" t="s">
        <v>21</v>
      </c>
      <c r="G121" s="4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47"/>
      <c r="I121" s="387" t="s">
        <v>70</v>
      </c>
      <c r="J121" s="388"/>
      <c r="K121" s="43">
        <f>G121</f>
        <v>0</v>
      </c>
      <c r="L121" s="55"/>
      <c r="N121" s="71"/>
      <c r="O121" s="72" t="s">
        <v>51</v>
      </c>
      <c r="P121" s="72">
        <v>31</v>
      </c>
      <c r="Q121" s="72">
        <v>0</v>
      </c>
      <c r="R121" s="72">
        <f t="shared" ref="R121:R125" si="26">R120-Q121</f>
        <v>13</v>
      </c>
      <c r="S121" s="63"/>
      <c r="T121" s="72" t="s">
        <v>51</v>
      </c>
      <c r="U121" s="102">
        <f>Y120</f>
        <v>35000</v>
      </c>
      <c r="V121" s="74"/>
      <c r="W121" s="102">
        <f t="shared" si="24"/>
        <v>35000</v>
      </c>
      <c r="X121" s="74"/>
      <c r="Y121" s="102">
        <f t="shared" si="25"/>
        <v>35000</v>
      </c>
      <c r="Z121" s="76"/>
    </row>
    <row r="122" spans="1:27" s="29" customFormat="1" ht="27.75" customHeight="1" x14ac:dyDescent="0.2">
      <c r="A122" s="30"/>
      <c r="B122" s="318" t="s">
        <v>68</v>
      </c>
      <c r="C122" s="39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F122" s="318" t="s">
        <v>210</v>
      </c>
      <c r="G122" s="43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35000</v>
      </c>
      <c r="I122" s="382" t="s">
        <v>63</v>
      </c>
      <c r="J122" s="384"/>
      <c r="K122" s="57">
        <f>K120-K121</f>
        <v>38000</v>
      </c>
      <c r="L122" s="58"/>
      <c r="N122" s="71"/>
      <c r="O122" s="72" t="s">
        <v>56</v>
      </c>
      <c r="P122" s="72"/>
      <c r="Q122" s="72"/>
      <c r="R122" s="72">
        <f t="shared" si="26"/>
        <v>13</v>
      </c>
      <c r="S122" s="63"/>
      <c r="T122" s="72" t="s">
        <v>56</v>
      </c>
      <c r="U122" s="102">
        <v>0</v>
      </c>
      <c r="V122" s="74"/>
      <c r="W122" s="102">
        <f t="shared" si="24"/>
        <v>0</v>
      </c>
      <c r="X122" s="74"/>
      <c r="Y122" s="102">
        <f t="shared" si="25"/>
        <v>0</v>
      </c>
      <c r="Z122" s="76"/>
    </row>
    <row r="123" spans="1:27" s="29" customFormat="1" ht="27.75" customHeight="1" x14ac:dyDescent="0.2">
      <c r="A123" s="30"/>
      <c r="L123" s="46"/>
      <c r="N123" s="71"/>
      <c r="O123" s="72" t="s">
        <v>52</v>
      </c>
      <c r="P123" s="72"/>
      <c r="Q123" s="72"/>
      <c r="R123" s="72">
        <f t="shared" si="26"/>
        <v>13</v>
      </c>
      <c r="S123" s="63"/>
      <c r="T123" s="72" t="s">
        <v>52</v>
      </c>
      <c r="U123" s="102" t="str">
        <f>IF($J$1="October",Y122,"")</f>
        <v/>
      </c>
      <c r="V123" s="74"/>
      <c r="W123" s="102" t="str">
        <f t="shared" si="24"/>
        <v/>
      </c>
      <c r="X123" s="74"/>
      <c r="Y123" s="102" t="str">
        <f t="shared" si="25"/>
        <v/>
      </c>
      <c r="Z123" s="76"/>
    </row>
    <row r="124" spans="1:27" s="29" customFormat="1" ht="27.75" customHeight="1" x14ac:dyDescent="0.35">
      <c r="A124" s="30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46"/>
      <c r="N124" s="71"/>
      <c r="O124" s="72" t="s">
        <v>57</v>
      </c>
      <c r="P124" s="72"/>
      <c r="Q124" s="72"/>
      <c r="R124" s="72">
        <f t="shared" si="26"/>
        <v>13</v>
      </c>
      <c r="S124" s="63"/>
      <c r="T124" s="72" t="s">
        <v>57</v>
      </c>
      <c r="U124" s="102" t="str">
        <f t="shared" ref="U124:U125" si="27">Y123</f>
        <v/>
      </c>
      <c r="V124" s="74"/>
      <c r="W124" s="102" t="str">
        <f t="shared" si="24"/>
        <v/>
      </c>
      <c r="X124" s="74"/>
      <c r="Y124" s="102" t="str">
        <f t="shared" si="25"/>
        <v/>
      </c>
      <c r="Z124" s="76"/>
    </row>
    <row r="125" spans="1:27" s="29" customFormat="1" ht="27.75" customHeight="1" thickBot="1" x14ac:dyDescent="0.4">
      <c r="A125" s="59"/>
      <c r="B125" s="320"/>
      <c r="C125" s="320"/>
      <c r="D125" s="320"/>
      <c r="E125" s="320"/>
      <c r="F125" s="320" t="s">
        <v>203</v>
      </c>
      <c r="G125" s="320"/>
      <c r="H125" s="320"/>
      <c r="I125" s="320"/>
      <c r="J125" s="320"/>
      <c r="K125" s="320"/>
      <c r="L125" s="61"/>
      <c r="N125" s="71"/>
      <c r="O125" s="72" t="s">
        <v>58</v>
      </c>
      <c r="P125" s="72"/>
      <c r="Q125" s="72"/>
      <c r="R125" s="72">
        <f t="shared" si="26"/>
        <v>13</v>
      </c>
      <c r="S125" s="63"/>
      <c r="T125" s="72" t="s">
        <v>58</v>
      </c>
      <c r="U125" s="102" t="str">
        <f t="shared" si="27"/>
        <v/>
      </c>
      <c r="V125" s="74"/>
      <c r="W125" s="102" t="str">
        <f t="shared" si="24"/>
        <v/>
      </c>
      <c r="X125" s="74"/>
      <c r="Y125" s="102" t="str">
        <f t="shared" si="25"/>
        <v/>
      </c>
      <c r="Z125" s="76"/>
    </row>
    <row r="126" spans="1:27" s="94" customFormat="1" ht="27.75" customHeight="1" thickBot="1" x14ac:dyDescent="0.25"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7" s="29" customFormat="1" ht="27.75" customHeight="1" thickBot="1" x14ac:dyDescent="0.25">
      <c r="A127" s="389" t="s">
        <v>40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1"/>
      <c r="M127" s="28"/>
      <c r="N127" s="64"/>
      <c r="O127" s="377" t="s">
        <v>42</v>
      </c>
      <c r="P127" s="378"/>
      <c r="Q127" s="378"/>
      <c r="R127" s="379"/>
      <c r="S127" s="65"/>
      <c r="T127" s="377" t="s">
        <v>43</v>
      </c>
      <c r="U127" s="378"/>
      <c r="V127" s="378"/>
      <c r="W127" s="378"/>
      <c r="X127" s="378"/>
      <c r="Y127" s="379"/>
      <c r="Z127" s="66"/>
      <c r="AA127" s="28"/>
    </row>
    <row r="128" spans="1:27" s="29" customFormat="1" ht="27.75" customHeight="1" x14ac:dyDescent="0.2">
      <c r="A128" s="30"/>
      <c r="C128" s="386" t="s">
        <v>83</v>
      </c>
      <c r="D128" s="386"/>
      <c r="E128" s="386"/>
      <c r="F128" s="386"/>
      <c r="G128" s="31" t="str">
        <f>$J$1</f>
        <v>August</v>
      </c>
      <c r="H128" s="385">
        <f>$K$1</f>
        <v>2023</v>
      </c>
      <c r="I128" s="385"/>
      <c r="K128" s="32"/>
      <c r="L128" s="33"/>
      <c r="M128" s="32"/>
      <c r="N128" s="67"/>
      <c r="O128" s="68" t="s">
        <v>53</v>
      </c>
      <c r="P128" s="68" t="s">
        <v>7</v>
      </c>
      <c r="Q128" s="68" t="s">
        <v>6</v>
      </c>
      <c r="R128" s="68" t="s">
        <v>54</v>
      </c>
      <c r="S128" s="69"/>
      <c r="T128" s="68" t="s">
        <v>53</v>
      </c>
      <c r="U128" s="68" t="s">
        <v>55</v>
      </c>
      <c r="V128" s="68" t="s">
        <v>20</v>
      </c>
      <c r="W128" s="68" t="s">
        <v>19</v>
      </c>
      <c r="X128" s="68" t="s">
        <v>21</v>
      </c>
      <c r="Y128" s="68" t="s">
        <v>59</v>
      </c>
      <c r="Z128" s="70"/>
      <c r="AA128" s="32"/>
    </row>
    <row r="129" spans="1:27" s="29" customFormat="1" ht="27.75" customHeight="1" x14ac:dyDescent="0.2">
      <c r="A129" s="30"/>
      <c r="D129" s="35"/>
      <c r="E129" s="35"/>
      <c r="F129" s="35"/>
      <c r="G129" s="35"/>
      <c r="H129" s="35"/>
      <c r="J129" s="36" t="s">
        <v>1</v>
      </c>
      <c r="K129" s="37">
        <f>35000+3000+5000</f>
        <v>43000</v>
      </c>
      <c r="L129" s="38"/>
      <c r="N129" s="71"/>
      <c r="O129" s="72" t="s">
        <v>45</v>
      </c>
      <c r="P129" s="72">
        <v>31</v>
      </c>
      <c r="Q129" s="72">
        <v>0</v>
      </c>
      <c r="R129" s="72">
        <f>15-Q129</f>
        <v>15</v>
      </c>
      <c r="S129" s="73"/>
      <c r="T129" s="72" t="s">
        <v>45</v>
      </c>
      <c r="U129" s="74">
        <v>75500</v>
      </c>
      <c r="V129" s="74">
        <f>5000+1000</f>
        <v>6000</v>
      </c>
      <c r="W129" s="74">
        <f>V129+U129</f>
        <v>81500</v>
      </c>
      <c r="X129" s="74">
        <v>8000</v>
      </c>
      <c r="Y129" s="74">
        <f>W129-X129</f>
        <v>73500</v>
      </c>
      <c r="Z129" s="70"/>
    </row>
    <row r="130" spans="1:27" s="29" customFormat="1" ht="27.75" customHeight="1" x14ac:dyDescent="0.2">
      <c r="A130" s="30"/>
      <c r="B130" s="29" t="s">
        <v>0</v>
      </c>
      <c r="C130" s="40" t="s">
        <v>81</v>
      </c>
      <c r="H130" s="41"/>
      <c r="I130" s="35"/>
      <c r="L130" s="42"/>
      <c r="M130" s="28"/>
      <c r="N130" s="75"/>
      <c r="O130" s="72" t="s">
        <v>71</v>
      </c>
      <c r="P130" s="72">
        <v>28</v>
      </c>
      <c r="Q130" s="72">
        <v>0</v>
      </c>
      <c r="R130" s="72">
        <f t="shared" ref="R130:R140" si="28">IF(Q130="","",R129-Q130)</f>
        <v>15</v>
      </c>
      <c r="S130" s="63"/>
      <c r="T130" s="72" t="s">
        <v>71</v>
      </c>
      <c r="U130" s="102">
        <f t="shared" ref="U130:U135" si="29">Y129</f>
        <v>73500</v>
      </c>
      <c r="V130" s="74">
        <f>3000+1000</f>
        <v>4000</v>
      </c>
      <c r="W130" s="102">
        <f>IF(U130="","",U130+V130)</f>
        <v>77500</v>
      </c>
      <c r="X130" s="74">
        <v>8000</v>
      </c>
      <c r="Y130" s="102">
        <f>IF(W130="","",W130-X130)</f>
        <v>69500</v>
      </c>
      <c r="Z130" s="76"/>
      <c r="AA130" s="28"/>
    </row>
    <row r="131" spans="1:27" s="29" customFormat="1" ht="27.75" customHeight="1" x14ac:dyDescent="0.2">
      <c r="A131" s="30"/>
      <c r="B131" s="44" t="s">
        <v>41</v>
      </c>
      <c r="C131" s="45" t="s">
        <v>82</v>
      </c>
      <c r="F131" s="382" t="s">
        <v>43</v>
      </c>
      <c r="G131" s="384"/>
      <c r="I131" s="382" t="s">
        <v>44</v>
      </c>
      <c r="J131" s="383"/>
      <c r="K131" s="384"/>
      <c r="L131" s="46"/>
      <c r="N131" s="71"/>
      <c r="O131" s="72" t="s">
        <v>46</v>
      </c>
      <c r="P131" s="72">
        <v>31</v>
      </c>
      <c r="Q131" s="72">
        <v>0</v>
      </c>
      <c r="R131" s="72">
        <f t="shared" si="28"/>
        <v>15</v>
      </c>
      <c r="S131" s="63"/>
      <c r="T131" s="72" t="s">
        <v>46</v>
      </c>
      <c r="U131" s="102">
        <f t="shared" si="29"/>
        <v>69500</v>
      </c>
      <c r="V131" s="74">
        <f>2000+1000+1000</f>
        <v>4000</v>
      </c>
      <c r="W131" s="102">
        <f t="shared" ref="W131:W140" si="30">IF(U131="","",U131+V131)</f>
        <v>73500</v>
      </c>
      <c r="X131" s="74">
        <v>3000</v>
      </c>
      <c r="Y131" s="102">
        <f t="shared" ref="Y131:Y140" si="31">IF(W131="","",W131-X131)</f>
        <v>70500</v>
      </c>
      <c r="Z131" s="76"/>
    </row>
    <row r="132" spans="1:27" s="29" customFormat="1" ht="27.75" customHeight="1" x14ac:dyDescent="0.2">
      <c r="A132" s="30"/>
      <c r="H132" s="47"/>
      <c r="L132" s="34"/>
      <c r="N132" s="71"/>
      <c r="O132" s="72" t="s">
        <v>47</v>
      </c>
      <c r="P132" s="72">
        <v>27</v>
      </c>
      <c r="Q132" s="72">
        <v>3</v>
      </c>
      <c r="R132" s="72">
        <f t="shared" si="28"/>
        <v>12</v>
      </c>
      <c r="S132" s="63"/>
      <c r="T132" s="72" t="s">
        <v>47</v>
      </c>
      <c r="U132" s="102">
        <f t="shared" si="29"/>
        <v>70500</v>
      </c>
      <c r="V132" s="74">
        <v>2000</v>
      </c>
      <c r="W132" s="102">
        <f t="shared" si="30"/>
        <v>72500</v>
      </c>
      <c r="X132" s="74">
        <v>5000</v>
      </c>
      <c r="Y132" s="102">
        <f t="shared" si="31"/>
        <v>67500</v>
      </c>
      <c r="Z132" s="76"/>
    </row>
    <row r="133" spans="1:27" s="29" customFormat="1" ht="27.75" customHeight="1" x14ac:dyDescent="0.2">
      <c r="A133" s="30"/>
      <c r="B133" s="380" t="s">
        <v>42</v>
      </c>
      <c r="C133" s="381"/>
      <c r="F133" s="48" t="s">
        <v>64</v>
      </c>
      <c r="G133" s="4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60500</v>
      </c>
      <c r="H133" s="47"/>
      <c r="I133" s="49">
        <f>IF(C137&gt;0,$K$2,C135)</f>
        <v>31</v>
      </c>
      <c r="J133" s="50" t="s">
        <v>61</v>
      </c>
      <c r="K133" s="51">
        <f>K129/$K$2*I133</f>
        <v>43000</v>
      </c>
      <c r="L133" s="52"/>
      <c r="N133" s="71"/>
      <c r="O133" s="72" t="s">
        <v>48</v>
      </c>
      <c r="P133" s="72">
        <v>31</v>
      </c>
      <c r="Q133" s="72">
        <v>0</v>
      </c>
      <c r="R133" s="72">
        <f t="shared" si="28"/>
        <v>12</v>
      </c>
      <c r="S133" s="63"/>
      <c r="T133" s="72" t="s">
        <v>48</v>
      </c>
      <c r="U133" s="102">
        <f t="shared" si="29"/>
        <v>67500</v>
      </c>
      <c r="V133" s="74">
        <v>3000</v>
      </c>
      <c r="W133" s="102">
        <f t="shared" si="30"/>
        <v>70500</v>
      </c>
      <c r="X133" s="74">
        <f>5000+V133</f>
        <v>8000</v>
      </c>
      <c r="Y133" s="102">
        <f t="shared" si="31"/>
        <v>62500</v>
      </c>
      <c r="Z133" s="76"/>
    </row>
    <row r="134" spans="1:27" s="29" customFormat="1" ht="27.75" customHeight="1" x14ac:dyDescent="0.2">
      <c r="A134" s="30"/>
      <c r="B134" s="39"/>
      <c r="C134" s="39"/>
      <c r="F134" s="48" t="s">
        <v>20</v>
      </c>
      <c r="G134" s="4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22000</v>
      </c>
      <c r="H134" s="47"/>
      <c r="I134" s="49">
        <v>47</v>
      </c>
      <c r="J134" s="50" t="s">
        <v>62</v>
      </c>
      <c r="K134" s="53">
        <f>K129/$K$2/8*I134</f>
        <v>8149.1935483870966</v>
      </c>
      <c r="L134" s="54"/>
      <c r="N134" s="71"/>
      <c r="O134" s="72" t="s">
        <v>49</v>
      </c>
      <c r="P134" s="72">
        <v>30</v>
      </c>
      <c r="Q134" s="72">
        <v>0</v>
      </c>
      <c r="R134" s="72">
        <f t="shared" si="28"/>
        <v>12</v>
      </c>
      <c r="S134" s="63"/>
      <c r="T134" s="72" t="s">
        <v>49</v>
      </c>
      <c r="U134" s="102">
        <f t="shared" si="29"/>
        <v>62500</v>
      </c>
      <c r="V134" s="74">
        <f>5000+38000</f>
        <v>43000</v>
      </c>
      <c r="W134" s="102">
        <f t="shared" si="30"/>
        <v>105500</v>
      </c>
      <c r="X134" s="74">
        <v>43000</v>
      </c>
      <c r="Y134" s="102">
        <f t="shared" si="31"/>
        <v>62500</v>
      </c>
      <c r="Z134" s="76"/>
    </row>
    <row r="135" spans="1:27" s="29" customFormat="1" ht="27.75" customHeight="1" x14ac:dyDescent="0.2">
      <c r="A135" s="30"/>
      <c r="B135" s="48" t="s">
        <v>7</v>
      </c>
      <c r="C135" s="39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F135" s="48" t="s">
        <v>65</v>
      </c>
      <c r="G135" s="4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82500</v>
      </c>
      <c r="H135" s="47"/>
      <c r="I135" s="387" t="s">
        <v>69</v>
      </c>
      <c r="J135" s="388"/>
      <c r="K135" s="53">
        <f>K133+K134</f>
        <v>51149.193548387098</v>
      </c>
      <c r="L135" s="54"/>
      <c r="N135" s="71"/>
      <c r="O135" s="72" t="s">
        <v>50</v>
      </c>
      <c r="P135" s="72">
        <v>30</v>
      </c>
      <c r="Q135" s="72">
        <v>1</v>
      </c>
      <c r="R135" s="72">
        <f t="shared" si="28"/>
        <v>11</v>
      </c>
      <c r="S135" s="63"/>
      <c r="T135" s="72" t="s">
        <v>50</v>
      </c>
      <c r="U135" s="102">
        <f t="shared" si="29"/>
        <v>62500</v>
      </c>
      <c r="V135" s="74">
        <f>5000+3000</f>
        <v>8000</v>
      </c>
      <c r="W135" s="102">
        <f t="shared" si="30"/>
        <v>70500</v>
      </c>
      <c r="X135" s="74">
        <v>10000</v>
      </c>
      <c r="Y135" s="102">
        <f t="shared" si="31"/>
        <v>60500</v>
      </c>
      <c r="Z135" s="76"/>
    </row>
    <row r="136" spans="1:27" s="29" customFormat="1" ht="27.75" customHeight="1" x14ac:dyDescent="0.2">
      <c r="A136" s="30"/>
      <c r="B136" s="48" t="s">
        <v>6</v>
      </c>
      <c r="C136" s="39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F136" s="48" t="s">
        <v>21</v>
      </c>
      <c r="G136" s="4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5000</v>
      </c>
      <c r="H136" s="47"/>
      <c r="I136" s="387" t="s">
        <v>70</v>
      </c>
      <c r="J136" s="388"/>
      <c r="K136" s="43">
        <f>G136</f>
        <v>5000</v>
      </c>
      <c r="L136" s="55"/>
      <c r="N136" s="71"/>
      <c r="O136" s="72" t="s">
        <v>51</v>
      </c>
      <c r="P136" s="72">
        <v>31</v>
      </c>
      <c r="Q136" s="72">
        <v>0</v>
      </c>
      <c r="R136" s="72">
        <f t="shared" si="28"/>
        <v>11</v>
      </c>
      <c r="S136" s="63"/>
      <c r="T136" s="72" t="s">
        <v>51</v>
      </c>
      <c r="U136" s="102">
        <f>Y135</f>
        <v>60500</v>
      </c>
      <c r="V136" s="74">
        <v>22000</v>
      </c>
      <c r="W136" s="102">
        <f t="shared" si="30"/>
        <v>82500</v>
      </c>
      <c r="X136" s="74">
        <v>5000</v>
      </c>
      <c r="Y136" s="102">
        <f t="shared" si="31"/>
        <v>77500</v>
      </c>
      <c r="Z136" s="76"/>
    </row>
    <row r="137" spans="1:27" s="29" customFormat="1" ht="27.75" customHeight="1" x14ac:dyDescent="0.2">
      <c r="A137" s="30"/>
      <c r="B137" s="318" t="s">
        <v>68</v>
      </c>
      <c r="C137" s="39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F137" s="318" t="s">
        <v>210</v>
      </c>
      <c r="G137" s="4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77500</v>
      </c>
      <c r="I137" s="382" t="s">
        <v>63</v>
      </c>
      <c r="J137" s="384"/>
      <c r="K137" s="57">
        <f>K135-K136</f>
        <v>46149.193548387098</v>
      </c>
      <c r="L137" s="58"/>
      <c r="N137" s="71"/>
      <c r="O137" s="72" t="s">
        <v>56</v>
      </c>
      <c r="P137" s="72"/>
      <c r="Q137" s="72"/>
      <c r="R137" s="72">
        <v>0</v>
      </c>
      <c r="S137" s="63"/>
      <c r="T137" s="72" t="s">
        <v>56</v>
      </c>
      <c r="U137" s="102">
        <v>0</v>
      </c>
      <c r="V137" s="74"/>
      <c r="W137" s="102">
        <f t="shared" si="30"/>
        <v>0</v>
      </c>
      <c r="X137" s="74">
        <v>10000</v>
      </c>
      <c r="Y137" s="102">
        <f t="shared" si="31"/>
        <v>-10000</v>
      </c>
      <c r="Z137" s="76"/>
    </row>
    <row r="138" spans="1:27" s="29" customFormat="1" ht="27.75" customHeight="1" x14ac:dyDescent="0.2">
      <c r="A138" s="30"/>
      <c r="L138" s="46"/>
      <c r="N138" s="71"/>
      <c r="O138" s="72" t="s">
        <v>52</v>
      </c>
      <c r="P138" s="72"/>
      <c r="Q138" s="72"/>
      <c r="R138" s="72">
        <v>0</v>
      </c>
      <c r="S138" s="63"/>
      <c r="T138" s="72" t="s">
        <v>52</v>
      </c>
      <c r="U138" s="102" t="str">
        <f>IF($J$1="October",Y137,"")</f>
        <v/>
      </c>
      <c r="V138" s="74"/>
      <c r="W138" s="102" t="str">
        <f t="shared" si="30"/>
        <v/>
      </c>
      <c r="X138" s="74"/>
      <c r="Y138" s="102" t="str">
        <f t="shared" si="31"/>
        <v/>
      </c>
      <c r="Z138" s="76"/>
    </row>
    <row r="139" spans="1:27" s="29" customFormat="1" ht="27.75" customHeight="1" x14ac:dyDescent="0.35">
      <c r="A139" s="30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46"/>
      <c r="N139" s="71"/>
      <c r="O139" s="72" t="s">
        <v>57</v>
      </c>
      <c r="P139" s="72"/>
      <c r="Q139" s="72"/>
      <c r="R139" s="72" t="str">
        <f t="shared" si="28"/>
        <v/>
      </c>
      <c r="S139" s="63"/>
      <c r="T139" s="72" t="s">
        <v>57</v>
      </c>
      <c r="U139" s="102"/>
      <c r="V139" s="74"/>
      <c r="W139" s="102" t="str">
        <f t="shared" si="30"/>
        <v/>
      </c>
      <c r="X139" s="74"/>
      <c r="Y139" s="102" t="str">
        <f t="shared" si="31"/>
        <v/>
      </c>
      <c r="Z139" s="76"/>
    </row>
    <row r="140" spans="1:27" s="29" customFormat="1" ht="27.75" customHeight="1" thickBot="1" x14ac:dyDescent="0.4">
      <c r="A140" s="59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61"/>
      <c r="N140" s="71"/>
      <c r="O140" s="72" t="s">
        <v>58</v>
      </c>
      <c r="P140" s="72"/>
      <c r="Q140" s="72"/>
      <c r="R140" s="72" t="str">
        <f t="shared" si="28"/>
        <v/>
      </c>
      <c r="S140" s="63"/>
      <c r="T140" s="72" t="s">
        <v>58</v>
      </c>
      <c r="U140" s="102"/>
      <c r="V140" s="74"/>
      <c r="W140" s="102" t="str">
        <f t="shared" si="30"/>
        <v/>
      </c>
      <c r="X140" s="74"/>
      <c r="Y140" s="102" t="str">
        <f t="shared" si="31"/>
        <v/>
      </c>
      <c r="Z140" s="76"/>
    </row>
    <row r="141" spans="1:27" s="94" customFormat="1" ht="27.75" customHeight="1" thickBot="1" x14ac:dyDescent="0.25"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7" s="29" customFormat="1" ht="27.75" customHeight="1" thickBot="1" x14ac:dyDescent="0.25">
      <c r="A142" s="389" t="s">
        <v>40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1"/>
      <c r="M142" s="28"/>
      <c r="N142" s="64"/>
      <c r="O142" s="377" t="s">
        <v>42</v>
      </c>
      <c r="P142" s="378"/>
      <c r="Q142" s="378"/>
      <c r="R142" s="379"/>
      <c r="S142" s="65"/>
      <c r="T142" s="377" t="s">
        <v>43</v>
      </c>
      <c r="U142" s="378"/>
      <c r="V142" s="378"/>
      <c r="W142" s="378"/>
      <c r="X142" s="378"/>
      <c r="Y142" s="379"/>
      <c r="Z142" s="66"/>
      <c r="AA142" s="28"/>
    </row>
    <row r="143" spans="1:27" s="29" customFormat="1" ht="27.75" customHeight="1" x14ac:dyDescent="0.2">
      <c r="A143" s="30"/>
      <c r="C143" s="386" t="s">
        <v>83</v>
      </c>
      <c r="D143" s="386"/>
      <c r="E143" s="386"/>
      <c r="F143" s="386"/>
      <c r="G143" s="31" t="str">
        <f>$J$1</f>
        <v>August</v>
      </c>
      <c r="H143" s="385">
        <f>$K$1</f>
        <v>2023</v>
      </c>
      <c r="I143" s="385"/>
      <c r="K143" s="32"/>
      <c r="L143" s="33"/>
      <c r="M143" s="32"/>
      <c r="N143" s="67"/>
      <c r="O143" s="68" t="s">
        <v>53</v>
      </c>
      <c r="P143" s="68" t="s">
        <v>7</v>
      </c>
      <c r="Q143" s="68" t="s">
        <v>6</v>
      </c>
      <c r="R143" s="68" t="s">
        <v>54</v>
      </c>
      <c r="S143" s="69"/>
      <c r="T143" s="68" t="s">
        <v>53</v>
      </c>
      <c r="U143" s="68" t="s">
        <v>55</v>
      </c>
      <c r="V143" s="68" t="s">
        <v>20</v>
      </c>
      <c r="W143" s="68" t="s">
        <v>19</v>
      </c>
      <c r="X143" s="68" t="s">
        <v>21</v>
      </c>
      <c r="Y143" s="68" t="s">
        <v>59</v>
      </c>
      <c r="Z143" s="70"/>
      <c r="AA143" s="32"/>
    </row>
    <row r="144" spans="1:27" s="29" customFormat="1" ht="27.75" customHeight="1" x14ac:dyDescent="0.2">
      <c r="A144" s="30"/>
      <c r="D144" s="35"/>
      <c r="E144" s="35"/>
      <c r="F144" s="35"/>
      <c r="G144" s="35"/>
      <c r="H144" s="35"/>
      <c r="J144" s="36" t="s">
        <v>1</v>
      </c>
      <c r="K144" s="37">
        <v>35000</v>
      </c>
      <c r="L144" s="38"/>
      <c r="N144" s="71"/>
      <c r="O144" s="72" t="s">
        <v>45</v>
      </c>
      <c r="P144" s="72">
        <v>29</v>
      </c>
      <c r="Q144" s="72">
        <v>2</v>
      </c>
      <c r="R144" s="72">
        <f>15-Q144</f>
        <v>13</v>
      </c>
      <c r="S144" s="73"/>
      <c r="T144" s="72" t="s">
        <v>45</v>
      </c>
      <c r="U144" s="74"/>
      <c r="V144" s="74"/>
      <c r="W144" s="74">
        <f>V144+U144</f>
        <v>0</v>
      </c>
      <c r="X144" s="74"/>
      <c r="Y144" s="74">
        <f>W144-X144</f>
        <v>0</v>
      </c>
      <c r="Z144" s="70"/>
    </row>
    <row r="145" spans="1:28" s="29" customFormat="1" ht="27.75" customHeight="1" x14ac:dyDescent="0.2">
      <c r="A145" s="30"/>
      <c r="B145" s="29" t="s">
        <v>0</v>
      </c>
      <c r="C145" s="40" t="s">
        <v>77</v>
      </c>
      <c r="H145" s="41"/>
      <c r="I145" s="35"/>
      <c r="L145" s="42"/>
      <c r="M145" s="28"/>
      <c r="N145" s="75"/>
      <c r="O145" s="72" t="s">
        <v>71</v>
      </c>
      <c r="P145" s="72">
        <v>28</v>
      </c>
      <c r="Q145" s="72">
        <v>0</v>
      </c>
      <c r="R145" s="72">
        <f t="shared" ref="R145:R155" si="32">IF(Q145="","",R144-Q145)</f>
        <v>13</v>
      </c>
      <c r="S145" s="63"/>
      <c r="T145" s="72" t="s">
        <v>71</v>
      </c>
      <c r="U145" s="102">
        <f t="shared" ref="U145:U150" si="33">Y144</f>
        <v>0</v>
      </c>
      <c r="V145" s="74"/>
      <c r="W145" s="102">
        <f>IF(U145="","",U145+V145)</f>
        <v>0</v>
      </c>
      <c r="X145" s="74"/>
      <c r="Y145" s="102">
        <f>IF(W145="","",W145-X145)</f>
        <v>0</v>
      </c>
      <c r="Z145" s="76"/>
      <c r="AA145" s="28"/>
    </row>
    <row r="146" spans="1:28" s="29" customFormat="1" ht="27.75" customHeight="1" x14ac:dyDescent="0.2">
      <c r="A146" s="30"/>
      <c r="B146" s="44" t="s">
        <v>41</v>
      </c>
      <c r="C146" s="45"/>
      <c r="F146" s="382" t="s">
        <v>43</v>
      </c>
      <c r="G146" s="384"/>
      <c r="I146" s="382" t="s">
        <v>44</v>
      </c>
      <c r="J146" s="383"/>
      <c r="K146" s="384"/>
      <c r="L146" s="46"/>
      <c r="N146" s="71"/>
      <c r="O146" s="72" t="s">
        <v>46</v>
      </c>
      <c r="P146" s="72">
        <v>31</v>
      </c>
      <c r="Q146" s="72">
        <v>0</v>
      </c>
      <c r="R146" s="72">
        <f t="shared" si="32"/>
        <v>13</v>
      </c>
      <c r="S146" s="63"/>
      <c r="T146" s="72" t="s">
        <v>46</v>
      </c>
      <c r="U146" s="102">
        <f t="shared" si="33"/>
        <v>0</v>
      </c>
      <c r="V146" s="74"/>
      <c r="W146" s="102">
        <f t="shared" ref="W146:W155" si="34">IF(U146="","",U146+V146)</f>
        <v>0</v>
      </c>
      <c r="X146" s="74"/>
      <c r="Y146" s="102">
        <f t="shared" ref="Y146:Y155" si="35">IF(W146="","",W146-X146)</f>
        <v>0</v>
      </c>
      <c r="Z146" s="76"/>
    </row>
    <row r="147" spans="1:28" s="29" customFormat="1" ht="27.75" customHeight="1" x14ac:dyDescent="0.2">
      <c r="A147" s="30"/>
      <c r="H147" s="47"/>
      <c r="L147" s="34"/>
      <c r="N147" s="71"/>
      <c r="O147" s="72" t="s">
        <v>47</v>
      </c>
      <c r="P147" s="72">
        <v>30</v>
      </c>
      <c r="Q147" s="72">
        <v>0</v>
      </c>
      <c r="R147" s="72">
        <f t="shared" si="32"/>
        <v>13</v>
      </c>
      <c r="S147" s="63"/>
      <c r="T147" s="72" t="s">
        <v>47</v>
      </c>
      <c r="U147" s="102">
        <f t="shared" si="33"/>
        <v>0</v>
      </c>
      <c r="V147" s="74"/>
      <c r="W147" s="102">
        <f t="shared" si="34"/>
        <v>0</v>
      </c>
      <c r="X147" s="74"/>
      <c r="Y147" s="102">
        <f t="shared" si="35"/>
        <v>0</v>
      </c>
      <c r="Z147" s="76"/>
      <c r="AB147" s="104">
        <f>K152+K137</f>
        <v>91098.790322580637</v>
      </c>
    </row>
    <row r="148" spans="1:28" s="29" customFormat="1" ht="27.75" customHeight="1" x14ac:dyDescent="0.2">
      <c r="A148" s="30"/>
      <c r="B148" s="380" t="s">
        <v>42</v>
      </c>
      <c r="C148" s="381"/>
      <c r="F148" s="48" t="s">
        <v>64</v>
      </c>
      <c r="G148" s="4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0</v>
      </c>
      <c r="H148" s="47"/>
      <c r="I148" s="49">
        <f>IF(C152&gt;0,$K$2,C150)</f>
        <v>31</v>
      </c>
      <c r="J148" s="50" t="s">
        <v>61</v>
      </c>
      <c r="K148" s="51">
        <f>K144/$K$2*I148</f>
        <v>35000</v>
      </c>
      <c r="L148" s="52"/>
      <c r="N148" s="71"/>
      <c r="O148" s="72" t="s">
        <v>48</v>
      </c>
      <c r="P148" s="72">
        <v>31</v>
      </c>
      <c r="Q148" s="72">
        <v>0</v>
      </c>
      <c r="R148" s="72">
        <f t="shared" si="32"/>
        <v>13</v>
      </c>
      <c r="S148" s="63"/>
      <c r="T148" s="72" t="s">
        <v>48</v>
      </c>
      <c r="U148" s="102">
        <f t="shared" si="33"/>
        <v>0</v>
      </c>
      <c r="V148" s="74"/>
      <c r="W148" s="102">
        <f t="shared" si="34"/>
        <v>0</v>
      </c>
      <c r="X148" s="74"/>
      <c r="Y148" s="102">
        <f t="shared" si="35"/>
        <v>0</v>
      </c>
      <c r="Z148" s="76"/>
    </row>
    <row r="149" spans="1:28" s="29" customFormat="1" ht="27.75" customHeight="1" x14ac:dyDescent="0.2">
      <c r="A149" s="30"/>
      <c r="B149" s="39"/>
      <c r="C149" s="39"/>
      <c r="F149" s="48" t="s">
        <v>20</v>
      </c>
      <c r="G149" s="4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47"/>
      <c r="I149" s="49">
        <v>70.5</v>
      </c>
      <c r="J149" s="50" t="s">
        <v>62</v>
      </c>
      <c r="K149" s="53">
        <f>K144/$K$2/8*I149</f>
        <v>9949.5967741935474</v>
      </c>
      <c r="L149" s="54"/>
      <c r="N149" s="71"/>
      <c r="O149" s="72" t="s">
        <v>49</v>
      </c>
      <c r="P149" s="72">
        <v>30</v>
      </c>
      <c r="Q149" s="72">
        <v>0</v>
      </c>
      <c r="R149" s="72">
        <f t="shared" si="32"/>
        <v>13</v>
      </c>
      <c r="S149" s="63"/>
      <c r="T149" s="72" t="s">
        <v>49</v>
      </c>
      <c r="U149" s="102">
        <f t="shared" si="33"/>
        <v>0</v>
      </c>
      <c r="V149" s="74"/>
      <c r="W149" s="102">
        <f t="shared" si="34"/>
        <v>0</v>
      </c>
      <c r="X149" s="74"/>
      <c r="Y149" s="102">
        <f t="shared" si="35"/>
        <v>0</v>
      </c>
      <c r="Z149" s="76"/>
    </row>
    <row r="150" spans="1:28" s="29" customFormat="1" ht="27.75" customHeight="1" x14ac:dyDescent="0.2">
      <c r="A150" s="30"/>
      <c r="B150" s="48" t="s">
        <v>7</v>
      </c>
      <c r="C150" s="39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F150" s="48" t="s">
        <v>65</v>
      </c>
      <c r="G150" s="43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0</v>
      </c>
      <c r="H150" s="47"/>
      <c r="I150" s="387" t="s">
        <v>69</v>
      </c>
      <c r="J150" s="388"/>
      <c r="K150" s="53">
        <f>K148+K149</f>
        <v>44949.596774193546</v>
      </c>
      <c r="L150" s="54"/>
      <c r="N150" s="71"/>
      <c r="O150" s="72" t="s">
        <v>50</v>
      </c>
      <c r="P150" s="72">
        <v>30</v>
      </c>
      <c r="Q150" s="72">
        <v>1</v>
      </c>
      <c r="R150" s="72">
        <f t="shared" si="32"/>
        <v>12</v>
      </c>
      <c r="S150" s="63"/>
      <c r="T150" s="72" t="s">
        <v>50</v>
      </c>
      <c r="U150" s="102">
        <f t="shared" si="33"/>
        <v>0</v>
      </c>
      <c r="V150" s="74"/>
      <c r="W150" s="102">
        <f t="shared" si="34"/>
        <v>0</v>
      </c>
      <c r="X150" s="74"/>
      <c r="Y150" s="102">
        <f t="shared" si="35"/>
        <v>0</v>
      </c>
      <c r="Z150" s="76"/>
    </row>
    <row r="151" spans="1:28" s="29" customFormat="1" ht="27.75" customHeight="1" x14ac:dyDescent="0.2">
      <c r="A151" s="30"/>
      <c r="B151" s="48" t="s">
        <v>6</v>
      </c>
      <c r="C151" s="39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F151" s="48" t="s">
        <v>21</v>
      </c>
      <c r="G151" s="4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47"/>
      <c r="I151" s="387" t="s">
        <v>70</v>
      </c>
      <c r="J151" s="388"/>
      <c r="K151" s="43">
        <f>G151</f>
        <v>0</v>
      </c>
      <c r="L151" s="55"/>
      <c r="N151" s="71"/>
      <c r="O151" s="72" t="s">
        <v>51</v>
      </c>
      <c r="P151" s="72"/>
      <c r="Q151" s="72"/>
      <c r="R151" s="72" t="str">
        <f t="shared" si="32"/>
        <v/>
      </c>
      <c r="S151" s="63"/>
      <c r="T151" s="72" t="s">
        <v>51</v>
      </c>
      <c r="U151" s="102">
        <f>Y150</f>
        <v>0</v>
      </c>
      <c r="V151" s="74"/>
      <c r="W151" s="102">
        <f t="shared" si="34"/>
        <v>0</v>
      </c>
      <c r="X151" s="74"/>
      <c r="Y151" s="102">
        <f t="shared" si="35"/>
        <v>0</v>
      </c>
      <c r="Z151" s="76"/>
    </row>
    <row r="152" spans="1:28" s="29" customFormat="1" ht="27.75" customHeight="1" x14ac:dyDescent="0.2">
      <c r="A152" s="30"/>
      <c r="B152" s="318" t="s">
        <v>68</v>
      </c>
      <c r="C152" s="39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F152" s="318" t="s">
        <v>210</v>
      </c>
      <c r="G152" s="43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0</v>
      </c>
      <c r="I152" s="382" t="s">
        <v>63</v>
      </c>
      <c r="J152" s="384"/>
      <c r="K152" s="57">
        <f>K150-K151</f>
        <v>44949.596774193546</v>
      </c>
      <c r="L152" s="58"/>
      <c r="N152" s="71"/>
      <c r="O152" s="72" t="s">
        <v>56</v>
      </c>
      <c r="P152" s="72"/>
      <c r="Q152" s="72"/>
      <c r="R152" s="72">
        <v>0</v>
      </c>
      <c r="S152" s="63"/>
      <c r="T152" s="72" t="s">
        <v>56</v>
      </c>
      <c r="U152" s="102" t="str">
        <f>IF($J$1="September",Y151,"")</f>
        <v/>
      </c>
      <c r="V152" s="74"/>
      <c r="W152" s="102" t="str">
        <f t="shared" si="34"/>
        <v/>
      </c>
      <c r="X152" s="74"/>
      <c r="Y152" s="102" t="str">
        <f t="shared" si="35"/>
        <v/>
      </c>
      <c r="Z152" s="76"/>
    </row>
    <row r="153" spans="1:28" s="29" customFormat="1" ht="27.75" customHeight="1" x14ac:dyDescent="0.2">
      <c r="A153" s="30"/>
      <c r="L153" s="46"/>
      <c r="N153" s="71"/>
      <c r="O153" s="72" t="s">
        <v>52</v>
      </c>
      <c r="P153" s="72"/>
      <c r="Q153" s="72"/>
      <c r="R153" s="72">
        <v>0</v>
      </c>
      <c r="S153" s="63"/>
      <c r="T153" s="72" t="s">
        <v>52</v>
      </c>
      <c r="U153" s="102" t="str">
        <f>IF($J$1="October",Y152,"")</f>
        <v/>
      </c>
      <c r="V153" s="74"/>
      <c r="W153" s="102" t="str">
        <f t="shared" si="34"/>
        <v/>
      </c>
      <c r="X153" s="74"/>
      <c r="Y153" s="102" t="str">
        <f t="shared" si="35"/>
        <v/>
      </c>
      <c r="Z153" s="76"/>
    </row>
    <row r="154" spans="1:28" s="29" customFormat="1" ht="27.75" customHeight="1" x14ac:dyDescent="0.35">
      <c r="A154" s="30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46"/>
      <c r="N154" s="71"/>
      <c r="O154" s="72" t="s">
        <v>57</v>
      </c>
      <c r="P154" s="72"/>
      <c r="Q154" s="72"/>
      <c r="R154" s="72" t="str">
        <f t="shared" si="32"/>
        <v/>
      </c>
      <c r="S154" s="63"/>
      <c r="T154" s="72" t="s">
        <v>57</v>
      </c>
      <c r="U154" s="102" t="str">
        <f>Y153</f>
        <v/>
      </c>
      <c r="V154" s="74"/>
      <c r="W154" s="102" t="str">
        <f t="shared" si="34"/>
        <v/>
      </c>
      <c r="X154" s="74"/>
      <c r="Y154" s="102" t="str">
        <f t="shared" si="35"/>
        <v/>
      </c>
      <c r="Z154" s="76"/>
    </row>
    <row r="155" spans="1:28" s="29" customFormat="1" ht="27.75" customHeight="1" thickBot="1" x14ac:dyDescent="0.4">
      <c r="A155" s="5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61"/>
      <c r="N155" s="71"/>
      <c r="O155" s="72" t="s">
        <v>58</v>
      </c>
      <c r="P155" s="72"/>
      <c r="Q155" s="72"/>
      <c r="R155" s="72" t="str">
        <f t="shared" si="32"/>
        <v/>
      </c>
      <c r="S155" s="63"/>
      <c r="T155" s="72" t="s">
        <v>58</v>
      </c>
      <c r="U155" s="102" t="str">
        <f>Y154</f>
        <v/>
      </c>
      <c r="V155" s="74"/>
      <c r="W155" s="102" t="str">
        <f t="shared" si="34"/>
        <v/>
      </c>
      <c r="X155" s="74"/>
      <c r="Y155" s="102" t="str">
        <f t="shared" si="35"/>
        <v/>
      </c>
      <c r="Z155" s="76"/>
    </row>
    <row r="156" spans="1:28" s="94" customFormat="1" ht="27.75" customHeight="1" thickBot="1" x14ac:dyDescent="0.25"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8" s="29" customFormat="1" ht="27.75" customHeight="1" thickBot="1" x14ac:dyDescent="0.25">
      <c r="A157" s="389" t="s">
        <v>40</v>
      </c>
      <c r="B157" s="390"/>
      <c r="C157" s="390"/>
      <c r="D157" s="390"/>
      <c r="E157" s="390"/>
      <c r="F157" s="390"/>
      <c r="G157" s="390"/>
      <c r="H157" s="390"/>
      <c r="I157" s="390"/>
      <c r="J157" s="390"/>
      <c r="K157" s="390"/>
      <c r="L157" s="391"/>
      <c r="M157" s="28"/>
      <c r="N157" s="64"/>
      <c r="O157" s="377" t="s">
        <v>42</v>
      </c>
      <c r="P157" s="378"/>
      <c r="Q157" s="378"/>
      <c r="R157" s="379"/>
      <c r="S157" s="65"/>
      <c r="T157" s="377" t="s">
        <v>43</v>
      </c>
      <c r="U157" s="378"/>
      <c r="V157" s="378"/>
      <c r="W157" s="378"/>
      <c r="X157" s="378"/>
      <c r="Y157" s="379"/>
      <c r="Z157" s="66"/>
      <c r="AA157" s="28"/>
    </row>
    <row r="158" spans="1:28" s="29" customFormat="1" ht="27.75" customHeight="1" x14ac:dyDescent="0.2">
      <c r="A158" s="30"/>
      <c r="C158" s="386" t="s">
        <v>83</v>
      </c>
      <c r="D158" s="386"/>
      <c r="E158" s="386"/>
      <c r="F158" s="386"/>
      <c r="G158" s="31" t="str">
        <f>$J$1</f>
        <v>August</v>
      </c>
      <c r="H158" s="385">
        <f>$K$1</f>
        <v>2023</v>
      </c>
      <c r="I158" s="385"/>
      <c r="K158" s="32"/>
      <c r="L158" s="33"/>
      <c r="M158" s="32"/>
      <c r="N158" s="67"/>
      <c r="O158" s="68" t="s">
        <v>53</v>
      </c>
      <c r="P158" s="68" t="s">
        <v>7</v>
      </c>
      <c r="Q158" s="68" t="s">
        <v>6</v>
      </c>
      <c r="R158" s="68" t="s">
        <v>54</v>
      </c>
      <c r="S158" s="69"/>
      <c r="T158" s="68" t="s">
        <v>53</v>
      </c>
      <c r="U158" s="68" t="s">
        <v>55</v>
      </c>
      <c r="V158" s="68" t="s">
        <v>20</v>
      </c>
      <c r="W158" s="68" t="s">
        <v>19</v>
      </c>
      <c r="X158" s="68" t="s">
        <v>21</v>
      </c>
      <c r="Y158" s="68" t="s">
        <v>59</v>
      </c>
      <c r="Z158" s="70"/>
      <c r="AA158" s="32"/>
    </row>
    <row r="159" spans="1:28" s="29" customFormat="1" ht="27.75" customHeight="1" x14ac:dyDescent="0.2">
      <c r="A159" s="30"/>
      <c r="D159" s="35"/>
      <c r="E159" s="35"/>
      <c r="F159" s="35"/>
      <c r="G159" s="35"/>
      <c r="H159" s="35"/>
      <c r="J159" s="36" t="s">
        <v>1</v>
      </c>
      <c r="K159" s="37">
        <v>30000</v>
      </c>
      <c r="L159" s="38"/>
      <c r="N159" s="71"/>
      <c r="O159" s="72" t="s">
        <v>45</v>
      </c>
      <c r="P159" s="72">
        <v>31</v>
      </c>
      <c r="Q159" s="72">
        <v>0</v>
      </c>
      <c r="R159" s="72">
        <f>15-Q159+8</f>
        <v>23</v>
      </c>
      <c r="S159" s="73"/>
      <c r="T159" s="72" t="s">
        <v>45</v>
      </c>
      <c r="U159" s="74">
        <v>68167</v>
      </c>
      <c r="V159" s="74">
        <v>700</v>
      </c>
      <c r="W159" s="74">
        <f>V159+U159</f>
        <v>68867</v>
      </c>
      <c r="X159" s="74">
        <v>5000</v>
      </c>
      <c r="Y159" s="74">
        <f>W159-X159</f>
        <v>63867</v>
      </c>
      <c r="Z159" s="70"/>
    </row>
    <row r="160" spans="1:28" s="29" customFormat="1" ht="27.75" customHeight="1" x14ac:dyDescent="0.2">
      <c r="A160" s="30"/>
      <c r="B160" s="29" t="s">
        <v>0</v>
      </c>
      <c r="C160" s="40" t="s">
        <v>23</v>
      </c>
      <c r="H160" s="41"/>
      <c r="I160" s="35"/>
      <c r="L160" s="42"/>
      <c r="M160" s="28"/>
      <c r="N160" s="75"/>
      <c r="O160" s="72" t="s">
        <v>71</v>
      </c>
      <c r="P160" s="72">
        <v>25</v>
      </c>
      <c r="Q160" s="72">
        <v>3</v>
      </c>
      <c r="R160" s="72">
        <f t="shared" ref="R160:R170" si="36">IF(Q160="","",R159-Q160)</f>
        <v>20</v>
      </c>
      <c r="S160" s="63"/>
      <c r="T160" s="72" t="s">
        <v>71</v>
      </c>
      <c r="U160" s="102">
        <f t="shared" ref="U160:U165" si="37">Y159</f>
        <v>63867</v>
      </c>
      <c r="V160" s="74">
        <v>3000</v>
      </c>
      <c r="W160" s="102">
        <f>IF(U160="","",U160+V160)</f>
        <v>66867</v>
      </c>
      <c r="X160" s="74">
        <v>7000</v>
      </c>
      <c r="Y160" s="102">
        <f>IF(W160="","",W160-X160)</f>
        <v>59867</v>
      </c>
      <c r="Z160" s="76"/>
      <c r="AA160" s="28"/>
    </row>
    <row r="161" spans="1:27" s="29" customFormat="1" ht="27.75" customHeight="1" x14ac:dyDescent="0.2">
      <c r="A161" s="30"/>
      <c r="B161" s="44" t="s">
        <v>41</v>
      </c>
      <c r="C161" s="45"/>
      <c r="F161" s="382" t="s">
        <v>43</v>
      </c>
      <c r="G161" s="384"/>
      <c r="I161" s="382" t="s">
        <v>44</v>
      </c>
      <c r="J161" s="383"/>
      <c r="K161" s="384"/>
      <c r="L161" s="46"/>
      <c r="N161" s="71"/>
      <c r="O161" s="72" t="s">
        <v>46</v>
      </c>
      <c r="P161" s="72">
        <v>28</v>
      </c>
      <c r="Q161" s="72">
        <v>3</v>
      </c>
      <c r="R161" s="72">
        <f t="shared" si="36"/>
        <v>17</v>
      </c>
      <c r="S161" s="63"/>
      <c r="T161" s="72" t="s">
        <v>46</v>
      </c>
      <c r="U161" s="102">
        <f t="shared" si="37"/>
        <v>59867</v>
      </c>
      <c r="V161" s="74">
        <v>10000</v>
      </c>
      <c r="W161" s="102">
        <f t="shared" ref="W161:W170" si="38">IF(U161="","",U161+V161)</f>
        <v>69867</v>
      </c>
      <c r="X161" s="74"/>
      <c r="Y161" s="102">
        <f t="shared" ref="Y161:Y170" si="39">IF(W161="","",W161-X161)</f>
        <v>69867</v>
      </c>
      <c r="Z161" s="76"/>
    </row>
    <row r="162" spans="1:27" s="29" customFormat="1" ht="27.75" customHeight="1" x14ac:dyDescent="0.2">
      <c r="A162" s="30"/>
      <c r="H162" s="47"/>
      <c r="L162" s="34"/>
      <c r="N162" s="71"/>
      <c r="O162" s="72" t="s">
        <v>47</v>
      </c>
      <c r="P162" s="72">
        <v>29</v>
      </c>
      <c r="Q162" s="72">
        <v>1</v>
      </c>
      <c r="R162" s="72">
        <f t="shared" si="36"/>
        <v>16</v>
      </c>
      <c r="S162" s="63"/>
      <c r="T162" s="72" t="s">
        <v>47</v>
      </c>
      <c r="U162" s="102">
        <f t="shared" si="37"/>
        <v>69867</v>
      </c>
      <c r="V162" s="74"/>
      <c r="W162" s="102">
        <f t="shared" si="38"/>
        <v>69867</v>
      </c>
      <c r="X162" s="74"/>
      <c r="Y162" s="102">
        <f t="shared" si="39"/>
        <v>69867</v>
      </c>
      <c r="Z162" s="76"/>
    </row>
    <row r="163" spans="1:27" s="29" customFormat="1" ht="27.75" customHeight="1" x14ac:dyDescent="0.2">
      <c r="A163" s="30"/>
      <c r="B163" s="380" t="s">
        <v>42</v>
      </c>
      <c r="C163" s="381"/>
      <c r="F163" s="48" t="s">
        <v>64</v>
      </c>
      <c r="G163" s="4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62867</v>
      </c>
      <c r="H163" s="47"/>
      <c r="I163" s="49">
        <f>IF(C167&gt;0,$K$2,C165)</f>
        <v>31</v>
      </c>
      <c r="J163" s="50" t="s">
        <v>61</v>
      </c>
      <c r="K163" s="51">
        <f>K159/$K$2*I163</f>
        <v>30000</v>
      </c>
      <c r="L163" s="52"/>
      <c r="N163" s="71"/>
      <c r="O163" s="72" t="s">
        <v>48</v>
      </c>
      <c r="P163" s="72">
        <v>31</v>
      </c>
      <c r="Q163" s="72">
        <v>0</v>
      </c>
      <c r="R163" s="72">
        <f t="shared" si="36"/>
        <v>16</v>
      </c>
      <c r="S163" s="63"/>
      <c r="T163" s="72" t="s">
        <v>48</v>
      </c>
      <c r="U163" s="102">
        <f t="shared" si="37"/>
        <v>69867</v>
      </c>
      <c r="V163" s="74">
        <v>1000</v>
      </c>
      <c r="W163" s="102">
        <f t="shared" si="38"/>
        <v>70867</v>
      </c>
      <c r="X163" s="74">
        <v>8000</v>
      </c>
      <c r="Y163" s="102">
        <f t="shared" si="39"/>
        <v>62867</v>
      </c>
      <c r="Z163" s="76"/>
    </row>
    <row r="164" spans="1:27" s="29" customFormat="1" ht="27.75" customHeight="1" x14ac:dyDescent="0.2">
      <c r="A164" s="30"/>
      <c r="B164" s="39"/>
      <c r="C164" s="39"/>
      <c r="F164" s="48" t="s">
        <v>20</v>
      </c>
      <c r="G164" s="4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47"/>
      <c r="I164" s="49">
        <v>64</v>
      </c>
      <c r="J164" s="50" t="s">
        <v>62</v>
      </c>
      <c r="K164" s="53">
        <f>K159/$K$2/8*I164</f>
        <v>7741.9354838709678</v>
      </c>
      <c r="L164" s="54"/>
      <c r="N164" s="71"/>
      <c r="O164" s="72" t="s">
        <v>49</v>
      </c>
      <c r="P164" s="72">
        <v>30</v>
      </c>
      <c r="Q164" s="72">
        <v>0</v>
      </c>
      <c r="R164" s="72">
        <f t="shared" si="36"/>
        <v>16</v>
      </c>
      <c r="S164" s="63"/>
      <c r="T164" s="72" t="s">
        <v>49</v>
      </c>
      <c r="U164" s="102">
        <f t="shared" si="37"/>
        <v>62867</v>
      </c>
      <c r="V164" s="74">
        <v>10000</v>
      </c>
      <c r="W164" s="102">
        <f t="shared" si="38"/>
        <v>72867</v>
      </c>
      <c r="X164" s="74">
        <v>10000</v>
      </c>
      <c r="Y164" s="102">
        <f t="shared" si="39"/>
        <v>62867</v>
      </c>
      <c r="Z164" s="76"/>
    </row>
    <row r="165" spans="1:27" s="29" customFormat="1" ht="27.75" customHeight="1" x14ac:dyDescent="0.2">
      <c r="A165" s="30"/>
      <c r="B165" s="48" t="s">
        <v>7</v>
      </c>
      <c r="C165" s="39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F165" s="48" t="s">
        <v>65</v>
      </c>
      <c r="G165" s="43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62867</v>
      </c>
      <c r="H165" s="47"/>
      <c r="I165" s="387" t="s">
        <v>69</v>
      </c>
      <c r="J165" s="388"/>
      <c r="K165" s="53">
        <f>K163+K164</f>
        <v>37741.93548387097</v>
      </c>
      <c r="L165" s="54"/>
      <c r="N165" s="71"/>
      <c r="O165" s="72" t="s">
        <v>50</v>
      </c>
      <c r="P165" s="72">
        <v>30</v>
      </c>
      <c r="Q165" s="72">
        <v>1</v>
      </c>
      <c r="R165" s="72">
        <f t="shared" si="36"/>
        <v>15</v>
      </c>
      <c r="S165" s="63"/>
      <c r="T165" s="72" t="s">
        <v>50</v>
      </c>
      <c r="U165" s="102">
        <f t="shared" si="37"/>
        <v>62867</v>
      </c>
      <c r="V165" s="74"/>
      <c r="W165" s="102">
        <f t="shared" si="38"/>
        <v>62867</v>
      </c>
      <c r="X165" s="74"/>
      <c r="Y165" s="102">
        <f t="shared" si="39"/>
        <v>62867</v>
      </c>
      <c r="Z165" s="76"/>
    </row>
    <row r="166" spans="1:27" s="29" customFormat="1" ht="27.75" customHeight="1" x14ac:dyDescent="0.2">
      <c r="A166" s="30"/>
      <c r="B166" s="48" t="s">
        <v>6</v>
      </c>
      <c r="C166" s="39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F166" s="48" t="s">
        <v>21</v>
      </c>
      <c r="G166" s="4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10000</v>
      </c>
      <c r="H166" s="47"/>
      <c r="I166" s="387" t="s">
        <v>70</v>
      </c>
      <c r="J166" s="388"/>
      <c r="K166" s="43">
        <f>G166</f>
        <v>10000</v>
      </c>
      <c r="L166" s="55"/>
      <c r="N166" s="71"/>
      <c r="O166" s="72" t="s">
        <v>51</v>
      </c>
      <c r="P166" s="72">
        <v>30</v>
      </c>
      <c r="Q166" s="72">
        <v>1</v>
      </c>
      <c r="R166" s="72">
        <f t="shared" si="36"/>
        <v>14</v>
      </c>
      <c r="S166" s="63"/>
      <c r="T166" s="72" t="s">
        <v>51</v>
      </c>
      <c r="U166" s="102">
        <f>Y165</f>
        <v>62867</v>
      </c>
      <c r="V166" s="74"/>
      <c r="W166" s="102">
        <f t="shared" si="38"/>
        <v>62867</v>
      </c>
      <c r="X166" s="74">
        <v>10000</v>
      </c>
      <c r="Y166" s="102">
        <f t="shared" si="39"/>
        <v>52867</v>
      </c>
      <c r="Z166" s="76"/>
    </row>
    <row r="167" spans="1:27" s="29" customFormat="1" ht="27.75" customHeight="1" x14ac:dyDescent="0.2">
      <c r="A167" s="30"/>
      <c r="B167" s="318" t="s">
        <v>68</v>
      </c>
      <c r="C167" s="39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14</v>
      </c>
      <c r="F167" s="318" t="s">
        <v>210</v>
      </c>
      <c r="G167" s="43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52867</v>
      </c>
      <c r="I167" s="382" t="s">
        <v>63</v>
      </c>
      <c r="J167" s="384"/>
      <c r="K167" s="57">
        <f>K165-K166</f>
        <v>27741.93548387097</v>
      </c>
      <c r="L167" s="58"/>
      <c r="N167" s="71"/>
      <c r="O167" s="72" t="s">
        <v>56</v>
      </c>
      <c r="P167" s="72"/>
      <c r="Q167" s="72"/>
      <c r="R167" s="72">
        <v>0</v>
      </c>
      <c r="S167" s="63"/>
      <c r="T167" s="72" t="s">
        <v>56</v>
      </c>
      <c r="U167" s="102">
        <v>0</v>
      </c>
      <c r="V167" s="74"/>
      <c r="W167" s="102">
        <f t="shared" si="38"/>
        <v>0</v>
      </c>
      <c r="X167" s="74"/>
      <c r="Y167" s="102">
        <f t="shared" si="39"/>
        <v>0</v>
      </c>
      <c r="Z167" s="76"/>
    </row>
    <row r="168" spans="1:27" s="29" customFormat="1" ht="27.75" customHeight="1" x14ac:dyDescent="0.2">
      <c r="A168" s="30"/>
      <c r="L168" s="46"/>
      <c r="N168" s="71"/>
      <c r="O168" s="72" t="s">
        <v>52</v>
      </c>
      <c r="P168" s="72"/>
      <c r="Q168" s="72"/>
      <c r="R168" s="72">
        <v>0</v>
      </c>
      <c r="S168" s="63"/>
      <c r="T168" s="72" t="s">
        <v>52</v>
      </c>
      <c r="U168" s="102" t="str">
        <f>IF($J$1="October",Y167,"")</f>
        <v/>
      </c>
      <c r="V168" s="74"/>
      <c r="W168" s="102" t="str">
        <f t="shared" si="38"/>
        <v/>
      </c>
      <c r="X168" s="74"/>
      <c r="Y168" s="102" t="str">
        <f t="shared" si="39"/>
        <v/>
      </c>
      <c r="Z168" s="76"/>
    </row>
    <row r="169" spans="1:27" s="29" customFormat="1" ht="27.75" customHeight="1" x14ac:dyDescent="0.35">
      <c r="A169" s="30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46"/>
      <c r="N169" s="71"/>
      <c r="O169" s="72" t="s">
        <v>57</v>
      </c>
      <c r="P169" s="72"/>
      <c r="Q169" s="72"/>
      <c r="R169" s="72" t="str">
        <f t="shared" si="36"/>
        <v/>
      </c>
      <c r="S169" s="63"/>
      <c r="T169" s="72" t="s">
        <v>57</v>
      </c>
      <c r="U169" s="102" t="str">
        <f>Y168</f>
        <v/>
      </c>
      <c r="V169" s="74"/>
      <c r="W169" s="102" t="str">
        <f t="shared" si="38"/>
        <v/>
      </c>
      <c r="X169" s="74"/>
      <c r="Y169" s="102" t="str">
        <f t="shared" si="39"/>
        <v/>
      </c>
      <c r="Z169" s="76"/>
    </row>
    <row r="170" spans="1:27" s="29" customFormat="1" ht="27.75" customHeight="1" thickBot="1" x14ac:dyDescent="0.4">
      <c r="A170" s="59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61"/>
      <c r="N170" s="71"/>
      <c r="O170" s="72" t="s">
        <v>58</v>
      </c>
      <c r="P170" s="72"/>
      <c r="Q170" s="72"/>
      <c r="R170" s="72" t="str">
        <f t="shared" si="36"/>
        <v/>
      </c>
      <c r="S170" s="63"/>
      <c r="T170" s="72" t="s">
        <v>58</v>
      </c>
      <c r="U170" s="102" t="str">
        <f>Y169</f>
        <v/>
      </c>
      <c r="V170" s="74"/>
      <c r="W170" s="102" t="str">
        <f t="shared" si="38"/>
        <v/>
      </c>
      <c r="X170" s="74"/>
      <c r="Y170" s="102" t="str">
        <f t="shared" si="39"/>
        <v/>
      </c>
      <c r="Z170" s="76"/>
    </row>
    <row r="171" spans="1:27" s="94" customFormat="1" ht="27.75" customHeight="1" thickBot="1" x14ac:dyDescent="0.25"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7" s="29" customFormat="1" ht="27.75" customHeight="1" thickBot="1" x14ac:dyDescent="0.25">
      <c r="A172" s="389" t="s">
        <v>40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1"/>
      <c r="M172" s="28"/>
      <c r="N172" s="64"/>
      <c r="O172" s="377" t="s">
        <v>42</v>
      </c>
      <c r="P172" s="378"/>
      <c r="Q172" s="378"/>
      <c r="R172" s="379"/>
      <c r="S172" s="65"/>
      <c r="T172" s="377" t="s">
        <v>43</v>
      </c>
      <c r="U172" s="378"/>
      <c r="V172" s="378"/>
      <c r="W172" s="378"/>
      <c r="X172" s="378"/>
      <c r="Y172" s="379"/>
      <c r="Z172" s="66"/>
      <c r="AA172" s="28"/>
    </row>
    <row r="173" spans="1:27" s="29" customFormat="1" ht="27.75" customHeight="1" x14ac:dyDescent="0.2">
      <c r="A173" s="30"/>
      <c r="C173" s="386" t="s">
        <v>83</v>
      </c>
      <c r="D173" s="386"/>
      <c r="E173" s="386"/>
      <c r="F173" s="386"/>
      <c r="G173" s="31" t="str">
        <f>$J$1</f>
        <v>August</v>
      </c>
      <c r="H173" s="385">
        <f>$K$1</f>
        <v>2023</v>
      </c>
      <c r="I173" s="385"/>
      <c r="K173" s="32"/>
      <c r="L173" s="33"/>
      <c r="M173" s="32"/>
      <c r="N173" s="67"/>
      <c r="O173" s="68" t="s">
        <v>53</v>
      </c>
      <c r="P173" s="68" t="s">
        <v>7</v>
      </c>
      <c r="Q173" s="68" t="s">
        <v>6</v>
      </c>
      <c r="R173" s="68" t="s">
        <v>54</v>
      </c>
      <c r="S173" s="69"/>
      <c r="T173" s="68" t="s">
        <v>53</v>
      </c>
      <c r="U173" s="68" t="s">
        <v>55</v>
      </c>
      <c r="V173" s="68" t="s">
        <v>20</v>
      </c>
      <c r="W173" s="68" t="s">
        <v>19</v>
      </c>
      <c r="X173" s="68" t="s">
        <v>21</v>
      </c>
      <c r="Y173" s="68" t="s">
        <v>59</v>
      </c>
      <c r="Z173" s="70"/>
      <c r="AA173" s="32"/>
    </row>
    <row r="174" spans="1:27" s="29" customFormat="1" ht="27.75" customHeight="1" x14ac:dyDescent="0.2">
      <c r="A174" s="30"/>
      <c r="D174" s="35"/>
      <c r="E174" s="35"/>
      <c r="F174" s="35"/>
      <c r="G174" s="35"/>
      <c r="H174" s="35"/>
      <c r="J174" s="36" t="s">
        <v>1</v>
      </c>
      <c r="K174" s="37">
        <v>60000</v>
      </c>
      <c r="L174" s="38"/>
      <c r="N174" s="71"/>
      <c r="O174" s="72" t="s">
        <v>45</v>
      </c>
      <c r="P174" s="72">
        <v>30</v>
      </c>
      <c r="Q174" s="72">
        <v>1</v>
      </c>
      <c r="R174" s="72">
        <f>15-Q174+27</f>
        <v>41</v>
      </c>
      <c r="S174" s="73"/>
      <c r="T174" s="72" t="s">
        <v>45</v>
      </c>
      <c r="U174" s="74">
        <v>108200</v>
      </c>
      <c r="V174" s="74"/>
      <c r="W174" s="74">
        <f>V174+U174</f>
        <v>108200</v>
      </c>
      <c r="X174" s="74">
        <v>5000</v>
      </c>
      <c r="Y174" s="74">
        <f>W174-X174</f>
        <v>103200</v>
      </c>
      <c r="Z174" s="70"/>
    </row>
    <row r="175" spans="1:27" s="29" customFormat="1" ht="27.75" customHeight="1" x14ac:dyDescent="0.2">
      <c r="A175" s="30"/>
      <c r="B175" s="29" t="s">
        <v>0</v>
      </c>
      <c r="C175" s="40" t="s">
        <v>73</v>
      </c>
      <c r="H175" s="41"/>
      <c r="I175" s="35"/>
      <c r="L175" s="42"/>
      <c r="M175" s="28"/>
      <c r="N175" s="75"/>
      <c r="O175" s="72" t="s">
        <v>71</v>
      </c>
      <c r="P175" s="72">
        <v>28</v>
      </c>
      <c r="Q175" s="72">
        <v>0</v>
      </c>
      <c r="R175" s="72">
        <f t="shared" ref="R175:R185" si="40">IF(Q175="","",R174-Q175)</f>
        <v>41</v>
      </c>
      <c r="S175" s="63"/>
      <c r="T175" s="72" t="s">
        <v>71</v>
      </c>
      <c r="U175" s="102">
        <f t="shared" ref="U175:U180" si="41">Y174</f>
        <v>103200</v>
      </c>
      <c r="V175" s="74"/>
      <c r="W175" s="102">
        <f>IF(U175="","",U175+V175)</f>
        <v>103200</v>
      </c>
      <c r="X175" s="74">
        <v>5000</v>
      </c>
      <c r="Y175" s="102">
        <f>IF(W175="","",W175-X175)</f>
        <v>98200</v>
      </c>
      <c r="Z175" s="76"/>
      <c r="AA175" s="28"/>
    </row>
    <row r="176" spans="1:27" s="29" customFormat="1" ht="27.75" customHeight="1" x14ac:dyDescent="0.2">
      <c r="A176" s="30"/>
      <c r="B176" s="44" t="s">
        <v>41</v>
      </c>
      <c r="C176" s="45"/>
      <c r="F176" s="382" t="s">
        <v>43</v>
      </c>
      <c r="G176" s="384"/>
      <c r="I176" s="382" t="s">
        <v>44</v>
      </c>
      <c r="J176" s="383"/>
      <c r="K176" s="384"/>
      <c r="L176" s="46"/>
      <c r="N176" s="71"/>
      <c r="O176" s="72" t="s">
        <v>46</v>
      </c>
      <c r="P176" s="72">
        <v>29</v>
      </c>
      <c r="Q176" s="72">
        <v>2</v>
      </c>
      <c r="R176" s="72">
        <f t="shared" si="40"/>
        <v>39</v>
      </c>
      <c r="S176" s="63"/>
      <c r="T176" s="72" t="s">
        <v>46</v>
      </c>
      <c r="U176" s="102">
        <f t="shared" si="41"/>
        <v>98200</v>
      </c>
      <c r="V176" s="74"/>
      <c r="W176" s="102">
        <f t="shared" ref="W176:W185" si="42">IF(U176="","",U176+V176)</f>
        <v>98200</v>
      </c>
      <c r="X176" s="74">
        <v>5000</v>
      </c>
      <c r="Y176" s="102">
        <f t="shared" ref="Y176:Y185" si="43">IF(W176="","",W176-X176)</f>
        <v>93200</v>
      </c>
      <c r="Z176" s="76"/>
    </row>
    <row r="177" spans="1:27" s="29" customFormat="1" ht="27.75" customHeight="1" x14ac:dyDescent="0.2">
      <c r="A177" s="30"/>
      <c r="H177" s="47"/>
      <c r="L177" s="34"/>
      <c r="N177" s="71"/>
      <c r="O177" s="72" t="s">
        <v>47</v>
      </c>
      <c r="P177" s="72">
        <v>29</v>
      </c>
      <c r="Q177" s="72">
        <v>1</v>
      </c>
      <c r="R177" s="72">
        <f t="shared" si="40"/>
        <v>38</v>
      </c>
      <c r="S177" s="63"/>
      <c r="T177" s="72" t="s">
        <v>47</v>
      </c>
      <c r="U177" s="102">
        <f t="shared" si="41"/>
        <v>93200</v>
      </c>
      <c r="V177" s="74"/>
      <c r="W177" s="102">
        <f t="shared" si="42"/>
        <v>93200</v>
      </c>
      <c r="X177" s="74">
        <v>5000</v>
      </c>
      <c r="Y177" s="102">
        <f t="shared" si="43"/>
        <v>88200</v>
      </c>
      <c r="Z177" s="76"/>
    </row>
    <row r="178" spans="1:27" s="29" customFormat="1" ht="27.75" customHeight="1" x14ac:dyDescent="0.2">
      <c r="A178" s="30"/>
      <c r="B178" s="380" t="s">
        <v>42</v>
      </c>
      <c r="C178" s="381"/>
      <c r="F178" s="48" t="s">
        <v>64</v>
      </c>
      <c r="G178" s="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73200</v>
      </c>
      <c r="H178" s="47"/>
      <c r="I178" s="49">
        <f>IF(C182&gt;=C181,$K$2,C180+C182)</f>
        <v>31</v>
      </c>
      <c r="J178" s="50" t="s">
        <v>61</v>
      </c>
      <c r="K178" s="51">
        <f>K174/$K$2*I178</f>
        <v>60000</v>
      </c>
      <c r="L178" s="52"/>
      <c r="N178" s="71"/>
      <c r="O178" s="72" t="s">
        <v>48</v>
      </c>
      <c r="P178" s="72">
        <v>31</v>
      </c>
      <c r="Q178" s="72">
        <v>0</v>
      </c>
      <c r="R178" s="72">
        <f t="shared" si="40"/>
        <v>38</v>
      </c>
      <c r="S178" s="63"/>
      <c r="T178" s="72" t="s">
        <v>48</v>
      </c>
      <c r="U178" s="102">
        <f t="shared" si="41"/>
        <v>88200</v>
      </c>
      <c r="V178" s="74"/>
      <c r="W178" s="102">
        <f t="shared" si="42"/>
        <v>88200</v>
      </c>
      <c r="X178" s="74">
        <v>5000</v>
      </c>
      <c r="Y178" s="102">
        <f t="shared" si="43"/>
        <v>83200</v>
      </c>
      <c r="Z178" s="76"/>
    </row>
    <row r="179" spans="1:27" s="29" customFormat="1" ht="27.75" customHeight="1" x14ac:dyDescent="0.2">
      <c r="A179" s="30"/>
      <c r="B179" s="39"/>
      <c r="C179" s="39"/>
      <c r="F179" s="48" t="s">
        <v>20</v>
      </c>
      <c r="G179" s="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47"/>
      <c r="I179" s="49">
        <v>8</v>
      </c>
      <c r="J179" s="50" t="s">
        <v>62</v>
      </c>
      <c r="K179" s="53">
        <f>K174/$K$2/8*I179</f>
        <v>1935.483870967742</v>
      </c>
      <c r="L179" s="54"/>
      <c r="N179" s="71"/>
      <c r="O179" s="72" t="s">
        <v>49</v>
      </c>
      <c r="P179" s="72">
        <v>30</v>
      </c>
      <c r="Q179" s="72">
        <v>0</v>
      </c>
      <c r="R179" s="72">
        <f t="shared" si="40"/>
        <v>38</v>
      </c>
      <c r="S179" s="63"/>
      <c r="T179" s="72" t="s">
        <v>49</v>
      </c>
      <c r="U179" s="102">
        <f t="shared" si="41"/>
        <v>83200</v>
      </c>
      <c r="V179" s="74">
        <v>50000</v>
      </c>
      <c r="W179" s="102">
        <f t="shared" si="42"/>
        <v>133200</v>
      </c>
      <c r="X179" s="74">
        <v>55000</v>
      </c>
      <c r="Y179" s="102">
        <f t="shared" si="43"/>
        <v>78200</v>
      </c>
      <c r="Z179" s="76"/>
    </row>
    <row r="180" spans="1:27" s="29" customFormat="1" ht="27.75" customHeight="1" x14ac:dyDescent="0.2">
      <c r="A180" s="30"/>
      <c r="B180" s="48" t="s">
        <v>7</v>
      </c>
      <c r="C180" s="39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F180" s="48" t="s">
        <v>65</v>
      </c>
      <c r="G180" s="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73200</v>
      </c>
      <c r="H180" s="47"/>
      <c r="I180" s="387" t="s">
        <v>69</v>
      </c>
      <c r="J180" s="388"/>
      <c r="K180" s="53">
        <f>K178+K179</f>
        <v>61935.483870967742</v>
      </c>
      <c r="L180" s="54"/>
      <c r="N180" s="71"/>
      <c r="O180" s="72" t="s">
        <v>50</v>
      </c>
      <c r="P180" s="72">
        <v>30</v>
      </c>
      <c r="Q180" s="72">
        <v>1</v>
      </c>
      <c r="R180" s="72">
        <f t="shared" si="40"/>
        <v>37</v>
      </c>
      <c r="S180" s="63"/>
      <c r="T180" s="72" t="s">
        <v>50</v>
      </c>
      <c r="U180" s="102">
        <f t="shared" si="41"/>
        <v>78200</v>
      </c>
      <c r="V180" s="74"/>
      <c r="W180" s="102">
        <f t="shared" si="42"/>
        <v>78200</v>
      </c>
      <c r="X180" s="74">
        <v>5000</v>
      </c>
      <c r="Y180" s="102">
        <f t="shared" si="43"/>
        <v>73200</v>
      </c>
      <c r="Z180" s="76"/>
    </row>
    <row r="181" spans="1:27" s="29" customFormat="1" ht="27.75" customHeight="1" x14ac:dyDescent="0.2">
      <c r="A181" s="30"/>
      <c r="B181" s="48" t="s">
        <v>6</v>
      </c>
      <c r="C181" s="39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3</v>
      </c>
      <c r="F181" s="48" t="s">
        <v>21</v>
      </c>
      <c r="G181" s="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7"/>
      <c r="I181" s="387" t="s">
        <v>70</v>
      </c>
      <c r="J181" s="388"/>
      <c r="K181" s="43">
        <f>G181</f>
        <v>5000</v>
      </c>
      <c r="L181" s="55"/>
      <c r="N181" s="71"/>
      <c r="O181" s="72" t="s">
        <v>51</v>
      </c>
      <c r="P181" s="72">
        <v>28</v>
      </c>
      <c r="Q181" s="72">
        <v>3</v>
      </c>
      <c r="R181" s="72">
        <f t="shared" si="40"/>
        <v>34</v>
      </c>
      <c r="S181" s="63"/>
      <c r="T181" s="72" t="s">
        <v>51</v>
      </c>
      <c r="U181" s="102">
        <f>Y180</f>
        <v>73200</v>
      </c>
      <c r="V181" s="74"/>
      <c r="W181" s="102">
        <f t="shared" si="42"/>
        <v>73200</v>
      </c>
      <c r="X181" s="74">
        <v>5000</v>
      </c>
      <c r="Y181" s="102">
        <f t="shared" si="43"/>
        <v>68200</v>
      </c>
      <c r="Z181" s="76"/>
    </row>
    <row r="182" spans="1:27" s="29" customFormat="1" ht="27.75" customHeight="1" x14ac:dyDescent="0.2">
      <c r="A182" s="30"/>
      <c r="B182" s="318" t="s">
        <v>68</v>
      </c>
      <c r="C182" s="39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34</v>
      </c>
      <c r="F182" s="318" t="s">
        <v>210</v>
      </c>
      <c r="G182" s="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68200</v>
      </c>
      <c r="I182" s="382" t="s">
        <v>63</v>
      </c>
      <c r="J182" s="384"/>
      <c r="K182" s="57">
        <f>K180-K181</f>
        <v>56935.483870967742</v>
      </c>
      <c r="L182" s="58"/>
      <c r="N182" s="71"/>
      <c r="O182" s="72" t="s">
        <v>56</v>
      </c>
      <c r="P182" s="72"/>
      <c r="Q182" s="72"/>
      <c r="R182" s="72">
        <v>0</v>
      </c>
      <c r="S182" s="63"/>
      <c r="T182" s="72" t="s">
        <v>56</v>
      </c>
      <c r="U182" s="102">
        <v>0</v>
      </c>
      <c r="V182" s="74"/>
      <c r="W182" s="102">
        <f t="shared" si="42"/>
        <v>0</v>
      </c>
      <c r="X182" s="74"/>
      <c r="Y182" s="102">
        <f t="shared" si="43"/>
        <v>0</v>
      </c>
      <c r="Z182" s="76"/>
    </row>
    <row r="183" spans="1:27" s="29" customFormat="1" ht="27.75" customHeight="1" x14ac:dyDescent="0.2">
      <c r="A183" s="30"/>
      <c r="L183" s="46"/>
      <c r="N183" s="71"/>
      <c r="O183" s="72" t="s">
        <v>52</v>
      </c>
      <c r="P183" s="72"/>
      <c r="Q183" s="72"/>
      <c r="R183" s="72">
        <v>0</v>
      </c>
      <c r="S183" s="63"/>
      <c r="T183" s="72" t="s">
        <v>52</v>
      </c>
      <c r="U183" s="102" t="str">
        <f>IF($J$1="October",Y182,"")</f>
        <v/>
      </c>
      <c r="V183" s="74"/>
      <c r="W183" s="102" t="str">
        <f t="shared" si="42"/>
        <v/>
      </c>
      <c r="X183" s="74"/>
      <c r="Y183" s="102" t="str">
        <f t="shared" si="43"/>
        <v/>
      </c>
      <c r="Z183" s="76"/>
    </row>
    <row r="184" spans="1:27" s="29" customFormat="1" ht="27.75" customHeight="1" x14ac:dyDescent="0.35">
      <c r="A184" s="30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46"/>
      <c r="N184" s="71"/>
      <c r="O184" s="72" t="s">
        <v>57</v>
      </c>
      <c r="P184" s="72"/>
      <c r="Q184" s="72"/>
      <c r="R184" s="72" t="str">
        <f t="shared" si="40"/>
        <v/>
      </c>
      <c r="S184" s="63"/>
      <c r="T184" s="72" t="s">
        <v>57</v>
      </c>
      <c r="U184" s="102"/>
      <c r="V184" s="74"/>
      <c r="W184" s="102" t="str">
        <f t="shared" si="42"/>
        <v/>
      </c>
      <c r="X184" s="74"/>
      <c r="Y184" s="102" t="str">
        <f t="shared" si="43"/>
        <v/>
      </c>
      <c r="Z184" s="76"/>
    </row>
    <row r="185" spans="1:27" s="29" customFormat="1" ht="27.75" customHeight="1" thickBot="1" x14ac:dyDescent="0.4">
      <c r="A185" s="59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61"/>
      <c r="N185" s="71"/>
      <c r="O185" s="72" t="s">
        <v>58</v>
      </c>
      <c r="P185" s="72"/>
      <c r="Q185" s="72"/>
      <c r="R185" s="72" t="str">
        <f t="shared" si="40"/>
        <v/>
      </c>
      <c r="S185" s="63"/>
      <c r="T185" s="72" t="s">
        <v>58</v>
      </c>
      <c r="U185" s="102"/>
      <c r="V185" s="74"/>
      <c r="W185" s="102" t="str">
        <f t="shared" si="42"/>
        <v/>
      </c>
      <c r="X185" s="74"/>
      <c r="Y185" s="102" t="str">
        <f t="shared" si="43"/>
        <v/>
      </c>
      <c r="Z185" s="76"/>
    </row>
    <row r="186" spans="1:27" s="94" customFormat="1" ht="27.75" customHeight="1" thickBot="1" x14ac:dyDescent="0.25"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7" s="29" customFormat="1" ht="27.75" customHeight="1" thickBot="1" x14ac:dyDescent="0.25">
      <c r="A187" s="389" t="s">
        <v>40</v>
      </c>
      <c r="B187" s="390"/>
      <c r="C187" s="390"/>
      <c r="D187" s="390"/>
      <c r="E187" s="390"/>
      <c r="F187" s="390"/>
      <c r="G187" s="390"/>
      <c r="H187" s="390"/>
      <c r="I187" s="390"/>
      <c r="J187" s="390"/>
      <c r="K187" s="390"/>
      <c r="L187" s="391"/>
      <c r="M187" s="28"/>
      <c r="N187" s="64"/>
      <c r="O187" s="377" t="s">
        <v>42</v>
      </c>
      <c r="P187" s="378"/>
      <c r="Q187" s="378"/>
      <c r="R187" s="379"/>
      <c r="S187" s="65"/>
      <c r="T187" s="377" t="s">
        <v>43</v>
      </c>
      <c r="U187" s="378"/>
      <c r="V187" s="378"/>
      <c r="W187" s="378"/>
      <c r="X187" s="378"/>
      <c r="Y187" s="379"/>
      <c r="Z187" s="66"/>
      <c r="AA187" s="28"/>
    </row>
    <row r="188" spans="1:27" s="29" customFormat="1" ht="27.75" customHeight="1" x14ac:dyDescent="0.2">
      <c r="A188" s="30"/>
      <c r="C188" s="386" t="s">
        <v>83</v>
      </c>
      <c r="D188" s="386"/>
      <c r="E188" s="386"/>
      <c r="F188" s="386"/>
      <c r="G188" s="31" t="str">
        <f>$J$1</f>
        <v>August</v>
      </c>
      <c r="H188" s="385">
        <f>$K$1</f>
        <v>2023</v>
      </c>
      <c r="I188" s="385"/>
      <c r="K188" s="32"/>
      <c r="L188" s="33"/>
      <c r="M188" s="32"/>
      <c r="N188" s="67"/>
      <c r="O188" s="68" t="s">
        <v>53</v>
      </c>
      <c r="P188" s="68" t="s">
        <v>7</v>
      </c>
      <c r="Q188" s="68" t="s">
        <v>6</v>
      </c>
      <c r="R188" s="68" t="s">
        <v>54</v>
      </c>
      <c r="S188" s="69"/>
      <c r="T188" s="68" t="s">
        <v>53</v>
      </c>
      <c r="U188" s="68" t="s">
        <v>55</v>
      </c>
      <c r="V188" s="68" t="s">
        <v>20</v>
      </c>
      <c r="W188" s="68" t="s">
        <v>19</v>
      </c>
      <c r="X188" s="68" t="s">
        <v>21</v>
      </c>
      <c r="Y188" s="68" t="s">
        <v>59</v>
      </c>
      <c r="Z188" s="70"/>
      <c r="AA188" s="32"/>
    </row>
    <row r="189" spans="1:27" s="29" customFormat="1" ht="27.75" customHeight="1" x14ac:dyDescent="0.2">
      <c r="A189" s="30"/>
      <c r="D189" s="35"/>
      <c r="E189" s="35"/>
      <c r="F189" s="35"/>
      <c r="G189" s="35"/>
      <c r="H189" s="35"/>
      <c r="J189" s="36" t="s">
        <v>1</v>
      </c>
      <c r="K189" s="37">
        <f>45000+2000+3000</f>
        <v>50000</v>
      </c>
      <c r="L189" s="38"/>
      <c r="N189" s="71"/>
      <c r="O189" s="72" t="s">
        <v>45</v>
      </c>
      <c r="P189" s="72">
        <v>29</v>
      </c>
      <c r="Q189" s="72">
        <v>2</v>
      </c>
      <c r="R189" s="72">
        <f>15-Q189</f>
        <v>13</v>
      </c>
      <c r="S189" s="73"/>
      <c r="T189" s="72" t="s">
        <v>45</v>
      </c>
      <c r="U189" s="74">
        <v>15000</v>
      </c>
      <c r="V189" s="74">
        <v>2000</v>
      </c>
      <c r="W189" s="74">
        <f>V189+U189</f>
        <v>17000</v>
      </c>
      <c r="X189" s="74">
        <v>3000</v>
      </c>
      <c r="Y189" s="74">
        <f>W189-X189</f>
        <v>14000</v>
      </c>
      <c r="Z189" s="70"/>
    </row>
    <row r="190" spans="1:27" s="29" customFormat="1" ht="27.75" customHeight="1" x14ac:dyDescent="0.2">
      <c r="A190" s="30"/>
      <c r="B190" s="29" t="s">
        <v>0</v>
      </c>
      <c r="C190" s="40" t="s">
        <v>149</v>
      </c>
      <c r="H190" s="41"/>
      <c r="I190" s="35"/>
      <c r="L190" s="42"/>
      <c r="M190" s="28"/>
      <c r="N190" s="75"/>
      <c r="O190" s="72" t="s">
        <v>71</v>
      </c>
      <c r="P190" s="72">
        <v>27</v>
      </c>
      <c r="Q190" s="72">
        <v>1</v>
      </c>
      <c r="R190" s="72">
        <f t="shared" ref="R190:R200" si="44">IF(Q190="","",R189-Q190)</f>
        <v>12</v>
      </c>
      <c r="S190" s="63"/>
      <c r="T190" s="72" t="s">
        <v>71</v>
      </c>
      <c r="U190" s="102">
        <f>IF($J$1="January","",Y189)</f>
        <v>14000</v>
      </c>
      <c r="V190" s="74">
        <v>10000</v>
      </c>
      <c r="W190" s="102">
        <f>IF(U190="","",U190+V190)</f>
        <v>24000</v>
      </c>
      <c r="X190" s="74">
        <v>3000</v>
      </c>
      <c r="Y190" s="102">
        <f>IF(W190="","",W190-X190)</f>
        <v>21000</v>
      </c>
      <c r="Z190" s="76"/>
      <c r="AA190" s="28"/>
    </row>
    <row r="191" spans="1:27" s="29" customFormat="1" ht="27.75" customHeight="1" x14ac:dyDescent="0.2">
      <c r="A191" s="30"/>
      <c r="B191" s="44" t="s">
        <v>41</v>
      </c>
      <c r="C191" s="45"/>
      <c r="F191" s="382" t="s">
        <v>43</v>
      </c>
      <c r="G191" s="384"/>
      <c r="I191" s="382" t="s">
        <v>44</v>
      </c>
      <c r="J191" s="383"/>
      <c r="K191" s="384"/>
      <c r="L191" s="46"/>
      <c r="N191" s="71"/>
      <c r="O191" s="72" t="s">
        <v>46</v>
      </c>
      <c r="P191" s="72">
        <v>31</v>
      </c>
      <c r="Q191" s="72">
        <v>0</v>
      </c>
      <c r="R191" s="72">
        <f t="shared" si="44"/>
        <v>12</v>
      </c>
      <c r="S191" s="63"/>
      <c r="T191" s="72" t="s">
        <v>46</v>
      </c>
      <c r="U191" s="102">
        <f>IF($J$1="February","",Y190)</f>
        <v>21000</v>
      </c>
      <c r="V191" s="74">
        <v>15000</v>
      </c>
      <c r="W191" s="102">
        <f t="shared" ref="W191:W200" si="45">IF(U191="","",U191+V191)</f>
        <v>36000</v>
      </c>
      <c r="X191" s="74">
        <v>3000</v>
      </c>
      <c r="Y191" s="102">
        <f t="shared" ref="Y191:Y200" si="46">IF(W191="","",W191-X191)</f>
        <v>33000</v>
      </c>
      <c r="Z191" s="76"/>
    </row>
    <row r="192" spans="1:27" s="29" customFormat="1" ht="27.75" customHeight="1" x14ac:dyDescent="0.2">
      <c r="A192" s="30"/>
      <c r="H192" s="47"/>
      <c r="L192" s="34"/>
      <c r="N192" s="71"/>
      <c r="O192" s="72" t="s">
        <v>47</v>
      </c>
      <c r="P192" s="72">
        <v>29</v>
      </c>
      <c r="Q192" s="72">
        <v>1</v>
      </c>
      <c r="R192" s="72">
        <f t="shared" si="44"/>
        <v>11</v>
      </c>
      <c r="S192" s="63"/>
      <c r="T192" s="72" t="s">
        <v>47</v>
      </c>
      <c r="U192" s="102">
        <f>Y191</f>
        <v>33000</v>
      </c>
      <c r="V192" s="74"/>
      <c r="W192" s="102">
        <f t="shared" si="45"/>
        <v>33000</v>
      </c>
      <c r="X192" s="74">
        <v>3000</v>
      </c>
      <c r="Y192" s="102">
        <f t="shared" si="46"/>
        <v>30000</v>
      </c>
      <c r="Z192" s="76"/>
    </row>
    <row r="193" spans="1:27" s="29" customFormat="1" ht="27.75" customHeight="1" x14ac:dyDescent="0.2">
      <c r="A193" s="30"/>
      <c r="B193" s="380" t="s">
        <v>42</v>
      </c>
      <c r="C193" s="381"/>
      <c r="F193" s="48" t="s">
        <v>64</v>
      </c>
      <c r="G193" s="4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36000</v>
      </c>
      <c r="H193" s="47"/>
      <c r="I193" s="49">
        <f>IF(C197&gt;0,$K$2,C195)</f>
        <v>31</v>
      </c>
      <c r="J193" s="50" t="s">
        <v>61</v>
      </c>
      <c r="K193" s="51">
        <f>K189/$K$2*I193</f>
        <v>50000</v>
      </c>
      <c r="L193" s="52"/>
      <c r="N193" s="71"/>
      <c r="O193" s="72" t="s">
        <v>48</v>
      </c>
      <c r="P193" s="72">
        <v>30</v>
      </c>
      <c r="Q193" s="72">
        <v>1</v>
      </c>
      <c r="R193" s="72">
        <f t="shared" si="44"/>
        <v>10</v>
      </c>
      <c r="S193" s="63"/>
      <c r="T193" s="72" t="s">
        <v>48</v>
      </c>
      <c r="U193" s="102">
        <f>Y192</f>
        <v>30000</v>
      </c>
      <c r="V193" s="74">
        <v>4000</v>
      </c>
      <c r="W193" s="102">
        <f t="shared" si="45"/>
        <v>34000</v>
      </c>
      <c r="X193" s="74"/>
      <c r="Y193" s="102">
        <f t="shared" si="46"/>
        <v>34000</v>
      </c>
      <c r="Z193" s="76"/>
    </row>
    <row r="194" spans="1:27" s="29" customFormat="1" ht="27.75" customHeight="1" x14ac:dyDescent="0.2">
      <c r="A194" s="30"/>
      <c r="B194" s="39"/>
      <c r="C194" s="39"/>
      <c r="F194" s="48" t="s">
        <v>20</v>
      </c>
      <c r="G194" s="4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5000</v>
      </c>
      <c r="H194" s="47"/>
      <c r="I194" s="49">
        <v>27</v>
      </c>
      <c r="J194" s="50" t="s">
        <v>62</v>
      </c>
      <c r="K194" s="53">
        <f>K189/$K$2/8*I194</f>
        <v>5443.5483870967746</v>
      </c>
      <c r="L194" s="54"/>
      <c r="N194" s="71"/>
      <c r="O194" s="72" t="s">
        <v>49</v>
      </c>
      <c r="P194" s="72">
        <v>27</v>
      </c>
      <c r="Q194" s="72">
        <v>3</v>
      </c>
      <c r="R194" s="72">
        <f t="shared" si="44"/>
        <v>7</v>
      </c>
      <c r="S194" s="63"/>
      <c r="T194" s="72" t="s">
        <v>49</v>
      </c>
      <c r="U194" s="102">
        <f>Y193</f>
        <v>34000</v>
      </c>
      <c r="V194" s="74">
        <f>3000+1000</f>
        <v>4000</v>
      </c>
      <c r="W194" s="102">
        <f t="shared" si="45"/>
        <v>38000</v>
      </c>
      <c r="X194" s="74">
        <v>5000</v>
      </c>
      <c r="Y194" s="102">
        <f t="shared" si="46"/>
        <v>33000</v>
      </c>
      <c r="Z194" s="76"/>
    </row>
    <row r="195" spans="1:27" s="29" customFormat="1" ht="27.75" customHeight="1" x14ac:dyDescent="0.2">
      <c r="A195" s="30"/>
      <c r="B195" s="48" t="s">
        <v>7</v>
      </c>
      <c r="C195" s="39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F195" s="48" t="s">
        <v>65</v>
      </c>
      <c r="G195" s="43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41000</v>
      </c>
      <c r="H195" s="47"/>
      <c r="I195" s="387" t="s">
        <v>69</v>
      </c>
      <c r="J195" s="388"/>
      <c r="K195" s="53">
        <f>K193+K194</f>
        <v>55443.548387096773</v>
      </c>
      <c r="L195" s="54"/>
      <c r="N195" s="71"/>
      <c r="O195" s="72" t="s">
        <v>50</v>
      </c>
      <c r="P195" s="72">
        <v>31</v>
      </c>
      <c r="Q195" s="72">
        <v>0</v>
      </c>
      <c r="R195" s="72">
        <f t="shared" si="44"/>
        <v>7</v>
      </c>
      <c r="S195" s="63"/>
      <c r="T195" s="72" t="s">
        <v>50</v>
      </c>
      <c r="U195" s="102">
        <f>Y194</f>
        <v>33000</v>
      </c>
      <c r="V195" s="74">
        <f>4000+4000</f>
        <v>8000</v>
      </c>
      <c r="W195" s="102">
        <f t="shared" si="45"/>
        <v>41000</v>
      </c>
      <c r="X195" s="74">
        <v>5000</v>
      </c>
      <c r="Y195" s="102">
        <f t="shared" si="46"/>
        <v>36000</v>
      </c>
      <c r="Z195" s="76"/>
    </row>
    <row r="196" spans="1:27" s="29" customFormat="1" ht="27.75" customHeight="1" x14ac:dyDescent="0.2">
      <c r="A196" s="30"/>
      <c r="B196" s="48" t="s">
        <v>6</v>
      </c>
      <c r="C196" s="39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F196" s="48" t="s">
        <v>21</v>
      </c>
      <c r="G196" s="4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47"/>
      <c r="I196" s="387" t="s">
        <v>70</v>
      </c>
      <c r="J196" s="388"/>
      <c r="K196" s="43">
        <f>G196</f>
        <v>0</v>
      </c>
      <c r="L196" s="55"/>
      <c r="N196" s="71"/>
      <c r="O196" s="72" t="s">
        <v>51</v>
      </c>
      <c r="P196" s="72">
        <v>31</v>
      </c>
      <c r="Q196" s="72">
        <v>0</v>
      </c>
      <c r="R196" s="72">
        <f t="shared" si="44"/>
        <v>7</v>
      </c>
      <c r="S196" s="63"/>
      <c r="T196" s="72" t="s">
        <v>51</v>
      </c>
      <c r="U196" s="102">
        <f>Y195</f>
        <v>36000</v>
      </c>
      <c r="V196" s="74">
        <v>5000</v>
      </c>
      <c r="W196" s="102">
        <f t="shared" si="45"/>
        <v>41000</v>
      </c>
      <c r="X196" s="74"/>
      <c r="Y196" s="102">
        <f t="shared" si="46"/>
        <v>41000</v>
      </c>
      <c r="Z196" s="76"/>
    </row>
    <row r="197" spans="1:27" s="29" customFormat="1" ht="27.75" customHeight="1" x14ac:dyDescent="0.2">
      <c r="A197" s="30"/>
      <c r="B197" s="318" t="s">
        <v>68</v>
      </c>
      <c r="C197" s="39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F197" s="318" t="s">
        <v>210</v>
      </c>
      <c r="G197" s="43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41000</v>
      </c>
      <c r="I197" s="382" t="s">
        <v>63</v>
      </c>
      <c r="J197" s="384"/>
      <c r="K197" s="57">
        <f>K195-K196</f>
        <v>55443.548387096773</v>
      </c>
      <c r="L197" s="58"/>
      <c r="N197" s="71"/>
      <c r="O197" s="72" t="s">
        <v>56</v>
      </c>
      <c r="P197" s="72"/>
      <c r="Q197" s="72"/>
      <c r="R197" s="72">
        <v>0</v>
      </c>
      <c r="S197" s="63"/>
      <c r="T197" s="72" t="s">
        <v>56</v>
      </c>
      <c r="U197" s="102">
        <v>0</v>
      </c>
      <c r="V197" s="74"/>
      <c r="W197" s="102">
        <f t="shared" si="45"/>
        <v>0</v>
      </c>
      <c r="X197" s="74"/>
      <c r="Y197" s="102">
        <f t="shared" si="46"/>
        <v>0</v>
      </c>
      <c r="Z197" s="76"/>
    </row>
    <row r="198" spans="1:27" s="29" customFormat="1" ht="27.75" customHeight="1" x14ac:dyDescent="0.2">
      <c r="A198" s="30"/>
      <c r="L198" s="46"/>
      <c r="N198" s="71"/>
      <c r="O198" s="72" t="s">
        <v>52</v>
      </c>
      <c r="P198" s="72"/>
      <c r="Q198" s="72"/>
      <c r="R198" s="72">
        <v>0</v>
      </c>
      <c r="S198" s="63"/>
      <c r="T198" s="72" t="s">
        <v>52</v>
      </c>
      <c r="U198" s="102" t="str">
        <f>IF($J$1="October",Y197,"")</f>
        <v/>
      </c>
      <c r="V198" s="74"/>
      <c r="W198" s="102" t="str">
        <f t="shared" si="45"/>
        <v/>
      </c>
      <c r="X198" s="74"/>
      <c r="Y198" s="102" t="str">
        <f t="shared" si="46"/>
        <v/>
      </c>
      <c r="Z198" s="76"/>
    </row>
    <row r="199" spans="1:27" s="29" customFormat="1" ht="27.75" customHeight="1" x14ac:dyDescent="0.35">
      <c r="A199" s="30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46"/>
      <c r="N199" s="71"/>
      <c r="O199" s="72" t="s">
        <v>57</v>
      </c>
      <c r="P199" s="72"/>
      <c r="Q199" s="72"/>
      <c r="R199" s="72" t="str">
        <f t="shared" si="44"/>
        <v/>
      </c>
      <c r="S199" s="63"/>
      <c r="T199" s="72" t="s">
        <v>57</v>
      </c>
      <c r="U199" s="102"/>
      <c r="V199" s="74"/>
      <c r="W199" s="102" t="str">
        <f t="shared" si="45"/>
        <v/>
      </c>
      <c r="X199" s="74"/>
      <c r="Y199" s="102" t="str">
        <f t="shared" si="46"/>
        <v/>
      </c>
      <c r="Z199" s="76"/>
    </row>
    <row r="200" spans="1:27" s="29" customFormat="1" ht="27.75" customHeight="1" thickBot="1" x14ac:dyDescent="0.4">
      <c r="A200" s="59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61"/>
      <c r="N200" s="71"/>
      <c r="O200" s="72" t="s">
        <v>58</v>
      </c>
      <c r="P200" s="72"/>
      <c r="Q200" s="72"/>
      <c r="R200" s="72" t="str">
        <f t="shared" si="44"/>
        <v/>
      </c>
      <c r="S200" s="63"/>
      <c r="T200" s="72" t="s">
        <v>58</v>
      </c>
      <c r="U200" s="102"/>
      <c r="V200" s="74"/>
      <c r="W200" s="102" t="str">
        <f t="shared" si="45"/>
        <v/>
      </c>
      <c r="X200" s="74"/>
      <c r="Y200" s="102" t="str">
        <f t="shared" si="46"/>
        <v/>
      </c>
      <c r="Z200" s="76"/>
    </row>
    <row r="201" spans="1:27" s="94" customFormat="1" ht="27.75" customHeight="1" thickBot="1" x14ac:dyDescent="0.25"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7" s="29" customFormat="1" ht="27.75" customHeight="1" thickBot="1" x14ac:dyDescent="0.25">
      <c r="A202" s="389" t="s">
        <v>40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1"/>
      <c r="M202" s="28"/>
      <c r="N202" s="64"/>
      <c r="O202" s="377" t="s">
        <v>42</v>
      </c>
      <c r="P202" s="378"/>
      <c r="Q202" s="378"/>
      <c r="R202" s="379"/>
      <c r="S202" s="65"/>
      <c r="T202" s="377" t="s">
        <v>43</v>
      </c>
      <c r="U202" s="378"/>
      <c r="V202" s="378"/>
      <c r="W202" s="378"/>
      <c r="X202" s="378"/>
      <c r="Y202" s="379"/>
      <c r="Z202" s="66"/>
      <c r="AA202" s="28"/>
    </row>
    <row r="203" spans="1:27" s="29" customFormat="1" ht="27.75" customHeight="1" x14ac:dyDescent="0.2">
      <c r="A203" s="30"/>
      <c r="C203" s="386" t="s">
        <v>83</v>
      </c>
      <c r="D203" s="386"/>
      <c r="E203" s="386"/>
      <c r="F203" s="386"/>
      <c r="G203" s="31" t="str">
        <f>$J$1</f>
        <v>August</v>
      </c>
      <c r="H203" s="385">
        <f>$K$1</f>
        <v>2023</v>
      </c>
      <c r="I203" s="385"/>
      <c r="K203" s="32"/>
      <c r="L203" s="33"/>
      <c r="M203" s="32"/>
      <c r="N203" s="67"/>
      <c r="O203" s="68" t="s">
        <v>53</v>
      </c>
      <c r="P203" s="68" t="s">
        <v>7</v>
      </c>
      <c r="Q203" s="68" t="s">
        <v>6</v>
      </c>
      <c r="R203" s="68" t="s">
        <v>54</v>
      </c>
      <c r="S203" s="69"/>
      <c r="T203" s="68" t="s">
        <v>53</v>
      </c>
      <c r="U203" s="68" t="s">
        <v>55</v>
      </c>
      <c r="V203" s="68" t="s">
        <v>20</v>
      </c>
      <c r="W203" s="68" t="s">
        <v>19</v>
      </c>
      <c r="X203" s="68" t="s">
        <v>21</v>
      </c>
      <c r="Y203" s="68" t="s">
        <v>59</v>
      </c>
      <c r="Z203" s="70"/>
      <c r="AA203" s="32"/>
    </row>
    <row r="204" spans="1:27" s="29" customFormat="1" ht="27.75" customHeight="1" x14ac:dyDescent="0.2">
      <c r="A204" s="30"/>
      <c r="D204" s="35"/>
      <c r="E204" s="35"/>
      <c r="F204" s="35"/>
      <c r="G204" s="35"/>
      <c r="H204" s="35"/>
      <c r="J204" s="36" t="s">
        <v>1</v>
      </c>
      <c r="K204" s="37">
        <f>24000+3000+3000</f>
        <v>30000</v>
      </c>
      <c r="L204" s="38"/>
      <c r="N204" s="71"/>
      <c r="O204" s="72" t="s">
        <v>45</v>
      </c>
      <c r="P204" s="72">
        <v>31</v>
      </c>
      <c r="Q204" s="72">
        <v>0</v>
      </c>
      <c r="R204" s="72">
        <f>15-Q204</f>
        <v>15</v>
      </c>
      <c r="S204" s="73"/>
      <c r="T204" s="72" t="s">
        <v>45</v>
      </c>
      <c r="U204" s="74">
        <v>68500</v>
      </c>
      <c r="V204" s="74"/>
      <c r="W204" s="74">
        <f>V204+U204</f>
        <v>68500</v>
      </c>
      <c r="X204" s="74">
        <v>5000</v>
      </c>
      <c r="Y204" s="74">
        <f>W204-X204</f>
        <v>63500</v>
      </c>
      <c r="Z204" s="70"/>
    </row>
    <row r="205" spans="1:27" s="29" customFormat="1" ht="27.75" customHeight="1" x14ac:dyDescent="0.2">
      <c r="A205" s="30"/>
      <c r="B205" s="29" t="s">
        <v>0</v>
      </c>
      <c r="C205" s="40" t="s">
        <v>74</v>
      </c>
      <c r="H205" s="41"/>
      <c r="I205" s="35"/>
      <c r="L205" s="42"/>
      <c r="M205" s="28"/>
      <c r="N205" s="75"/>
      <c r="O205" s="72" t="s">
        <v>71</v>
      </c>
      <c r="P205" s="72">
        <v>27</v>
      </c>
      <c r="Q205" s="72">
        <v>1</v>
      </c>
      <c r="R205" s="72">
        <f t="shared" ref="R205:R214" si="47">IF(Q205="","",R204-Q205)</f>
        <v>14</v>
      </c>
      <c r="S205" s="63"/>
      <c r="T205" s="72" t="s">
        <v>71</v>
      </c>
      <c r="U205" s="102">
        <f t="shared" ref="U205:U210" si="48">Y204</f>
        <v>63500</v>
      </c>
      <c r="V205" s="74">
        <v>2000</v>
      </c>
      <c r="W205" s="102">
        <f>IF(U205="","",U205+V205)</f>
        <v>65500</v>
      </c>
      <c r="X205" s="74">
        <v>5000</v>
      </c>
      <c r="Y205" s="102">
        <f>IF(W205="","",W205-X205)</f>
        <v>60500</v>
      </c>
      <c r="Z205" s="76"/>
      <c r="AA205" s="28"/>
    </row>
    <row r="206" spans="1:27" s="29" customFormat="1" ht="27.75" customHeight="1" x14ac:dyDescent="0.2">
      <c r="A206" s="30"/>
      <c r="B206" s="44" t="s">
        <v>41</v>
      </c>
      <c r="C206" s="45"/>
      <c r="F206" s="382" t="s">
        <v>43</v>
      </c>
      <c r="G206" s="384"/>
      <c r="I206" s="382" t="s">
        <v>44</v>
      </c>
      <c r="J206" s="383"/>
      <c r="K206" s="384"/>
      <c r="L206" s="46"/>
      <c r="N206" s="71"/>
      <c r="O206" s="72" t="s">
        <v>46</v>
      </c>
      <c r="P206" s="72">
        <v>29</v>
      </c>
      <c r="Q206" s="72">
        <v>2</v>
      </c>
      <c r="R206" s="72">
        <f t="shared" si="47"/>
        <v>12</v>
      </c>
      <c r="S206" s="63"/>
      <c r="T206" s="72" t="s">
        <v>46</v>
      </c>
      <c r="U206" s="102">
        <f t="shared" si="48"/>
        <v>60500</v>
      </c>
      <c r="V206" s="74">
        <v>9000</v>
      </c>
      <c r="W206" s="102">
        <f t="shared" ref="W206:W215" si="49">IF(U206="","",U206+V206)</f>
        <v>69500</v>
      </c>
      <c r="X206" s="74"/>
      <c r="Y206" s="102">
        <f t="shared" ref="Y206:Y215" si="50">IF(W206="","",W206-X206)</f>
        <v>69500</v>
      </c>
      <c r="Z206" s="76"/>
    </row>
    <row r="207" spans="1:27" s="29" customFormat="1" ht="27.75" customHeight="1" x14ac:dyDescent="0.2">
      <c r="A207" s="30"/>
      <c r="H207" s="47"/>
      <c r="L207" s="34"/>
      <c r="N207" s="71"/>
      <c r="O207" s="72" t="s">
        <v>47</v>
      </c>
      <c r="P207" s="72">
        <v>27</v>
      </c>
      <c r="Q207" s="72">
        <v>3</v>
      </c>
      <c r="R207" s="72">
        <f t="shared" si="47"/>
        <v>9</v>
      </c>
      <c r="S207" s="63"/>
      <c r="T207" s="72" t="s">
        <v>47</v>
      </c>
      <c r="U207" s="102">
        <f t="shared" si="48"/>
        <v>69500</v>
      </c>
      <c r="V207" s="74">
        <f>5000+5000</f>
        <v>10000</v>
      </c>
      <c r="W207" s="102">
        <f t="shared" si="49"/>
        <v>79500</v>
      </c>
      <c r="X207" s="74">
        <v>5000</v>
      </c>
      <c r="Y207" s="102">
        <f t="shared" si="50"/>
        <v>74500</v>
      </c>
      <c r="Z207" s="76"/>
    </row>
    <row r="208" spans="1:27" s="29" customFormat="1" ht="27.75" customHeight="1" x14ac:dyDescent="0.2">
      <c r="A208" s="30"/>
      <c r="B208" s="380" t="s">
        <v>42</v>
      </c>
      <c r="C208" s="381"/>
      <c r="F208" s="48" t="s">
        <v>64</v>
      </c>
      <c r="G208" s="4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75000</v>
      </c>
      <c r="H208" s="47"/>
      <c r="I208" s="49">
        <f>IF(C212&gt;0,$K$2,C210)</f>
        <v>31</v>
      </c>
      <c r="J208" s="50" t="s">
        <v>61</v>
      </c>
      <c r="K208" s="51">
        <f>K204/$K$2*I208</f>
        <v>30000</v>
      </c>
      <c r="L208" s="52"/>
      <c r="N208" s="71"/>
      <c r="O208" s="72" t="s">
        <v>48</v>
      </c>
      <c r="P208" s="72">
        <v>30</v>
      </c>
      <c r="Q208" s="72">
        <v>1</v>
      </c>
      <c r="R208" s="72">
        <f t="shared" si="47"/>
        <v>8</v>
      </c>
      <c r="S208" s="63"/>
      <c r="T208" s="72" t="s">
        <v>48</v>
      </c>
      <c r="U208" s="102">
        <f t="shared" si="48"/>
        <v>74500</v>
      </c>
      <c r="V208" s="74">
        <v>10500</v>
      </c>
      <c r="W208" s="102">
        <f t="shared" si="49"/>
        <v>85000</v>
      </c>
      <c r="X208" s="74">
        <v>5000</v>
      </c>
      <c r="Y208" s="102">
        <f t="shared" si="50"/>
        <v>80000</v>
      </c>
      <c r="Z208" s="76"/>
    </row>
    <row r="209" spans="1:26" s="29" customFormat="1" ht="27.75" customHeight="1" x14ac:dyDescent="0.2">
      <c r="A209" s="30"/>
      <c r="B209" s="39"/>
      <c r="C209" s="39"/>
      <c r="F209" s="48" t="s">
        <v>20</v>
      </c>
      <c r="G209" s="4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47"/>
      <c r="I209" s="49">
        <v>36</v>
      </c>
      <c r="J209" s="50" t="s">
        <v>62</v>
      </c>
      <c r="K209" s="53">
        <f>K204/$K$2/8*I209</f>
        <v>4354.8387096774195</v>
      </c>
      <c r="L209" s="54"/>
      <c r="N209" s="71"/>
      <c r="O209" s="72" t="s">
        <v>49</v>
      </c>
      <c r="P209" s="72">
        <v>28</v>
      </c>
      <c r="Q209" s="72">
        <v>2</v>
      </c>
      <c r="R209" s="72">
        <f t="shared" si="47"/>
        <v>6</v>
      </c>
      <c r="S209" s="63"/>
      <c r="T209" s="72" t="s">
        <v>49</v>
      </c>
      <c r="U209" s="102">
        <f t="shared" si="48"/>
        <v>80000</v>
      </c>
      <c r="V209" s="74">
        <v>25000</v>
      </c>
      <c r="W209" s="102">
        <f t="shared" si="49"/>
        <v>105000</v>
      </c>
      <c r="X209" s="74">
        <v>25000</v>
      </c>
      <c r="Y209" s="102">
        <f t="shared" si="50"/>
        <v>80000</v>
      </c>
      <c r="Z209" s="76"/>
    </row>
    <row r="210" spans="1:26" s="29" customFormat="1" ht="27.75" customHeight="1" x14ac:dyDescent="0.2">
      <c r="A210" s="30"/>
      <c r="B210" s="48" t="s">
        <v>7</v>
      </c>
      <c r="C210" s="39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F210" s="48" t="s">
        <v>65</v>
      </c>
      <c r="G210" s="43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85000</v>
      </c>
      <c r="H210" s="47"/>
      <c r="I210" s="387" t="s">
        <v>69</v>
      </c>
      <c r="J210" s="388"/>
      <c r="K210" s="53">
        <f>K208+K209</f>
        <v>34354.838709677417</v>
      </c>
      <c r="L210" s="54"/>
      <c r="N210" s="71"/>
      <c r="O210" s="72" t="s">
        <v>50</v>
      </c>
      <c r="P210" s="72">
        <v>30</v>
      </c>
      <c r="Q210" s="72">
        <v>1</v>
      </c>
      <c r="R210" s="72">
        <f t="shared" si="47"/>
        <v>5</v>
      </c>
      <c r="S210" s="63"/>
      <c r="T210" s="72" t="s">
        <v>50</v>
      </c>
      <c r="U210" s="102">
        <f t="shared" si="48"/>
        <v>80000</v>
      </c>
      <c r="V210" s="74"/>
      <c r="W210" s="102">
        <f t="shared" si="49"/>
        <v>80000</v>
      </c>
      <c r="X210" s="74">
        <v>5000</v>
      </c>
      <c r="Y210" s="102">
        <f t="shared" si="50"/>
        <v>75000</v>
      </c>
      <c r="Z210" s="76"/>
    </row>
    <row r="211" spans="1:26" s="29" customFormat="1" ht="27.75" customHeight="1" x14ac:dyDescent="0.2">
      <c r="A211" s="30"/>
      <c r="B211" s="48" t="s">
        <v>6</v>
      </c>
      <c r="C211" s="39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2</v>
      </c>
      <c r="F211" s="48" t="s">
        <v>21</v>
      </c>
      <c r="G211" s="4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15000</v>
      </c>
      <c r="H211" s="47"/>
      <c r="I211" s="387" t="s">
        <v>70</v>
      </c>
      <c r="J211" s="388"/>
      <c r="K211" s="43">
        <f>G211</f>
        <v>15000</v>
      </c>
      <c r="L211" s="55"/>
      <c r="N211" s="71"/>
      <c r="O211" s="72" t="s">
        <v>51</v>
      </c>
      <c r="P211" s="72">
        <v>29</v>
      </c>
      <c r="Q211" s="72">
        <v>2</v>
      </c>
      <c r="R211" s="72">
        <f t="shared" si="47"/>
        <v>3</v>
      </c>
      <c r="S211" s="63"/>
      <c r="T211" s="72" t="s">
        <v>51</v>
      </c>
      <c r="U211" s="102">
        <f>Y210</f>
        <v>75000</v>
      </c>
      <c r="V211" s="74">
        <v>10000</v>
      </c>
      <c r="W211" s="102">
        <f t="shared" si="49"/>
        <v>85000</v>
      </c>
      <c r="X211" s="74">
        <v>15000</v>
      </c>
      <c r="Y211" s="102">
        <f t="shared" si="50"/>
        <v>70000</v>
      </c>
      <c r="Z211" s="76"/>
    </row>
    <row r="212" spans="1:26" s="29" customFormat="1" ht="27.75" customHeight="1" x14ac:dyDescent="0.2">
      <c r="A212" s="30"/>
      <c r="B212" s="318" t="s">
        <v>68</v>
      </c>
      <c r="C212" s="39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3</v>
      </c>
      <c r="F212" s="318" t="s">
        <v>210</v>
      </c>
      <c r="G212" s="43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70000</v>
      </c>
      <c r="I212" s="382" t="s">
        <v>63</v>
      </c>
      <c r="J212" s="384"/>
      <c r="K212" s="57">
        <f>K210-K211</f>
        <v>19354.838709677417</v>
      </c>
      <c r="L212" s="58"/>
      <c r="N212" s="71"/>
      <c r="O212" s="72" t="s">
        <v>56</v>
      </c>
      <c r="P212" s="72"/>
      <c r="Q212" s="72"/>
      <c r="R212" s="72">
        <v>0</v>
      </c>
      <c r="S212" s="63"/>
      <c r="T212" s="72" t="s">
        <v>56</v>
      </c>
      <c r="U212" s="102">
        <v>0</v>
      </c>
      <c r="V212" s="74"/>
      <c r="W212" s="102">
        <f t="shared" si="49"/>
        <v>0</v>
      </c>
      <c r="X212" s="74"/>
      <c r="Y212" s="102">
        <f t="shared" si="50"/>
        <v>0</v>
      </c>
      <c r="Z212" s="76"/>
    </row>
    <row r="213" spans="1:26" s="29" customFormat="1" ht="27.75" customHeight="1" x14ac:dyDescent="0.2">
      <c r="A213" s="30"/>
      <c r="L213" s="46"/>
      <c r="N213" s="71"/>
      <c r="O213" s="72" t="s">
        <v>52</v>
      </c>
      <c r="P213" s="72"/>
      <c r="Q213" s="72"/>
      <c r="R213" s="72">
        <v>0</v>
      </c>
      <c r="S213" s="63"/>
      <c r="T213" s="72" t="s">
        <v>52</v>
      </c>
      <c r="U213" s="102" t="str">
        <f>IF($J$1="October",Y212,"")</f>
        <v/>
      </c>
      <c r="V213" s="74"/>
      <c r="W213" s="102" t="str">
        <f t="shared" si="49"/>
        <v/>
      </c>
      <c r="X213" s="74"/>
      <c r="Y213" s="102" t="str">
        <f t="shared" si="50"/>
        <v/>
      </c>
      <c r="Z213" s="76"/>
    </row>
    <row r="214" spans="1:26" s="29" customFormat="1" ht="27.75" customHeight="1" x14ac:dyDescent="0.35">
      <c r="A214" s="30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46"/>
      <c r="N214" s="71"/>
      <c r="O214" s="72" t="s">
        <v>57</v>
      </c>
      <c r="P214" s="72"/>
      <c r="Q214" s="72"/>
      <c r="R214" s="72" t="str">
        <f t="shared" si="47"/>
        <v/>
      </c>
      <c r="S214" s="63"/>
      <c r="T214" s="72" t="s">
        <v>57</v>
      </c>
      <c r="U214" s="102"/>
      <c r="V214" s="74"/>
      <c r="W214" s="102" t="str">
        <f t="shared" si="49"/>
        <v/>
      </c>
      <c r="X214" s="74"/>
      <c r="Y214" s="102" t="str">
        <f t="shared" si="50"/>
        <v/>
      </c>
      <c r="Z214" s="76"/>
    </row>
    <row r="215" spans="1:26" s="29" customFormat="1" ht="27.75" customHeight="1" thickBot="1" x14ac:dyDescent="0.4">
      <c r="A215" s="59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61"/>
      <c r="N215" s="71"/>
      <c r="O215" s="72" t="s">
        <v>58</v>
      </c>
      <c r="P215" s="72"/>
      <c r="Q215" s="72"/>
      <c r="R215" s="72">
        <v>0</v>
      </c>
      <c r="S215" s="63"/>
      <c r="T215" s="72" t="s">
        <v>58</v>
      </c>
      <c r="U215" s="102"/>
      <c r="V215" s="74"/>
      <c r="W215" s="102" t="str">
        <f t="shared" si="49"/>
        <v/>
      </c>
      <c r="X215" s="74"/>
      <c r="Y215" s="102" t="str">
        <f t="shared" si="50"/>
        <v/>
      </c>
      <c r="Z215" s="76"/>
    </row>
    <row r="216" spans="1:26" s="94" customFormat="1" ht="27.75" customHeight="1" thickBot="1" x14ac:dyDescent="0.25"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s="29" customFormat="1" ht="27.75" customHeight="1" thickBot="1" x14ac:dyDescent="0.25">
      <c r="A217" s="389" t="s">
        <v>40</v>
      </c>
      <c r="B217" s="390"/>
      <c r="C217" s="390"/>
      <c r="D217" s="390"/>
      <c r="E217" s="390"/>
      <c r="F217" s="390"/>
      <c r="G217" s="390"/>
      <c r="H217" s="390"/>
      <c r="I217" s="390"/>
      <c r="J217" s="390"/>
      <c r="K217" s="390"/>
      <c r="L217" s="391"/>
      <c r="M217" s="28"/>
      <c r="N217" s="64"/>
      <c r="O217" s="377" t="s">
        <v>42</v>
      </c>
      <c r="P217" s="378"/>
      <c r="Q217" s="378"/>
      <c r="R217" s="379"/>
      <c r="S217" s="65"/>
      <c r="T217" s="377" t="s">
        <v>43</v>
      </c>
      <c r="U217" s="378"/>
      <c r="V217" s="378"/>
      <c r="W217" s="378"/>
      <c r="X217" s="378"/>
      <c r="Y217" s="379"/>
      <c r="Z217" s="66"/>
    </row>
    <row r="218" spans="1:26" s="29" customFormat="1" ht="27.75" customHeight="1" x14ac:dyDescent="0.2">
      <c r="A218" s="30"/>
      <c r="C218" s="386" t="s">
        <v>83</v>
      </c>
      <c r="D218" s="386"/>
      <c r="E218" s="386"/>
      <c r="F218" s="386"/>
      <c r="G218" s="31" t="str">
        <f>$J$1</f>
        <v>August</v>
      </c>
      <c r="H218" s="385">
        <f>$K$1</f>
        <v>2023</v>
      </c>
      <c r="I218" s="385"/>
      <c r="K218" s="32"/>
      <c r="L218" s="33"/>
      <c r="M218" s="32"/>
      <c r="N218" s="67"/>
      <c r="O218" s="68" t="s">
        <v>53</v>
      </c>
      <c r="P218" s="68" t="s">
        <v>7</v>
      </c>
      <c r="Q218" s="68" t="s">
        <v>6</v>
      </c>
      <c r="R218" s="68" t="s">
        <v>54</v>
      </c>
      <c r="S218" s="69"/>
      <c r="T218" s="68" t="s">
        <v>53</v>
      </c>
      <c r="U218" s="68" t="s">
        <v>55</v>
      </c>
      <c r="V218" s="68" t="s">
        <v>20</v>
      </c>
      <c r="W218" s="68" t="s">
        <v>19</v>
      </c>
      <c r="X218" s="68" t="s">
        <v>21</v>
      </c>
      <c r="Y218" s="68" t="s">
        <v>59</v>
      </c>
      <c r="Z218" s="70"/>
    </row>
    <row r="219" spans="1:26" s="29" customFormat="1" ht="27.75" customHeight="1" x14ac:dyDescent="0.2">
      <c r="A219" s="30"/>
      <c r="D219" s="35"/>
      <c r="E219" s="35"/>
      <c r="F219" s="35"/>
      <c r="G219" s="35"/>
      <c r="H219" s="35"/>
      <c r="J219" s="36" t="s">
        <v>1</v>
      </c>
      <c r="K219" s="37">
        <f>22000+2000+2000</f>
        <v>26000</v>
      </c>
      <c r="L219" s="38"/>
      <c r="N219" s="71"/>
      <c r="O219" s="72" t="s">
        <v>45</v>
      </c>
      <c r="P219" s="72">
        <v>13</v>
      </c>
      <c r="Q219" s="72">
        <v>18</v>
      </c>
      <c r="R219" s="72">
        <v>0</v>
      </c>
      <c r="S219" s="73"/>
      <c r="T219" s="72" t="s">
        <v>45</v>
      </c>
      <c r="U219" s="74">
        <v>4000</v>
      </c>
      <c r="V219" s="74">
        <f>2000+7000</f>
        <v>9000</v>
      </c>
      <c r="W219" s="74">
        <f>V219+U219</f>
        <v>13000</v>
      </c>
      <c r="X219" s="74">
        <v>9000</v>
      </c>
      <c r="Y219" s="74">
        <f>W219-X219</f>
        <v>4000</v>
      </c>
      <c r="Z219" s="70"/>
    </row>
    <row r="220" spans="1:26" s="29" customFormat="1" ht="27.75" customHeight="1" x14ac:dyDescent="0.2">
      <c r="A220" s="30"/>
      <c r="B220" s="29" t="s">
        <v>0</v>
      </c>
      <c r="C220" s="40" t="s">
        <v>84</v>
      </c>
      <c r="H220" s="41"/>
      <c r="I220" s="35"/>
      <c r="L220" s="42"/>
      <c r="M220" s="28"/>
      <c r="N220" s="75"/>
      <c r="O220" s="72" t="s">
        <v>71</v>
      </c>
      <c r="P220" s="72">
        <v>28</v>
      </c>
      <c r="Q220" s="72">
        <v>0</v>
      </c>
      <c r="R220" s="72">
        <f t="shared" ref="R220:R229" si="51">IF(Q220="","",R219-Q220)</f>
        <v>0</v>
      </c>
      <c r="S220" s="63"/>
      <c r="T220" s="72" t="s">
        <v>71</v>
      </c>
      <c r="U220" s="102">
        <f t="shared" ref="U220:U225" si="52">Y219</f>
        <v>4000</v>
      </c>
      <c r="V220" s="74">
        <f>5000+3000+2000</f>
        <v>10000</v>
      </c>
      <c r="W220" s="102">
        <f>IF(U220="","",U220+V220)</f>
        <v>14000</v>
      </c>
      <c r="X220" s="74">
        <v>10000</v>
      </c>
      <c r="Y220" s="102">
        <f>IF(W220="","",W220-X220)</f>
        <v>4000</v>
      </c>
      <c r="Z220" s="76"/>
    </row>
    <row r="221" spans="1:26" s="29" customFormat="1" ht="27.75" customHeight="1" x14ac:dyDescent="0.2">
      <c r="A221" s="30"/>
      <c r="B221" s="44" t="s">
        <v>41</v>
      </c>
      <c r="C221" s="45"/>
      <c r="F221" s="382" t="s">
        <v>43</v>
      </c>
      <c r="G221" s="384"/>
      <c r="I221" s="382" t="s">
        <v>44</v>
      </c>
      <c r="J221" s="383"/>
      <c r="K221" s="384"/>
      <c r="L221" s="46"/>
      <c r="N221" s="71"/>
      <c r="O221" s="72" t="s">
        <v>46</v>
      </c>
      <c r="P221" s="72">
        <v>24</v>
      </c>
      <c r="Q221" s="72">
        <v>7</v>
      </c>
      <c r="R221" s="72">
        <v>0</v>
      </c>
      <c r="S221" s="63"/>
      <c r="T221" s="72" t="s">
        <v>46</v>
      </c>
      <c r="U221" s="102">
        <f t="shared" si="52"/>
        <v>4000</v>
      </c>
      <c r="V221" s="74">
        <f>3000+3000</f>
        <v>6000</v>
      </c>
      <c r="W221" s="102">
        <f t="shared" ref="W221:W230" si="53">IF(U221="","",U221+V221)</f>
        <v>10000</v>
      </c>
      <c r="X221" s="74">
        <v>7000</v>
      </c>
      <c r="Y221" s="102">
        <f t="shared" ref="Y221:Y230" si="54">IF(W221="","",W221-X221)</f>
        <v>3000</v>
      </c>
      <c r="Z221" s="76"/>
    </row>
    <row r="222" spans="1:26" s="29" customFormat="1" ht="27.75" customHeight="1" x14ac:dyDescent="0.2">
      <c r="A222" s="30"/>
      <c r="H222" s="47"/>
      <c r="L222" s="34"/>
      <c r="N222" s="71"/>
      <c r="O222" s="72" t="s">
        <v>47</v>
      </c>
      <c r="P222" s="72">
        <v>28</v>
      </c>
      <c r="Q222" s="72">
        <v>2</v>
      </c>
      <c r="R222" s="72">
        <v>0</v>
      </c>
      <c r="S222" s="63"/>
      <c r="T222" s="72" t="s">
        <v>47</v>
      </c>
      <c r="U222" s="102">
        <f t="shared" si="52"/>
        <v>3000</v>
      </c>
      <c r="V222" s="74">
        <f>1000+10000+1000+500</f>
        <v>12500</v>
      </c>
      <c r="W222" s="102">
        <f t="shared" si="53"/>
        <v>15500</v>
      </c>
      <c r="X222" s="74">
        <v>7000</v>
      </c>
      <c r="Y222" s="102">
        <f t="shared" si="54"/>
        <v>8500</v>
      </c>
      <c r="Z222" s="76"/>
    </row>
    <row r="223" spans="1:26" s="29" customFormat="1" ht="27.75" customHeight="1" x14ac:dyDescent="0.2">
      <c r="A223" s="30"/>
      <c r="B223" s="380" t="s">
        <v>42</v>
      </c>
      <c r="C223" s="381"/>
      <c r="F223" s="48" t="s">
        <v>64</v>
      </c>
      <c r="G223" s="4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14225</v>
      </c>
      <c r="H223" s="47"/>
      <c r="I223" s="49">
        <f>IF(C227&gt;0,$K$2,C225)</f>
        <v>26</v>
      </c>
      <c r="J223" s="50" t="s">
        <v>61</v>
      </c>
      <c r="K223" s="51">
        <f>K219/$K$2*I223</f>
        <v>21806.451612903227</v>
      </c>
      <c r="L223" s="52"/>
      <c r="N223" s="71"/>
      <c r="O223" s="72" t="s">
        <v>48</v>
      </c>
      <c r="P223" s="72">
        <v>24</v>
      </c>
      <c r="Q223" s="72">
        <v>7</v>
      </c>
      <c r="R223" s="72">
        <v>0</v>
      </c>
      <c r="S223" s="63"/>
      <c r="T223" s="72" t="s">
        <v>48</v>
      </c>
      <c r="U223" s="102">
        <f t="shared" si="52"/>
        <v>8500</v>
      </c>
      <c r="V223" s="74">
        <f>7000+2000+1000+1000+2000</f>
        <v>13000</v>
      </c>
      <c r="W223" s="102">
        <f t="shared" si="53"/>
        <v>21500</v>
      </c>
      <c r="X223" s="74">
        <v>10000</v>
      </c>
      <c r="Y223" s="102">
        <f t="shared" si="54"/>
        <v>11500</v>
      </c>
      <c r="Z223" s="76"/>
    </row>
    <row r="224" spans="1:26" s="29" customFormat="1" ht="27.75" customHeight="1" x14ac:dyDescent="0.2">
      <c r="A224" s="30"/>
      <c r="B224" s="39"/>
      <c r="C224" s="39"/>
      <c r="F224" s="48" t="s">
        <v>20</v>
      </c>
      <c r="G224" s="4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7000</v>
      </c>
      <c r="H224" s="47"/>
      <c r="I224" s="49">
        <v>26</v>
      </c>
      <c r="J224" s="50" t="s">
        <v>62</v>
      </c>
      <c r="K224" s="53">
        <f>K219/$K$2/8*I224</f>
        <v>2725.8064516129034</v>
      </c>
      <c r="L224" s="54"/>
      <c r="N224" s="71"/>
      <c r="O224" s="72" t="s">
        <v>49</v>
      </c>
      <c r="P224" s="72">
        <v>27</v>
      </c>
      <c r="Q224" s="72">
        <v>3</v>
      </c>
      <c r="R224" s="72">
        <v>0</v>
      </c>
      <c r="S224" s="63"/>
      <c r="T224" s="72" t="s">
        <v>49</v>
      </c>
      <c r="U224" s="102">
        <f t="shared" si="52"/>
        <v>11500</v>
      </c>
      <c r="V224" s="74">
        <f>2000+2000+2000+1000+20000</f>
        <v>27000</v>
      </c>
      <c r="W224" s="102">
        <f t="shared" si="53"/>
        <v>38500</v>
      </c>
      <c r="X224" s="74">
        <v>28275</v>
      </c>
      <c r="Y224" s="102">
        <f t="shared" si="54"/>
        <v>10225</v>
      </c>
      <c r="Z224" s="76"/>
    </row>
    <row r="225" spans="1:26" s="29" customFormat="1" ht="27.75" customHeight="1" x14ac:dyDescent="0.2">
      <c r="A225" s="30"/>
      <c r="B225" s="48" t="s">
        <v>7</v>
      </c>
      <c r="C225" s="39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26</v>
      </c>
      <c r="F225" s="48" t="s">
        <v>65</v>
      </c>
      <c r="G225" s="4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21225</v>
      </c>
      <c r="H225" s="47"/>
      <c r="I225" s="387" t="s">
        <v>69</v>
      </c>
      <c r="J225" s="388"/>
      <c r="K225" s="53">
        <f>K223+K224</f>
        <v>24532.258064516129</v>
      </c>
      <c r="L225" s="54"/>
      <c r="N225" s="71"/>
      <c r="O225" s="72" t="s">
        <v>50</v>
      </c>
      <c r="P225" s="72">
        <v>29</v>
      </c>
      <c r="Q225" s="72">
        <v>2</v>
      </c>
      <c r="R225" s="72">
        <v>0</v>
      </c>
      <c r="S225" s="63"/>
      <c r="T225" s="72" t="s">
        <v>50</v>
      </c>
      <c r="U225" s="102">
        <f t="shared" si="52"/>
        <v>10225</v>
      </c>
      <c r="V225" s="74">
        <f>5000+2000+5000+1000+1000</f>
        <v>14000</v>
      </c>
      <c r="W225" s="102">
        <f t="shared" si="53"/>
        <v>24225</v>
      </c>
      <c r="X225" s="74">
        <v>10000</v>
      </c>
      <c r="Y225" s="102">
        <f t="shared" si="54"/>
        <v>14225</v>
      </c>
      <c r="Z225" s="76"/>
    </row>
    <row r="226" spans="1:26" s="29" customFormat="1" ht="27.75" customHeight="1" x14ac:dyDescent="0.2">
      <c r="A226" s="30"/>
      <c r="B226" s="48" t="s">
        <v>6</v>
      </c>
      <c r="C226" s="39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5</v>
      </c>
      <c r="F226" s="48" t="s">
        <v>21</v>
      </c>
      <c r="G226" s="4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10000</v>
      </c>
      <c r="H226" s="47"/>
      <c r="I226" s="387" t="s">
        <v>70</v>
      </c>
      <c r="J226" s="388"/>
      <c r="K226" s="43">
        <f>G226</f>
        <v>10000</v>
      </c>
      <c r="L226" s="55"/>
      <c r="N226" s="71"/>
      <c r="O226" s="72" t="s">
        <v>51</v>
      </c>
      <c r="P226" s="341">
        <v>26</v>
      </c>
      <c r="Q226" s="341">
        <v>5</v>
      </c>
      <c r="R226" s="72">
        <v>0</v>
      </c>
      <c r="S226" s="63"/>
      <c r="T226" s="72" t="s">
        <v>51</v>
      </c>
      <c r="U226" s="102">
        <f>Y225</f>
        <v>14225</v>
      </c>
      <c r="V226" s="74">
        <f>3000+1000+3000</f>
        <v>7000</v>
      </c>
      <c r="W226" s="102">
        <f t="shared" si="53"/>
        <v>21225</v>
      </c>
      <c r="X226" s="74">
        <v>10000</v>
      </c>
      <c r="Y226" s="102">
        <f t="shared" si="54"/>
        <v>11225</v>
      </c>
      <c r="Z226" s="76"/>
    </row>
    <row r="227" spans="1:26" s="29" customFormat="1" ht="27.75" customHeight="1" x14ac:dyDescent="0.2">
      <c r="A227" s="30"/>
      <c r="B227" s="318" t="s">
        <v>68</v>
      </c>
      <c r="C227" s="39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F227" s="318" t="s">
        <v>210</v>
      </c>
      <c r="G227" s="4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11225</v>
      </c>
      <c r="I227" s="382" t="s">
        <v>63</v>
      </c>
      <c r="J227" s="384"/>
      <c r="K227" s="57">
        <f>K225-K226</f>
        <v>14532.258064516129</v>
      </c>
      <c r="L227" s="58"/>
      <c r="N227" s="71"/>
      <c r="O227" s="72" t="s">
        <v>56</v>
      </c>
      <c r="P227" s="72"/>
      <c r="Q227" s="72"/>
      <c r="R227" s="72">
        <v>0</v>
      </c>
      <c r="S227" s="63"/>
      <c r="T227" s="72" t="s">
        <v>56</v>
      </c>
      <c r="U227" s="102">
        <v>0</v>
      </c>
      <c r="V227" s="74"/>
      <c r="W227" s="102">
        <f t="shared" si="53"/>
        <v>0</v>
      </c>
      <c r="X227" s="74"/>
      <c r="Y227" s="102">
        <f t="shared" si="54"/>
        <v>0</v>
      </c>
      <c r="Z227" s="76"/>
    </row>
    <row r="228" spans="1:26" s="29" customFormat="1" ht="27.75" customHeight="1" x14ac:dyDescent="0.2">
      <c r="A228" s="30"/>
      <c r="L228" s="46"/>
      <c r="N228" s="71"/>
      <c r="O228" s="72" t="s">
        <v>52</v>
      </c>
      <c r="P228" s="72"/>
      <c r="Q228" s="72"/>
      <c r="R228" s="72">
        <v>0</v>
      </c>
      <c r="S228" s="63"/>
      <c r="T228" s="72" t="s">
        <v>52</v>
      </c>
      <c r="U228" s="102" t="str">
        <f>IF($J$1="October",Y227,"")</f>
        <v/>
      </c>
      <c r="V228" s="74"/>
      <c r="W228" s="102" t="str">
        <f t="shared" si="53"/>
        <v/>
      </c>
      <c r="X228" s="74"/>
      <c r="Y228" s="102" t="str">
        <f t="shared" si="54"/>
        <v/>
      </c>
      <c r="Z228" s="76"/>
    </row>
    <row r="229" spans="1:26" s="29" customFormat="1" ht="27.75" customHeight="1" x14ac:dyDescent="0.35">
      <c r="A229" s="30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46"/>
      <c r="N229" s="71"/>
      <c r="O229" s="72" t="s">
        <v>57</v>
      </c>
      <c r="P229" s="72"/>
      <c r="Q229" s="72"/>
      <c r="R229" s="72" t="str">
        <f t="shared" si="51"/>
        <v/>
      </c>
      <c r="S229" s="63"/>
      <c r="T229" s="72" t="s">
        <v>57</v>
      </c>
      <c r="U229" s="102"/>
      <c r="V229" s="74"/>
      <c r="W229" s="102" t="str">
        <f t="shared" si="53"/>
        <v/>
      </c>
      <c r="X229" s="74"/>
      <c r="Y229" s="102" t="str">
        <f t="shared" si="54"/>
        <v/>
      </c>
      <c r="Z229" s="76"/>
    </row>
    <row r="230" spans="1:26" s="29" customFormat="1" ht="27.75" customHeight="1" thickBot="1" x14ac:dyDescent="0.4">
      <c r="A230" s="59"/>
      <c r="B230" s="320"/>
      <c r="C230" s="320"/>
      <c r="D230" s="320"/>
      <c r="E230" s="320"/>
      <c r="F230" s="320"/>
      <c r="G230" s="320"/>
      <c r="H230" s="320"/>
      <c r="I230" s="320"/>
      <c r="J230" s="320"/>
      <c r="K230" s="320"/>
      <c r="L230" s="61"/>
      <c r="N230" s="71"/>
      <c r="O230" s="72" t="s">
        <v>58</v>
      </c>
      <c r="P230" s="72"/>
      <c r="Q230" s="72"/>
      <c r="R230" s="72">
        <v>0</v>
      </c>
      <c r="S230" s="63"/>
      <c r="T230" s="72" t="s">
        <v>58</v>
      </c>
      <c r="U230" s="102"/>
      <c r="V230" s="74"/>
      <c r="W230" s="102" t="str">
        <f t="shared" si="53"/>
        <v/>
      </c>
      <c r="X230" s="74"/>
      <c r="Y230" s="102" t="str">
        <f t="shared" si="54"/>
        <v/>
      </c>
      <c r="Z230" s="76"/>
    </row>
    <row r="231" spans="1:26" s="94" customFormat="1" ht="27.75" customHeight="1" thickBot="1" x14ac:dyDescent="0.25"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s="29" customFormat="1" ht="27.75" customHeight="1" thickBot="1" x14ac:dyDescent="0.25">
      <c r="A232" s="389" t="s">
        <v>40</v>
      </c>
      <c r="B232" s="390"/>
      <c r="C232" s="390"/>
      <c r="D232" s="390"/>
      <c r="E232" s="390"/>
      <c r="F232" s="390"/>
      <c r="G232" s="390"/>
      <c r="H232" s="390"/>
      <c r="I232" s="390"/>
      <c r="J232" s="390"/>
      <c r="K232" s="390"/>
      <c r="L232" s="391"/>
      <c r="M232" s="28"/>
      <c r="N232" s="64"/>
      <c r="O232" s="377" t="s">
        <v>42</v>
      </c>
      <c r="P232" s="378"/>
      <c r="Q232" s="378"/>
      <c r="R232" s="379"/>
      <c r="S232" s="65"/>
      <c r="T232" s="377" t="s">
        <v>43</v>
      </c>
      <c r="U232" s="378"/>
      <c r="V232" s="378"/>
      <c r="W232" s="378"/>
      <c r="X232" s="378"/>
      <c r="Y232" s="379"/>
      <c r="Z232" s="66"/>
    </row>
    <row r="233" spans="1:26" s="29" customFormat="1" ht="27.75" customHeight="1" x14ac:dyDescent="0.2">
      <c r="A233" s="30"/>
      <c r="C233" s="386" t="s">
        <v>83</v>
      </c>
      <c r="D233" s="386"/>
      <c r="E233" s="386"/>
      <c r="F233" s="386"/>
      <c r="G233" s="31" t="str">
        <f>$J$1</f>
        <v>August</v>
      </c>
      <c r="H233" s="385">
        <f>$K$1</f>
        <v>2023</v>
      </c>
      <c r="I233" s="385"/>
      <c r="K233" s="32"/>
      <c r="L233" s="33"/>
      <c r="M233" s="32"/>
      <c r="N233" s="67"/>
      <c r="O233" s="68" t="s">
        <v>53</v>
      </c>
      <c r="P233" s="68" t="s">
        <v>7</v>
      </c>
      <c r="Q233" s="68" t="s">
        <v>6</v>
      </c>
      <c r="R233" s="68" t="s">
        <v>54</v>
      </c>
      <c r="S233" s="69"/>
      <c r="T233" s="68" t="s">
        <v>53</v>
      </c>
      <c r="U233" s="68" t="s">
        <v>55</v>
      </c>
      <c r="V233" s="68" t="s">
        <v>20</v>
      </c>
      <c r="W233" s="68" t="s">
        <v>19</v>
      </c>
      <c r="X233" s="68" t="s">
        <v>21</v>
      </c>
      <c r="Y233" s="68" t="s">
        <v>59</v>
      </c>
      <c r="Z233" s="70"/>
    </row>
    <row r="234" spans="1:26" s="29" customFormat="1" ht="27.75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f>17000+2000+4000</f>
        <v>23000</v>
      </c>
      <c r="L234" s="38"/>
      <c r="N234" s="71"/>
      <c r="O234" s="72" t="s">
        <v>45</v>
      </c>
      <c r="P234" s="72">
        <v>31</v>
      </c>
      <c r="Q234" s="72">
        <v>0</v>
      </c>
      <c r="R234" s="72">
        <f>9-Q234</f>
        <v>9</v>
      </c>
      <c r="S234" s="73"/>
      <c r="T234" s="72" t="s">
        <v>45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6" s="29" customFormat="1" ht="27.75" customHeight="1" x14ac:dyDescent="0.2">
      <c r="A235" s="30"/>
      <c r="B235" s="29" t="s">
        <v>0</v>
      </c>
      <c r="C235" s="40" t="s">
        <v>146</v>
      </c>
      <c r="H235" s="41"/>
      <c r="I235" s="35"/>
      <c r="L235" s="42"/>
      <c r="M235" s="28"/>
      <c r="N235" s="75"/>
      <c r="O235" s="72" t="s">
        <v>71</v>
      </c>
      <c r="P235" s="72">
        <v>25</v>
      </c>
      <c r="Q235" s="72">
        <v>3</v>
      </c>
      <c r="R235" s="72">
        <f t="shared" ref="R235:R245" si="55">IF(Q235="","",R234-Q235)</f>
        <v>6</v>
      </c>
      <c r="S235" s="63"/>
      <c r="T235" s="72" t="s">
        <v>71</v>
      </c>
      <c r="U235" s="102">
        <f>Y234</f>
        <v>0</v>
      </c>
      <c r="V235" s="74"/>
      <c r="W235" s="102">
        <f>IF(U235="","",U235+V235)</f>
        <v>0</v>
      </c>
      <c r="X235" s="74"/>
      <c r="Y235" s="102">
        <f>IF(W235="","",W235-X235)</f>
        <v>0</v>
      </c>
      <c r="Z235" s="76"/>
    </row>
    <row r="236" spans="1:26" s="29" customFormat="1" ht="27.75" customHeight="1" x14ac:dyDescent="0.2">
      <c r="A236" s="30"/>
      <c r="B236" s="44" t="s">
        <v>41</v>
      </c>
      <c r="C236" s="45"/>
      <c r="F236" s="382" t="s">
        <v>43</v>
      </c>
      <c r="G236" s="384"/>
      <c r="I236" s="382" t="s">
        <v>44</v>
      </c>
      <c r="J236" s="383"/>
      <c r="K236" s="384"/>
      <c r="L236" s="46"/>
      <c r="N236" s="71"/>
      <c r="O236" s="72" t="s">
        <v>46</v>
      </c>
      <c r="P236" s="72">
        <v>30</v>
      </c>
      <c r="Q236" s="72">
        <v>1</v>
      </c>
      <c r="R236" s="72">
        <f t="shared" si="55"/>
        <v>5</v>
      </c>
      <c r="S236" s="63"/>
      <c r="T236" s="72" t="s">
        <v>46</v>
      </c>
      <c r="U236" s="102">
        <f>IF($J$1="April",Y235,Y235)</f>
        <v>0</v>
      </c>
      <c r="V236" s="74"/>
      <c r="W236" s="102">
        <f t="shared" ref="W236:W245" si="56">IF(U236="","",U236+V236)</f>
        <v>0</v>
      </c>
      <c r="X236" s="74"/>
      <c r="Y236" s="102">
        <f t="shared" ref="Y236:Y245" si="57">IF(W236="","",W236-X236)</f>
        <v>0</v>
      </c>
      <c r="Z236" s="76"/>
    </row>
    <row r="237" spans="1:26" s="29" customFormat="1" ht="27.75" customHeight="1" x14ac:dyDescent="0.2">
      <c r="A237" s="30"/>
      <c r="H237" s="47"/>
      <c r="L237" s="34"/>
      <c r="N237" s="71"/>
      <c r="O237" s="72" t="s">
        <v>47</v>
      </c>
      <c r="P237" s="72">
        <v>28</v>
      </c>
      <c r="Q237" s="72">
        <v>2</v>
      </c>
      <c r="R237" s="72">
        <f t="shared" si="55"/>
        <v>3</v>
      </c>
      <c r="S237" s="63"/>
      <c r="T237" s="72" t="s">
        <v>47</v>
      </c>
      <c r="U237" s="102">
        <f>Y236</f>
        <v>0</v>
      </c>
      <c r="V237" s="74"/>
      <c r="W237" s="102">
        <f t="shared" si="56"/>
        <v>0</v>
      </c>
      <c r="X237" s="74"/>
      <c r="Y237" s="102">
        <f t="shared" si="57"/>
        <v>0</v>
      </c>
      <c r="Z237" s="76"/>
    </row>
    <row r="238" spans="1:26" s="29" customFormat="1" ht="27.75" customHeight="1" x14ac:dyDescent="0.2">
      <c r="A238" s="30"/>
      <c r="B238" s="380" t="s">
        <v>42</v>
      </c>
      <c r="C238" s="381"/>
      <c r="F238" s="48" t="s">
        <v>64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3000</v>
      </c>
      <c r="H238" s="47"/>
      <c r="I238" s="49">
        <f>IF(C242&gt;0,$K$2,C240)</f>
        <v>31</v>
      </c>
      <c r="J238" s="50" t="s">
        <v>61</v>
      </c>
      <c r="K238" s="51">
        <f>K234/$K$2*I238</f>
        <v>23000</v>
      </c>
      <c r="L238" s="52"/>
      <c r="N238" s="71"/>
      <c r="O238" s="72" t="s">
        <v>48</v>
      </c>
      <c r="P238" s="72">
        <v>30</v>
      </c>
      <c r="Q238" s="72">
        <v>1</v>
      </c>
      <c r="R238" s="72">
        <f t="shared" si="55"/>
        <v>2</v>
      </c>
      <c r="S238" s="63"/>
      <c r="T238" s="72" t="s">
        <v>48</v>
      </c>
      <c r="U238" s="102">
        <f>IF($J$1="May",Y237,Y237)</f>
        <v>0</v>
      </c>
      <c r="V238" s="74"/>
      <c r="W238" s="102">
        <f t="shared" si="56"/>
        <v>0</v>
      </c>
      <c r="X238" s="74"/>
      <c r="Y238" s="102">
        <f t="shared" si="57"/>
        <v>0</v>
      </c>
      <c r="Z238" s="76"/>
    </row>
    <row r="239" spans="1:26" s="29" customFormat="1" ht="27.75" customHeight="1" x14ac:dyDescent="0.2">
      <c r="A239" s="30"/>
      <c r="B239" s="39"/>
      <c r="C239" s="39"/>
      <c r="F239" s="48" t="s">
        <v>20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2000</v>
      </c>
      <c r="H239" s="47"/>
      <c r="I239" s="49">
        <v>19</v>
      </c>
      <c r="J239" s="50" t="s">
        <v>62</v>
      </c>
      <c r="K239" s="53">
        <f>K234/$K$2/8*I239</f>
        <v>1762.0967741935483</v>
      </c>
      <c r="L239" s="54"/>
      <c r="N239" s="71"/>
      <c r="O239" s="72" t="s">
        <v>49</v>
      </c>
      <c r="P239" s="72">
        <v>30</v>
      </c>
      <c r="Q239" s="72">
        <v>0</v>
      </c>
      <c r="R239" s="72">
        <f t="shared" si="55"/>
        <v>2</v>
      </c>
      <c r="S239" s="63"/>
      <c r="T239" s="72" t="s">
        <v>49</v>
      </c>
      <c r="U239" s="102">
        <f>IF($J$1="May",Y238,Y238)</f>
        <v>0</v>
      </c>
      <c r="V239" s="74">
        <f>2000+10000</f>
        <v>12000</v>
      </c>
      <c r="W239" s="102">
        <f t="shared" si="56"/>
        <v>12000</v>
      </c>
      <c r="X239" s="74">
        <v>12000</v>
      </c>
      <c r="Y239" s="102">
        <f t="shared" si="57"/>
        <v>0</v>
      </c>
      <c r="Z239" s="76"/>
    </row>
    <row r="240" spans="1:26" s="29" customFormat="1" ht="27.75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F240" s="48" t="s">
        <v>65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5000</v>
      </c>
      <c r="H240" s="47"/>
      <c r="I240" s="387" t="s">
        <v>69</v>
      </c>
      <c r="J240" s="388"/>
      <c r="K240" s="53">
        <f>K238+K239</f>
        <v>24762.096774193549</v>
      </c>
      <c r="L240" s="54"/>
      <c r="N240" s="71"/>
      <c r="O240" s="72" t="s">
        <v>50</v>
      </c>
      <c r="P240" s="72">
        <v>29</v>
      </c>
      <c r="Q240" s="72">
        <v>2</v>
      </c>
      <c r="R240" s="72">
        <f t="shared" si="55"/>
        <v>0</v>
      </c>
      <c r="S240" s="63"/>
      <c r="T240" s="72" t="s">
        <v>50</v>
      </c>
      <c r="U240" s="102">
        <f>Y239</f>
        <v>0</v>
      </c>
      <c r="V240" s="74">
        <v>5000</v>
      </c>
      <c r="W240" s="102">
        <f t="shared" si="56"/>
        <v>5000</v>
      </c>
      <c r="X240" s="74">
        <v>2000</v>
      </c>
      <c r="Y240" s="102">
        <f t="shared" si="57"/>
        <v>3000</v>
      </c>
      <c r="Z240" s="76"/>
    </row>
    <row r="241" spans="1:26" s="29" customFormat="1" ht="27.75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21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2000</v>
      </c>
      <c r="H241" s="47"/>
      <c r="I241" s="387" t="s">
        <v>70</v>
      </c>
      <c r="J241" s="388"/>
      <c r="K241" s="43">
        <f>G241</f>
        <v>2000</v>
      </c>
      <c r="L241" s="55"/>
      <c r="N241" s="71"/>
      <c r="O241" s="72" t="s">
        <v>51</v>
      </c>
      <c r="P241" s="72">
        <v>31</v>
      </c>
      <c r="Q241" s="72">
        <v>0</v>
      </c>
      <c r="R241" s="72">
        <f t="shared" si="55"/>
        <v>0</v>
      </c>
      <c r="S241" s="63"/>
      <c r="T241" s="72" t="s">
        <v>51</v>
      </c>
      <c r="U241" s="102">
        <f>Y240</f>
        <v>3000</v>
      </c>
      <c r="V241" s="74">
        <v>2000</v>
      </c>
      <c r="W241" s="102">
        <f t="shared" si="56"/>
        <v>5000</v>
      </c>
      <c r="X241" s="74">
        <v>2000</v>
      </c>
      <c r="Y241" s="102">
        <f t="shared" si="57"/>
        <v>3000</v>
      </c>
      <c r="Z241" s="76"/>
    </row>
    <row r="242" spans="1:26" s="29" customFormat="1" ht="27.75" customHeight="1" x14ac:dyDescent="0.2">
      <c r="A242" s="30"/>
      <c r="B242" s="318" t="s">
        <v>68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F242" s="318" t="s">
        <v>210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3000</v>
      </c>
      <c r="I242" s="382" t="s">
        <v>63</v>
      </c>
      <c r="J242" s="384"/>
      <c r="K242" s="57">
        <f>K240-K241</f>
        <v>22762.096774193549</v>
      </c>
      <c r="L242" s="58"/>
      <c r="N242" s="71"/>
      <c r="O242" s="72" t="s">
        <v>56</v>
      </c>
      <c r="P242" s="72"/>
      <c r="Q242" s="72"/>
      <c r="R242" s="72">
        <v>0</v>
      </c>
      <c r="S242" s="63"/>
      <c r="T242" s="72" t="s">
        <v>56</v>
      </c>
      <c r="U242" s="102">
        <v>0</v>
      </c>
      <c r="V242" s="74"/>
      <c r="W242" s="102">
        <f t="shared" si="56"/>
        <v>0</v>
      </c>
      <c r="X242" s="74"/>
      <c r="Y242" s="102">
        <f t="shared" si="57"/>
        <v>0</v>
      </c>
      <c r="Z242" s="76"/>
    </row>
    <row r="243" spans="1:26" s="29" customFormat="1" ht="27.75" customHeight="1" x14ac:dyDescent="0.2">
      <c r="A243" s="30"/>
      <c r="L243" s="46"/>
      <c r="N243" s="71"/>
      <c r="O243" s="72" t="s">
        <v>52</v>
      </c>
      <c r="P243" s="72"/>
      <c r="Q243" s="72"/>
      <c r="R243" s="72">
        <v>0</v>
      </c>
      <c r="S243" s="63"/>
      <c r="T243" s="72" t="s">
        <v>52</v>
      </c>
      <c r="U243" s="102" t="str">
        <f>IF($J$1="October",Y242,"")</f>
        <v/>
      </c>
      <c r="V243" s="74"/>
      <c r="W243" s="102" t="str">
        <f t="shared" si="56"/>
        <v/>
      </c>
      <c r="X243" s="74"/>
      <c r="Y243" s="102" t="str">
        <f t="shared" si="57"/>
        <v/>
      </c>
      <c r="Z243" s="76"/>
    </row>
    <row r="244" spans="1:26" s="29" customFormat="1" ht="27.75" customHeight="1" x14ac:dyDescent="0.35">
      <c r="A244" s="30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46"/>
      <c r="N244" s="71"/>
      <c r="O244" s="72" t="s">
        <v>57</v>
      </c>
      <c r="P244" s="72"/>
      <c r="Q244" s="72"/>
      <c r="R244" s="72" t="str">
        <f t="shared" si="55"/>
        <v/>
      </c>
      <c r="S244" s="63"/>
      <c r="T244" s="72" t="s">
        <v>57</v>
      </c>
      <c r="U244" s="102" t="str">
        <f t="shared" ref="U244:U245" si="58">Y243</f>
        <v/>
      </c>
      <c r="V244" s="74"/>
      <c r="W244" s="102" t="str">
        <f t="shared" si="56"/>
        <v/>
      </c>
      <c r="X244" s="74"/>
      <c r="Y244" s="102" t="str">
        <f t="shared" si="57"/>
        <v/>
      </c>
      <c r="Z244" s="76"/>
    </row>
    <row r="245" spans="1:26" s="29" customFormat="1" ht="27.75" customHeight="1" thickBot="1" x14ac:dyDescent="0.4">
      <c r="A245" s="59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61"/>
      <c r="N245" s="71"/>
      <c r="O245" s="72" t="s">
        <v>58</v>
      </c>
      <c r="P245" s="72"/>
      <c r="Q245" s="72"/>
      <c r="R245" s="72" t="str">
        <f t="shared" si="55"/>
        <v/>
      </c>
      <c r="S245" s="63"/>
      <c r="T245" s="72" t="s">
        <v>58</v>
      </c>
      <c r="U245" s="102" t="str">
        <f t="shared" si="58"/>
        <v/>
      </c>
      <c r="V245" s="74"/>
      <c r="W245" s="102" t="str">
        <f t="shared" si="56"/>
        <v/>
      </c>
      <c r="X245" s="74"/>
      <c r="Y245" s="102" t="str">
        <f t="shared" si="57"/>
        <v/>
      </c>
      <c r="Z245" s="76"/>
    </row>
    <row r="246" spans="1:26" s="94" customFormat="1" ht="27.75" customHeight="1" thickBot="1" x14ac:dyDescent="0.25"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s="29" customFormat="1" ht="27.75" customHeight="1" thickBot="1" x14ac:dyDescent="0.25">
      <c r="A247" s="389" t="s">
        <v>40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1"/>
      <c r="M247" s="28"/>
      <c r="N247" s="64"/>
      <c r="O247" s="377" t="s">
        <v>42</v>
      </c>
      <c r="P247" s="378"/>
      <c r="Q247" s="378"/>
      <c r="R247" s="379"/>
      <c r="S247" s="65"/>
      <c r="T247" s="377" t="s">
        <v>43</v>
      </c>
      <c r="U247" s="378"/>
      <c r="V247" s="378"/>
      <c r="W247" s="378"/>
      <c r="X247" s="378"/>
      <c r="Y247" s="379"/>
      <c r="Z247" s="63"/>
    </row>
    <row r="248" spans="1:26" s="29" customFormat="1" ht="27.75" customHeight="1" x14ac:dyDescent="0.2">
      <c r="A248" s="30"/>
      <c r="C248" s="386" t="s">
        <v>83</v>
      </c>
      <c r="D248" s="386"/>
      <c r="E248" s="386"/>
      <c r="F248" s="386"/>
      <c r="G248" s="31" t="str">
        <f>$J$1</f>
        <v>August</v>
      </c>
      <c r="H248" s="385">
        <f>$K$1</f>
        <v>2023</v>
      </c>
      <c r="I248" s="385"/>
      <c r="K248" s="32"/>
      <c r="L248" s="33"/>
      <c r="M248" s="32"/>
      <c r="N248" s="67"/>
      <c r="O248" s="68" t="s">
        <v>53</v>
      </c>
      <c r="P248" s="68" t="s">
        <v>7</v>
      </c>
      <c r="Q248" s="68" t="s">
        <v>6</v>
      </c>
      <c r="R248" s="68" t="s">
        <v>54</v>
      </c>
      <c r="S248" s="69"/>
      <c r="T248" s="68" t="s">
        <v>53</v>
      </c>
      <c r="U248" s="68" t="s">
        <v>55</v>
      </c>
      <c r="V248" s="68" t="s">
        <v>20</v>
      </c>
      <c r="W248" s="68" t="s">
        <v>19</v>
      </c>
      <c r="X248" s="68" t="s">
        <v>21</v>
      </c>
      <c r="Y248" s="68" t="s">
        <v>59</v>
      </c>
      <c r="Z248" s="63"/>
    </row>
    <row r="249" spans="1:26" s="29" customFormat="1" ht="27.75" customHeight="1" x14ac:dyDescent="0.2">
      <c r="A249" s="30"/>
      <c r="D249" s="35"/>
      <c r="E249" s="35"/>
      <c r="F249" s="35"/>
      <c r="G249" s="35"/>
      <c r="H249" s="35"/>
      <c r="J249" s="36" t="s">
        <v>1</v>
      </c>
      <c r="K249" s="37">
        <v>24000</v>
      </c>
      <c r="L249" s="38"/>
      <c r="N249" s="71"/>
      <c r="O249" s="72" t="s">
        <v>45</v>
      </c>
      <c r="P249" s="72"/>
      <c r="Q249" s="72"/>
      <c r="R249" s="72">
        <v>15</v>
      </c>
      <c r="S249" s="73"/>
      <c r="T249" s="72" t="s">
        <v>45</v>
      </c>
      <c r="U249" s="74"/>
      <c r="V249" s="74"/>
      <c r="W249" s="74"/>
      <c r="X249" s="74"/>
      <c r="Y249" s="74"/>
      <c r="Z249" s="63"/>
    </row>
    <row r="250" spans="1:26" s="29" customFormat="1" ht="27.75" customHeight="1" x14ac:dyDescent="0.2">
      <c r="A250" s="30"/>
      <c r="B250" s="29" t="s">
        <v>0</v>
      </c>
      <c r="C250" s="40" t="s">
        <v>211</v>
      </c>
      <c r="H250" s="41"/>
      <c r="I250" s="35"/>
      <c r="L250" s="42"/>
      <c r="M250" s="28"/>
      <c r="N250" s="75"/>
      <c r="O250" s="72" t="s">
        <v>71</v>
      </c>
      <c r="P250" s="72"/>
      <c r="Q250" s="72"/>
      <c r="R250" s="72">
        <f>R249-Q250</f>
        <v>15</v>
      </c>
      <c r="S250" s="63"/>
      <c r="T250" s="72" t="s">
        <v>71</v>
      </c>
      <c r="U250" s="102"/>
      <c r="V250" s="74"/>
      <c r="W250" s="102" t="str">
        <f>IF(U250="","",U250+V250)</f>
        <v/>
      </c>
      <c r="X250" s="74"/>
      <c r="Y250" s="102" t="str">
        <f>IF(W250="","",W250-X250)</f>
        <v/>
      </c>
      <c r="Z250" s="63"/>
    </row>
    <row r="251" spans="1:26" s="29" customFormat="1" ht="27.75" customHeight="1" x14ac:dyDescent="0.2">
      <c r="A251" s="30"/>
      <c r="B251" s="44" t="s">
        <v>41</v>
      </c>
      <c r="C251" s="326">
        <v>45145</v>
      </c>
      <c r="F251" s="382" t="s">
        <v>43</v>
      </c>
      <c r="G251" s="384"/>
      <c r="I251" s="382" t="s">
        <v>44</v>
      </c>
      <c r="J251" s="383"/>
      <c r="K251" s="384"/>
      <c r="L251" s="46"/>
      <c r="N251" s="71"/>
      <c r="O251" s="72" t="s">
        <v>46</v>
      </c>
      <c r="P251" s="72"/>
      <c r="Q251" s="72"/>
      <c r="R251" s="72">
        <v>0</v>
      </c>
      <c r="S251" s="63"/>
      <c r="T251" s="72" t="s">
        <v>46</v>
      </c>
      <c r="U251" s="102"/>
      <c r="V251" s="74"/>
      <c r="W251" s="102" t="str">
        <f t="shared" ref="W251:W260" si="59">IF(U251="","",U251+V251)</f>
        <v/>
      </c>
      <c r="X251" s="74"/>
      <c r="Y251" s="102" t="str">
        <f t="shared" ref="Y251:Y260" si="60">IF(W251="","",W251-X251)</f>
        <v/>
      </c>
      <c r="Z251" s="63"/>
    </row>
    <row r="252" spans="1:26" s="29" customFormat="1" ht="27.75" customHeight="1" x14ac:dyDescent="0.2">
      <c r="A252" s="30"/>
      <c r="H252" s="47"/>
      <c r="L252" s="34"/>
      <c r="N252" s="71"/>
      <c r="O252" s="72" t="s">
        <v>47</v>
      </c>
      <c r="P252" s="72"/>
      <c r="Q252" s="72"/>
      <c r="R252" s="72" t="str">
        <f t="shared" ref="R252:R260" si="61">IF(Q252="","",R251-Q252)</f>
        <v/>
      </c>
      <c r="S252" s="63"/>
      <c r="T252" s="72" t="s">
        <v>47</v>
      </c>
      <c r="U252" s="102"/>
      <c r="V252" s="74"/>
      <c r="W252" s="102" t="str">
        <f t="shared" si="59"/>
        <v/>
      </c>
      <c r="X252" s="74"/>
      <c r="Y252" s="102" t="str">
        <f t="shared" si="60"/>
        <v/>
      </c>
      <c r="Z252" s="63"/>
    </row>
    <row r="253" spans="1:26" s="29" customFormat="1" ht="27.75" customHeight="1" x14ac:dyDescent="0.2">
      <c r="A253" s="30"/>
      <c r="B253" s="380" t="s">
        <v>42</v>
      </c>
      <c r="C253" s="381"/>
      <c r="F253" s="48" t="s">
        <v>64</v>
      </c>
      <c r="G253" s="4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47"/>
      <c r="I253" s="49">
        <f>IF(C257&gt;0,$K$2,C255)</f>
        <v>31</v>
      </c>
      <c r="J253" s="50" t="s">
        <v>61</v>
      </c>
      <c r="K253" s="51">
        <f>K249/$K$2*I253</f>
        <v>24000</v>
      </c>
      <c r="L253" s="52"/>
      <c r="N253" s="71"/>
      <c r="O253" s="72" t="s">
        <v>48</v>
      </c>
      <c r="P253" s="72"/>
      <c r="Q253" s="72"/>
      <c r="R253" s="72" t="str">
        <f t="shared" si="61"/>
        <v/>
      </c>
      <c r="S253" s="63"/>
      <c r="T253" s="72" t="s">
        <v>48</v>
      </c>
      <c r="U253" s="102"/>
      <c r="V253" s="74"/>
      <c r="W253" s="102" t="str">
        <f t="shared" si="59"/>
        <v/>
      </c>
      <c r="X253" s="74"/>
      <c r="Y253" s="102" t="str">
        <f t="shared" si="60"/>
        <v/>
      </c>
      <c r="Z253" s="63"/>
    </row>
    <row r="254" spans="1:26" s="29" customFormat="1" ht="27.75" customHeight="1" x14ac:dyDescent="0.2">
      <c r="A254" s="30"/>
      <c r="B254" s="39"/>
      <c r="C254" s="39"/>
      <c r="F254" s="48" t="s">
        <v>20</v>
      </c>
      <c r="G254" s="4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47"/>
      <c r="I254" s="49">
        <v>8</v>
      </c>
      <c r="J254" s="50" t="s">
        <v>62</v>
      </c>
      <c r="K254" s="53">
        <f>K249/$K$2/8*I254</f>
        <v>774.19354838709683</v>
      </c>
      <c r="L254" s="54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2" t="str">
        <f>Y253</f>
        <v/>
      </c>
      <c r="V254" s="74"/>
      <c r="W254" s="102"/>
      <c r="X254" s="74"/>
      <c r="Y254" s="102" t="str">
        <f t="shared" si="60"/>
        <v/>
      </c>
      <c r="Z254" s="63"/>
    </row>
    <row r="255" spans="1:26" s="29" customFormat="1" ht="27.75" customHeight="1" x14ac:dyDescent="0.2">
      <c r="A255" s="30"/>
      <c r="B255" s="48" t="s">
        <v>7</v>
      </c>
      <c r="C255" s="39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F255" s="48" t="s">
        <v>65</v>
      </c>
      <c r="G255" s="43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47"/>
      <c r="I255" s="387" t="s">
        <v>69</v>
      </c>
      <c r="J255" s="388"/>
      <c r="K255" s="53">
        <f>K253+K254</f>
        <v>24774.193548387098</v>
      </c>
      <c r="L255" s="54"/>
      <c r="N255" s="71"/>
      <c r="O255" s="72" t="s">
        <v>50</v>
      </c>
      <c r="P255" s="72">
        <v>25</v>
      </c>
      <c r="Q255" s="72">
        <v>6</v>
      </c>
      <c r="R255" s="72">
        <v>0</v>
      </c>
      <c r="S255" s="63"/>
      <c r="T255" s="72" t="s">
        <v>50</v>
      </c>
      <c r="U255" s="102"/>
      <c r="V255" s="74"/>
      <c r="W255" s="102" t="str">
        <f t="shared" si="59"/>
        <v/>
      </c>
      <c r="X255" s="74"/>
      <c r="Y255" s="102" t="str">
        <f t="shared" si="60"/>
        <v/>
      </c>
      <c r="Z255" s="63"/>
    </row>
    <row r="256" spans="1:26" s="29" customFormat="1" ht="27.75" customHeight="1" x14ac:dyDescent="0.2">
      <c r="A256" s="30"/>
      <c r="B256" s="48" t="s">
        <v>6</v>
      </c>
      <c r="C256" s="39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F256" s="48" t="s">
        <v>21</v>
      </c>
      <c r="G256" s="4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47"/>
      <c r="I256" s="387" t="s">
        <v>70</v>
      </c>
      <c r="J256" s="388"/>
      <c r="K256" s="43">
        <f>G256</f>
        <v>0</v>
      </c>
      <c r="L256" s="55"/>
      <c r="N256" s="71"/>
      <c r="O256" s="72" t="s">
        <v>51</v>
      </c>
      <c r="P256" s="72">
        <v>31</v>
      </c>
      <c r="Q256" s="72">
        <v>0</v>
      </c>
      <c r="R256" s="72">
        <f t="shared" si="61"/>
        <v>0</v>
      </c>
      <c r="S256" s="63"/>
      <c r="T256" s="72" t="s">
        <v>51</v>
      </c>
      <c r="U256" s="102"/>
      <c r="V256" s="74"/>
      <c r="W256" s="102" t="str">
        <f t="shared" si="59"/>
        <v/>
      </c>
      <c r="X256" s="74"/>
      <c r="Y256" s="102" t="str">
        <f t="shared" si="60"/>
        <v/>
      </c>
      <c r="Z256" s="63"/>
    </row>
    <row r="257" spans="1:26" s="29" customFormat="1" ht="27.75" customHeight="1" x14ac:dyDescent="0.2">
      <c r="A257" s="30"/>
      <c r="B257" s="318" t="s">
        <v>68</v>
      </c>
      <c r="C257" s="39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F257" s="318" t="s">
        <v>210</v>
      </c>
      <c r="G257" s="43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I257" s="382" t="s">
        <v>63</v>
      </c>
      <c r="J257" s="384"/>
      <c r="K257" s="57">
        <f>K255-K256</f>
        <v>24774.193548387098</v>
      </c>
      <c r="L257" s="58"/>
      <c r="N257" s="71"/>
      <c r="O257" s="72" t="s">
        <v>56</v>
      </c>
      <c r="P257" s="72"/>
      <c r="Q257" s="72"/>
      <c r="R257" s="72">
        <v>0</v>
      </c>
      <c r="S257" s="63"/>
      <c r="T257" s="72" t="s">
        <v>56</v>
      </c>
      <c r="U257" s="102" t="str">
        <f>IF($J$1="September",Y256,"")</f>
        <v/>
      </c>
      <c r="V257" s="74"/>
      <c r="W257" s="102" t="str">
        <f t="shared" si="59"/>
        <v/>
      </c>
      <c r="X257" s="74"/>
      <c r="Y257" s="102" t="str">
        <f t="shared" si="60"/>
        <v/>
      </c>
      <c r="Z257" s="76"/>
    </row>
    <row r="258" spans="1:26" s="29" customFormat="1" ht="27.75" customHeight="1" x14ac:dyDescent="0.2">
      <c r="A258" s="30"/>
      <c r="L258" s="46"/>
      <c r="N258" s="71"/>
      <c r="O258" s="72" t="s">
        <v>52</v>
      </c>
      <c r="P258" s="72"/>
      <c r="Q258" s="72"/>
      <c r="R258" s="72">
        <v>0</v>
      </c>
      <c r="S258" s="63"/>
      <c r="T258" s="72" t="s">
        <v>52</v>
      </c>
      <c r="U258" s="102" t="str">
        <f>IF($J$1="October",Y257,"")</f>
        <v/>
      </c>
      <c r="V258" s="74"/>
      <c r="W258" s="102" t="str">
        <f t="shared" si="59"/>
        <v/>
      </c>
      <c r="X258" s="74"/>
      <c r="Y258" s="102" t="str">
        <f t="shared" si="60"/>
        <v/>
      </c>
      <c r="Z258" s="76"/>
    </row>
    <row r="259" spans="1:26" s="29" customFormat="1" ht="27.75" customHeight="1" x14ac:dyDescent="0.35">
      <c r="A259" s="30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46"/>
      <c r="N259" s="71"/>
      <c r="O259" s="72" t="s">
        <v>57</v>
      </c>
      <c r="P259" s="72"/>
      <c r="Q259" s="72"/>
      <c r="R259" s="72" t="str">
        <f t="shared" si="61"/>
        <v/>
      </c>
      <c r="S259" s="63"/>
      <c r="T259" s="72" t="s">
        <v>57</v>
      </c>
      <c r="U259" s="102"/>
      <c r="V259" s="74"/>
      <c r="W259" s="102" t="str">
        <f t="shared" si="59"/>
        <v/>
      </c>
      <c r="X259" s="74"/>
      <c r="Y259" s="102" t="str">
        <f t="shared" si="60"/>
        <v/>
      </c>
      <c r="Z259" s="63"/>
    </row>
    <row r="260" spans="1:26" s="29" customFormat="1" ht="27.75" customHeight="1" thickBot="1" x14ac:dyDescent="0.4">
      <c r="A260" s="59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61"/>
      <c r="N260" s="71"/>
      <c r="O260" s="72" t="s">
        <v>58</v>
      </c>
      <c r="P260" s="72"/>
      <c r="Q260" s="72"/>
      <c r="R260" s="72" t="str">
        <f t="shared" si="61"/>
        <v/>
      </c>
      <c r="S260" s="63"/>
      <c r="T260" s="72" t="s">
        <v>58</v>
      </c>
      <c r="U260" s="102"/>
      <c r="V260" s="74"/>
      <c r="W260" s="102" t="str">
        <f t="shared" si="59"/>
        <v/>
      </c>
      <c r="X260" s="74"/>
      <c r="Y260" s="102" t="str">
        <f t="shared" si="60"/>
        <v/>
      </c>
      <c r="Z260" s="63"/>
    </row>
    <row r="261" spans="1:26" s="94" customFormat="1" ht="27.75" customHeight="1" thickBot="1" x14ac:dyDescent="0.25"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s="29" customFormat="1" ht="27.75" customHeight="1" thickBot="1" x14ac:dyDescent="0.25">
      <c r="A262" s="389" t="s">
        <v>40</v>
      </c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1"/>
      <c r="M262" s="28"/>
      <c r="N262" s="64"/>
      <c r="O262" s="377" t="s">
        <v>42</v>
      </c>
      <c r="P262" s="378"/>
      <c r="Q262" s="378"/>
      <c r="R262" s="379"/>
      <c r="S262" s="65"/>
      <c r="T262" s="377" t="s">
        <v>43</v>
      </c>
      <c r="U262" s="378"/>
      <c r="V262" s="378"/>
      <c r="W262" s="378"/>
      <c r="X262" s="378"/>
      <c r="Y262" s="379"/>
      <c r="Z262" s="63"/>
    </row>
    <row r="263" spans="1:26" s="29" customFormat="1" ht="27.75" customHeight="1" x14ac:dyDescent="0.2">
      <c r="A263" s="30"/>
      <c r="C263" s="386" t="s">
        <v>83</v>
      </c>
      <c r="D263" s="386"/>
      <c r="E263" s="386"/>
      <c r="F263" s="386"/>
      <c r="G263" s="31" t="str">
        <f>$J$1</f>
        <v>August</v>
      </c>
      <c r="H263" s="385">
        <f>$K$1</f>
        <v>2023</v>
      </c>
      <c r="I263" s="385"/>
      <c r="K263" s="32"/>
      <c r="L263" s="33"/>
      <c r="M263" s="32"/>
      <c r="N263" s="67"/>
      <c r="O263" s="68" t="s">
        <v>53</v>
      </c>
      <c r="P263" s="68" t="s">
        <v>7</v>
      </c>
      <c r="Q263" s="68" t="s">
        <v>6</v>
      </c>
      <c r="R263" s="68" t="s">
        <v>54</v>
      </c>
      <c r="S263" s="69"/>
      <c r="T263" s="68" t="s">
        <v>53</v>
      </c>
      <c r="U263" s="68" t="s">
        <v>55</v>
      </c>
      <c r="V263" s="68" t="s">
        <v>20</v>
      </c>
      <c r="W263" s="68" t="s">
        <v>19</v>
      </c>
      <c r="X263" s="68" t="s">
        <v>21</v>
      </c>
      <c r="Y263" s="68" t="s">
        <v>59</v>
      </c>
      <c r="Z263" s="63"/>
    </row>
    <row r="264" spans="1:26" s="29" customFormat="1" ht="27.75" customHeight="1" x14ac:dyDescent="0.2">
      <c r="A264" s="30"/>
      <c r="D264" s="35"/>
      <c r="E264" s="35"/>
      <c r="F264" s="35"/>
      <c r="G264" s="35"/>
      <c r="H264" s="35"/>
      <c r="J264" s="36" t="s">
        <v>1</v>
      </c>
      <c r="K264" s="37">
        <v>35000</v>
      </c>
      <c r="L264" s="38"/>
      <c r="N264" s="71"/>
      <c r="O264" s="72" t="s">
        <v>45</v>
      </c>
      <c r="P264" s="72"/>
      <c r="Q264" s="72"/>
      <c r="R264" s="72">
        <v>15</v>
      </c>
      <c r="S264" s="73"/>
      <c r="T264" s="72" t="s">
        <v>45</v>
      </c>
      <c r="U264" s="74"/>
      <c r="V264" s="74"/>
      <c r="W264" s="74"/>
      <c r="X264" s="74"/>
      <c r="Y264" s="74"/>
      <c r="Z264" s="63"/>
    </row>
    <row r="265" spans="1:26" s="29" customFormat="1" ht="27.75" customHeight="1" x14ac:dyDescent="0.2">
      <c r="A265" s="30"/>
      <c r="B265" s="29" t="s">
        <v>0</v>
      </c>
      <c r="C265" s="40" t="s">
        <v>207</v>
      </c>
      <c r="H265" s="41"/>
      <c r="I265" s="35"/>
      <c r="L265" s="42"/>
      <c r="M265" s="28"/>
      <c r="N265" s="75"/>
      <c r="O265" s="72" t="s">
        <v>71</v>
      </c>
      <c r="P265" s="72"/>
      <c r="Q265" s="72"/>
      <c r="R265" s="72">
        <v>0</v>
      </c>
      <c r="S265" s="63"/>
      <c r="T265" s="72" t="s">
        <v>71</v>
      </c>
      <c r="U265" s="102"/>
      <c r="V265" s="74"/>
      <c r="W265" s="102"/>
      <c r="X265" s="74"/>
      <c r="Y265" s="102"/>
      <c r="Z265" s="63"/>
    </row>
    <row r="266" spans="1:26" s="29" customFormat="1" ht="27.75" customHeight="1" x14ac:dyDescent="0.2">
      <c r="A266" s="30"/>
      <c r="B266" s="44" t="s">
        <v>41</v>
      </c>
      <c r="C266" s="45"/>
      <c r="F266" s="382" t="s">
        <v>43</v>
      </c>
      <c r="G266" s="384"/>
      <c r="I266" s="382" t="s">
        <v>44</v>
      </c>
      <c r="J266" s="383"/>
      <c r="K266" s="384"/>
      <c r="L266" s="46"/>
      <c r="N266" s="71"/>
      <c r="O266" s="72" t="s">
        <v>46</v>
      </c>
      <c r="P266" s="72"/>
      <c r="Q266" s="72"/>
      <c r="R266" s="72">
        <v>0</v>
      </c>
      <c r="S266" s="63"/>
      <c r="T266" s="72" t="s">
        <v>46</v>
      </c>
      <c r="U266" s="102"/>
      <c r="V266" s="74"/>
      <c r="W266" s="102"/>
      <c r="X266" s="74"/>
      <c r="Y266" s="102"/>
      <c r="Z266" s="63"/>
    </row>
    <row r="267" spans="1:26" s="29" customFormat="1" ht="27.75" customHeight="1" x14ac:dyDescent="0.2">
      <c r="A267" s="30"/>
      <c r="H267" s="47"/>
      <c r="L267" s="34"/>
      <c r="N267" s="71"/>
      <c r="O267" s="72" t="s">
        <v>47</v>
      </c>
      <c r="P267" s="72"/>
      <c r="Q267" s="72"/>
      <c r="R267" s="72">
        <v>0</v>
      </c>
      <c r="S267" s="63"/>
      <c r="T267" s="72" t="s">
        <v>47</v>
      </c>
      <c r="U267" s="102"/>
      <c r="V267" s="74"/>
      <c r="W267" s="102"/>
      <c r="X267" s="74"/>
      <c r="Y267" s="102"/>
      <c r="Z267" s="63"/>
    </row>
    <row r="268" spans="1:26" s="29" customFormat="1" ht="27.75" customHeight="1" x14ac:dyDescent="0.2">
      <c r="A268" s="30"/>
      <c r="B268" s="380" t="s">
        <v>42</v>
      </c>
      <c r="C268" s="381"/>
      <c r="F268" s="48" t="s">
        <v>64</v>
      </c>
      <c r="G268" s="4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47"/>
      <c r="I268" s="49">
        <f>IF(C272&gt;0,$K$2,C270)</f>
        <v>31</v>
      </c>
      <c r="J268" s="50" t="s">
        <v>61</v>
      </c>
      <c r="K268" s="51">
        <f>K264/$K$2*I268</f>
        <v>35000</v>
      </c>
      <c r="L268" s="52"/>
      <c r="N268" s="71"/>
      <c r="O268" s="72" t="s">
        <v>48</v>
      </c>
      <c r="P268" s="72"/>
      <c r="Q268" s="72"/>
      <c r="R268" s="72">
        <v>0</v>
      </c>
      <c r="S268" s="63"/>
      <c r="T268" s="72" t="s">
        <v>48</v>
      </c>
      <c r="U268" s="102"/>
      <c r="V268" s="74"/>
      <c r="W268" s="102"/>
      <c r="X268" s="74"/>
      <c r="Y268" s="102"/>
      <c r="Z268" s="63"/>
    </row>
    <row r="269" spans="1:26" s="29" customFormat="1" ht="27.75" customHeight="1" x14ac:dyDescent="0.2">
      <c r="A269" s="30"/>
      <c r="B269" s="39"/>
      <c r="C269" s="39"/>
      <c r="F269" s="48" t="s">
        <v>20</v>
      </c>
      <c r="G269" s="4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47"/>
      <c r="I269" s="49">
        <v>20</v>
      </c>
      <c r="J269" s="50" t="s">
        <v>62</v>
      </c>
      <c r="K269" s="53">
        <f>K264/$K$2/8*I269</f>
        <v>2822.5806451612902</v>
      </c>
      <c r="L269" s="54"/>
      <c r="N269" s="71"/>
      <c r="O269" s="72" t="s">
        <v>49</v>
      </c>
      <c r="P269" s="72">
        <v>12</v>
      </c>
      <c r="Q269" s="72">
        <v>18</v>
      </c>
      <c r="R269" s="72">
        <v>0</v>
      </c>
      <c r="S269" s="63"/>
      <c r="T269" s="72" t="s">
        <v>49</v>
      </c>
      <c r="U269" s="102">
        <f t="shared" ref="U269" si="62">Y268</f>
        <v>0</v>
      </c>
      <c r="V269" s="74">
        <v>5000</v>
      </c>
      <c r="W269" s="102">
        <f t="shared" ref="W269" si="63">IF(U269="","",U269+V269)</f>
        <v>5000</v>
      </c>
      <c r="X269" s="74">
        <v>5000</v>
      </c>
      <c r="Y269" s="102">
        <f t="shared" ref="Y269" si="64">IF(W269="","",W269-X269)</f>
        <v>0</v>
      </c>
      <c r="Z269" s="63"/>
    </row>
    <row r="270" spans="1:26" s="29" customFormat="1" ht="27.75" customHeight="1" x14ac:dyDescent="0.2">
      <c r="A270" s="30"/>
      <c r="B270" s="48" t="s">
        <v>7</v>
      </c>
      <c r="C270" s="39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F270" s="48" t="s">
        <v>65</v>
      </c>
      <c r="G270" s="43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47"/>
      <c r="I270" s="387" t="s">
        <v>69</v>
      </c>
      <c r="J270" s="388"/>
      <c r="K270" s="53">
        <f>K268+K269</f>
        <v>37822.580645161288</v>
      </c>
      <c r="L270" s="54"/>
      <c r="N270" s="71"/>
      <c r="O270" s="72" t="s">
        <v>50</v>
      </c>
      <c r="P270" s="72">
        <v>31</v>
      </c>
      <c r="Q270" s="72">
        <v>0</v>
      </c>
      <c r="R270" s="72">
        <v>0</v>
      </c>
      <c r="S270" s="63"/>
      <c r="T270" s="72" t="s">
        <v>50</v>
      </c>
      <c r="U270" s="102"/>
      <c r="V270" s="74"/>
      <c r="W270" s="102"/>
      <c r="X270" s="74"/>
      <c r="Y270" s="102"/>
      <c r="Z270" s="63"/>
    </row>
    <row r="271" spans="1:26" s="29" customFormat="1" ht="27.75" customHeight="1" x14ac:dyDescent="0.2">
      <c r="A271" s="30"/>
      <c r="B271" s="48" t="s">
        <v>6</v>
      </c>
      <c r="C271" s="39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F271" s="48" t="s">
        <v>21</v>
      </c>
      <c r="G271" s="4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47"/>
      <c r="I271" s="387" t="s">
        <v>70</v>
      </c>
      <c r="J271" s="388"/>
      <c r="K271" s="43">
        <f>G271</f>
        <v>0</v>
      </c>
      <c r="L271" s="55"/>
      <c r="N271" s="71"/>
      <c r="O271" s="72" t="s">
        <v>51</v>
      </c>
      <c r="P271" s="72">
        <v>31</v>
      </c>
      <c r="Q271" s="72">
        <v>0</v>
      </c>
      <c r="R271" s="72">
        <v>0</v>
      </c>
      <c r="S271" s="63"/>
      <c r="T271" s="72" t="s">
        <v>51</v>
      </c>
      <c r="U271" s="102"/>
      <c r="V271" s="74"/>
      <c r="W271" s="102"/>
      <c r="X271" s="74"/>
      <c r="Y271" s="102"/>
      <c r="Z271" s="63"/>
    </row>
    <row r="272" spans="1:26" s="29" customFormat="1" ht="27.75" customHeight="1" x14ac:dyDescent="0.2">
      <c r="A272" s="30"/>
      <c r="B272" s="318" t="s">
        <v>68</v>
      </c>
      <c r="C272" s="39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F272" s="318" t="s">
        <v>210</v>
      </c>
      <c r="G272" s="43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I272" s="382" t="s">
        <v>63</v>
      </c>
      <c r="J272" s="384"/>
      <c r="K272" s="57">
        <f>K270-K271</f>
        <v>37822.580645161288</v>
      </c>
      <c r="L272" s="58"/>
      <c r="N272" s="71"/>
      <c r="O272" s="72" t="s">
        <v>56</v>
      </c>
      <c r="P272" s="72"/>
      <c r="Q272" s="72"/>
      <c r="R272" s="72">
        <v>0</v>
      </c>
      <c r="S272" s="63"/>
      <c r="T272" s="72" t="s">
        <v>56</v>
      </c>
      <c r="U272" s="102" t="str">
        <f>IF($J$1="September",Y271,"")</f>
        <v/>
      </c>
      <c r="V272" s="74"/>
      <c r="W272" s="102" t="str">
        <f t="shared" ref="W272:W273" si="65">IF(U272="","",U272+V272)</f>
        <v/>
      </c>
      <c r="X272" s="74"/>
      <c r="Y272" s="102" t="str">
        <f t="shared" ref="Y272:Y273" si="66">IF(W272="","",W272-X272)</f>
        <v/>
      </c>
      <c r="Z272" s="76"/>
    </row>
    <row r="273" spans="1:26" s="29" customFormat="1" ht="27.75" customHeight="1" x14ac:dyDescent="0.2">
      <c r="A273" s="30"/>
      <c r="L273" s="46"/>
      <c r="N273" s="71"/>
      <c r="O273" s="72" t="s">
        <v>52</v>
      </c>
      <c r="P273" s="72"/>
      <c r="Q273" s="72"/>
      <c r="R273" s="72">
        <v>0</v>
      </c>
      <c r="S273" s="63"/>
      <c r="T273" s="72" t="s">
        <v>52</v>
      </c>
      <c r="U273" s="102" t="str">
        <f>IF($J$1="October",Y272,"")</f>
        <v/>
      </c>
      <c r="V273" s="74"/>
      <c r="W273" s="102" t="str">
        <f t="shared" si="65"/>
        <v/>
      </c>
      <c r="X273" s="74"/>
      <c r="Y273" s="102" t="str">
        <f t="shared" si="66"/>
        <v/>
      </c>
      <c r="Z273" s="76"/>
    </row>
    <row r="274" spans="1:26" s="29" customFormat="1" ht="27.75" customHeight="1" x14ac:dyDescent="0.35">
      <c r="A274" s="30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46"/>
      <c r="N274" s="71"/>
      <c r="O274" s="72" t="s">
        <v>57</v>
      </c>
      <c r="P274" s="72"/>
      <c r="Q274" s="72"/>
      <c r="R274" s="72">
        <v>0</v>
      </c>
      <c r="S274" s="63"/>
      <c r="T274" s="72" t="s">
        <v>57</v>
      </c>
      <c r="U274" s="102"/>
      <c r="V274" s="74"/>
      <c r="W274" s="102"/>
      <c r="X274" s="74"/>
      <c r="Y274" s="102"/>
      <c r="Z274" s="63"/>
    </row>
    <row r="275" spans="1:26" s="29" customFormat="1" ht="27.75" customHeight="1" thickBot="1" x14ac:dyDescent="0.4">
      <c r="A275" s="5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61"/>
      <c r="N275" s="71"/>
      <c r="O275" s="72" t="s">
        <v>58</v>
      </c>
      <c r="P275" s="72"/>
      <c r="Q275" s="72"/>
      <c r="R275" s="72" t="str">
        <f t="shared" ref="R275" si="67">IF(Q275="","",R274-Q275)</f>
        <v/>
      </c>
      <c r="S275" s="63"/>
      <c r="T275" s="72" t="s">
        <v>58</v>
      </c>
      <c r="U275" s="102"/>
      <c r="V275" s="74"/>
      <c r="W275" s="102"/>
      <c r="X275" s="74"/>
      <c r="Y275" s="102"/>
      <c r="Z275" s="63"/>
    </row>
    <row r="276" spans="1:26" s="94" customFormat="1" ht="27.75" customHeight="1" thickBot="1" x14ac:dyDescent="0.25"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s="29" customFormat="1" ht="27.75" customHeight="1" thickBot="1" x14ac:dyDescent="0.25">
      <c r="A277" s="389" t="s">
        <v>40</v>
      </c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1"/>
      <c r="M277" s="28"/>
      <c r="N277" s="64"/>
      <c r="O277" s="377" t="s">
        <v>42</v>
      </c>
      <c r="P277" s="378"/>
      <c r="Q277" s="378"/>
      <c r="R277" s="379"/>
      <c r="S277" s="65"/>
      <c r="T277" s="377" t="s">
        <v>43</v>
      </c>
      <c r="U277" s="378"/>
      <c r="V277" s="378"/>
      <c r="W277" s="378"/>
      <c r="X277" s="378"/>
      <c r="Y277" s="379"/>
      <c r="Z277" s="66"/>
    </row>
    <row r="278" spans="1:26" s="29" customFormat="1" ht="27.75" customHeight="1" x14ac:dyDescent="0.2">
      <c r="A278" s="30"/>
      <c r="C278" s="386" t="s">
        <v>83</v>
      </c>
      <c r="D278" s="386"/>
      <c r="E278" s="386"/>
      <c r="F278" s="386"/>
      <c r="G278" s="31" t="str">
        <f>$J$1</f>
        <v>August</v>
      </c>
      <c r="H278" s="385">
        <f>$K$1</f>
        <v>2023</v>
      </c>
      <c r="I278" s="385"/>
      <c r="K278" s="32"/>
      <c r="L278" s="33"/>
      <c r="M278" s="32"/>
      <c r="N278" s="67"/>
      <c r="O278" s="68" t="s">
        <v>53</v>
      </c>
      <c r="P278" s="68" t="s">
        <v>7</v>
      </c>
      <c r="Q278" s="68" t="s">
        <v>6</v>
      </c>
      <c r="R278" s="68" t="s">
        <v>54</v>
      </c>
      <c r="S278" s="69"/>
      <c r="T278" s="68" t="s">
        <v>53</v>
      </c>
      <c r="U278" s="68" t="s">
        <v>55</v>
      </c>
      <c r="V278" s="68" t="s">
        <v>20</v>
      </c>
      <c r="W278" s="68" t="s">
        <v>19</v>
      </c>
      <c r="X278" s="68" t="s">
        <v>21</v>
      </c>
      <c r="Y278" s="68" t="s">
        <v>59</v>
      </c>
      <c r="Z278" s="70"/>
    </row>
    <row r="279" spans="1:26" s="29" customFormat="1" ht="27.75" customHeight="1" x14ac:dyDescent="0.2">
      <c r="A279" s="30"/>
      <c r="D279" s="35"/>
      <c r="E279" s="35"/>
      <c r="F279" s="35"/>
      <c r="G279" s="35"/>
      <c r="H279" s="35"/>
      <c r="J279" s="36" t="s">
        <v>1</v>
      </c>
      <c r="K279" s="37">
        <v>35000</v>
      </c>
      <c r="L279" s="38"/>
      <c r="N279" s="71"/>
      <c r="O279" s="72" t="s">
        <v>45</v>
      </c>
      <c r="P279" s="72"/>
      <c r="Q279" s="72"/>
      <c r="R279" s="72"/>
      <c r="S279" s="73"/>
      <c r="T279" s="72" t="s">
        <v>45</v>
      </c>
      <c r="U279" s="74"/>
      <c r="V279" s="74"/>
      <c r="W279" s="74">
        <f>V279+U279</f>
        <v>0</v>
      </c>
      <c r="X279" s="74"/>
      <c r="Y279" s="74">
        <f>W279-X279</f>
        <v>0</v>
      </c>
      <c r="Z279" s="70"/>
    </row>
    <row r="280" spans="1:26" s="29" customFormat="1" ht="27.75" customHeight="1" x14ac:dyDescent="0.2">
      <c r="A280" s="30"/>
      <c r="B280" s="29" t="s">
        <v>0</v>
      </c>
      <c r="C280" s="40" t="s">
        <v>206</v>
      </c>
      <c r="H280" s="41"/>
      <c r="I280" s="35"/>
      <c r="L280" s="42"/>
      <c r="M280" s="28"/>
      <c r="N280" s="75"/>
      <c r="O280" s="72" t="s">
        <v>71</v>
      </c>
      <c r="P280" s="72"/>
      <c r="Q280" s="72"/>
      <c r="R280" s="72" t="str">
        <f t="shared" ref="R280:R290" si="68">IF(Q280="","",R279-Q280)</f>
        <v/>
      </c>
      <c r="S280" s="63"/>
      <c r="T280" s="72" t="s">
        <v>71</v>
      </c>
      <c r="U280" s="102">
        <f t="shared" ref="U280:U284" si="69">Y279</f>
        <v>0</v>
      </c>
      <c r="V280" s="74"/>
      <c r="W280" s="102">
        <f>IF(U280="","",U280+V280)</f>
        <v>0</v>
      </c>
      <c r="X280" s="74"/>
      <c r="Y280" s="102">
        <f>IF(W280="","",W280-X280)</f>
        <v>0</v>
      </c>
      <c r="Z280" s="76"/>
    </row>
    <row r="281" spans="1:26" s="29" customFormat="1" ht="27.75" customHeight="1" x14ac:dyDescent="0.2">
      <c r="A281" s="30"/>
      <c r="B281" s="44" t="s">
        <v>41</v>
      </c>
      <c r="C281" s="45"/>
      <c r="F281" s="382" t="s">
        <v>43</v>
      </c>
      <c r="G281" s="384"/>
      <c r="I281" s="382" t="s">
        <v>44</v>
      </c>
      <c r="J281" s="383"/>
      <c r="K281" s="384"/>
      <c r="L281" s="46"/>
      <c r="N281" s="71"/>
      <c r="O281" s="72" t="s">
        <v>46</v>
      </c>
      <c r="P281" s="72"/>
      <c r="Q281" s="72"/>
      <c r="R281" s="72" t="str">
        <f t="shared" si="68"/>
        <v/>
      </c>
      <c r="S281" s="63"/>
      <c r="T281" s="72" t="s">
        <v>46</v>
      </c>
      <c r="U281" s="102">
        <f t="shared" si="69"/>
        <v>0</v>
      </c>
      <c r="V281" s="74"/>
      <c r="W281" s="102">
        <f t="shared" ref="W281:W290" si="70">IF(U281="","",U281+V281)</f>
        <v>0</v>
      </c>
      <c r="X281" s="74"/>
      <c r="Y281" s="102">
        <f t="shared" ref="Y281:Y290" si="71">IF(W281="","",W281-X281)</f>
        <v>0</v>
      </c>
      <c r="Z281" s="76"/>
    </row>
    <row r="282" spans="1:26" s="29" customFormat="1" ht="27.75" customHeight="1" x14ac:dyDescent="0.2">
      <c r="A282" s="30"/>
      <c r="H282" s="47"/>
      <c r="L282" s="34"/>
      <c r="N282" s="71"/>
      <c r="O282" s="72" t="s">
        <v>47</v>
      </c>
      <c r="P282" s="72"/>
      <c r="Q282" s="72"/>
      <c r="R282" s="72" t="str">
        <f t="shared" si="68"/>
        <v/>
      </c>
      <c r="S282" s="63"/>
      <c r="T282" s="72" t="s">
        <v>47</v>
      </c>
      <c r="U282" s="102">
        <f>Y281</f>
        <v>0</v>
      </c>
      <c r="V282" s="74"/>
      <c r="W282" s="102">
        <f t="shared" si="70"/>
        <v>0</v>
      </c>
      <c r="X282" s="74"/>
      <c r="Y282" s="102">
        <f t="shared" si="71"/>
        <v>0</v>
      </c>
      <c r="Z282" s="76"/>
    </row>
    <row r="283" spans="1:26" s="29" customFormat="1" ht="27.75" customHeight="1" x14ac:dyDescent="0.2">
      <c r="A283" s="30"/>
      <c r="B283" s="380" t="s">
        <v>42</v>
      </c>
      <c r="C283" s="381"/>
      <c r="F283" s="48" t="s">
        <v>64</v>
      </c>
      <c r="G283" s="43" t="str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/>
      </c>
      <c r="H283" s="47"/>
      <c r="I283" s="49">
        <f>IF(C287&gt;0,$K$2,C285)</f>
        <v>30</v>
      </c>
      <c r="J283" s="50" t="s">
        <v>61</v>
      </c>
      <c r="K283" s="51">
        <f>K279/$K$2*I283</f>
        <v>33870.967741935485</v>
      </c>
      <c r="L283" s="52"/>
      <c r="N283" s="71"/>
      <c r="O283" s="72" t="s">
        <v>48</v>
      </c>
      <c r="P283" s="72"/>
      <c r="Q283" s="72"/>
      <c r="R283" s="72" t="str">
        <f t="shared" si="68"/>
        <v/>
      </c>
      <c r="S283" s="63"/>
      <c r="T283" s="72" t="s">
        <v>48</v>
      </c>
      <c r="U283" s="102">
        <v>0</v>
      </c>
      <c r="V283" s="74"/>
      <c r="W283" s="102">
        <f t="shared" si="70"/>
        <v>0</v>
      </c>
      <c r="X283" s="74"/>
      <c r="Y283" s="102">
        <f t="shared" si="71"/>
        <v>0</v>
      </c>
      <c r="Z283" s="76"/>
    </row>
    <row r="284" spans="1:26" s="29" customFormat="1" ht="27.75" customHeight="1" x14ac:dyDescent="0.2">
      <c r="A284" s="30"/>
      <c r="B284" s="39"/>
      <c r="C284" s="39"/>
      <c r="F284" s="48" t="s">
        <v>20</v>
      </c>
      <c r="G284" s="4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47"/>
      <c r="I284" s="49">
        <v>22</v>
      </c>
      <c r="J284" s="50" t="s">
        <v>62</v>
      </c>
      <c r="K284" s="53">
        <f>K279/$K$2/8*I284</f>
        <v>3104.8387096774195</v>
      </c>
      <c r="L284" s="54"/>
      <c r="N284" s="71"/>
      <c r="O284" s="72" t="s">
        <v>49</v>
      </c>
      <c r="P284" s="72">
        <v>10</v>
      </c>
      <c r="Q284" s="72">
        <v>20</v>
      </c>
      <c r="R284" s="72">
        <v>0</v>
      </c>
      <c r="S284" s="63"/>
      <c r="T284" s="72" t="s">
        <v>49</v>
      </c>
      <c r="U284" s="102">
        <f t="shared" si="69"/>
        <v>0</v>
      </c>
      <c r="V284" s="74">
        <v>5000</v>
      </c>
      <c r="W284" s="102">
        <f t="shared" si="70"/>
        <v>5000</v>
      </c>
      <c r="X284" s="74">
        <v>5000</v>
      </c>
      <c r="Y284" s="102">
        <f t="shared" si="71"/>
        <v>0</v>
      </c>
      <c r="Z284" s="76"/>
    </row>
    <row r="285" spans="1:26" s="29" customFormat="1" ht="27.75" customHeight="1" x14ac:dyDescent="0.2">
      <c r="A285" s="30"/>
      <c r="B285" s="48" t="s">
        <v>7</v>
      </c>
      <c r="C285" s="39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F285" s="48" t="s">
        <v>65</v>
      </c>
      <c r="G285" s="43" t="str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/>
      </c>
      <c r="H285" s="47"/>
      <c r="I285" s="387" t="s">
        <v>69</v>
      </c>
      <c r="J285" s="388"/>
      <c r="K285" s="53">
        <f>K283+K284</f>
        <v>36975.806451612902</v>
      </c>
      <c r="L285" s="54"/>
      <c r="N285" s="71"/>
      <c r="O285" s="72" t="s">
        <v>50</v>
      </c>
      <c r="P285" s="72">
        <v>29</v>
      </c>
      <c r="Q285" s="72">
        <v>2</v>
      </c>
      <c r="R285" s="72">
        <v>0</v>
      </c>
      <c r="S285" s="63"/>
      <c r="T285" s="72" t="s">
        <v>50</v>
      </c>
      <c r="U285" s="102"/>
      <c r="V285" s="74"/>
      <c r="W285" s="102" t="str">
        <f t="shared" si="70"/>
        <v/>
      </c>
      <c r="X285" s="74"/>
      <c r="Y285" s="102" t="str">
        <f t="shared" si="71"/>
        <v/>
      </c>
      <c r="Z285" s="76"/>
    </row>
    <row r="286" spans="1:26" s="29" customFormat="1" ht="27.75" customHeight="1" x14ac:dyDescent="0.2">
      <c r="A286" s="30"/>
      <c r="B286" s="48" t="s">
        <v>6</v>
      </c>
      <c r="C286" s="39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F286" s="48" t="s">
        <v>21</v>
      </c>
      <c r="G286" s="4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47"/>
      <c r="I286" s="387" t="s">
        <v>70</v>
      </c>
      <c r="J286" s="388"/>
      <c r="K286" s="43">
        <f>G286</f>
        <v>0</v>
      </c>
      <c r="L286" s="55"/>
      <c r="N286" s="71"/>
      <c r="O286" s="72" t="s">
        <v>51</v>
      </c>
      <c r="P286" s="72">
        <v>30</v>
      </c>
      <c r="Q286" s="72">
        <v>1</v>
      </c>
      <c r="R286" s="72">
        <v>0</v>
      </c>
      <c r="S286" s="63"/>
      <c r="T286" s="72" t="s">
        <v>51</v>
      </c>
      <c r="U286" s="102" t="str">
        <f>Y285</f>
        <v/>
      </c>
      <c r="V286" s="74"/>
      <c r="W286" s="102" t="str">
        <f t="shared" si="70"/>
        <v/>
      </c>
      <c r="X286" s="74"/>
      <c r="Y286" s="102" t="str">
        <f t="shared" si="71"/>
        <v/>
      </c>
      <c r="Z286" s="76"/>
    </row>
    <row r="287" spans="1:26" s="29" customFormat="1" ht="27.75" customHeight="1" x14ac:dyDescent="0.2">
      <c r="A287" s="30"/>
      <c r="B287" s="318" t="s">
        <v>68</v>
      </c>
      <c r="C287" s="39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F287" s="318" t="s">
        <v>210</v>
      </c>
      <c r="G287" s="43" t="str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/>
      </c>
      <c r="I287" s="382" t="s">
        <v>63</v>
      </c>
      <c r="J287" s="384"/>
      <c r="K287" s="57">
        <f>K285-K286</f>
        <v>36975.806451612902</v>
      </c>
      <c r="L287" s="58"/>
      <c r="N287" s="71"/>
      <c r="O287" s="72" t="s">
        <v>56</v>
      </c>
      <c r="P287" s="72"/>
      <c r="Q287" s="72"/>
      <c r="R287" s="72">
        <v>0</v>
      </c>
      <c r="S287" s="63"/>
      <c r="T287" s="72" t="s">
        <v>56</v>
      </c>
      <c r="U287" s="102" t="str">
        <f>IF($J$1="September",Y286,"")</f>
        <v/>
      </c>
      <c r="V287" s="74"/>
      <c r="W287" s="102" t="str">
        <f t="shared" si="70"/>
        <v/>
      </c>
      <c r="X287" s="74"/>
      <c r="Y287" s="102" t="str">
        <f t="shared" si="71"/>
        <v/>
      </c>
      <c r="Z287" s="76"/>
    </row>
    <row r="288" spans="1:26" s="29" customFormat="1" ht="27.75" customHeight="1" x14ac:dyDescent="0.2">
      <c r="A288" s="30"/>
      <c r="L288" s="46"/>
      <c r="N288" s="71"/>
      <c r="O288" s="72" t="s">
        <v>52</v>
      </c>
      <c r="P288" s="72"/>
      <c r="Q288" s="72"/>
      <c r="R288" s="72">
        <v>0</v>
      </c>
      <c r="S288" s="63"/>
      <c r="T288" s="72" t="s">
        <v>52</v>
      </c>
      <c r="U288" s="102" t="str">
        <f>IF($J$1="October",Y287,"")</f>
        <v/>
      </c>
      <c r="V288" s="74"/>
      <c r="W288" s="102" t="str">
        <f t="shared" si="70"/>
        <v/>
      </c>
      <c r="X288" s="74"/>
      <c r="Y288" s="102" t="str">
        <f t="shared" si="71"/>
        <v/>
      </c>
      <c r="Z288" s="76"/>
    </row>
    <row r="289" spans="1:27" s="29" customFormat="1" ht="27.75" customHeight="1" x14ac:dyDescent="0.35">
      <c r="A289" s="30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46"/>
      <c r="N289" s="71"/>
      <c r="O289" s="72" t="s">
        <v>57</v>
      </c>
      <c r="P289" s="72"/>
      <c r="Q289" s="72"/>
      <c r="R289" s="72" t="str">
        <f t="shared" si="68"/>
        <v/>
      </c>
      <c r="S289" s="63"/>
      <c r="T289" s="72" t="s">
        <v>57</v>
      </c>
      <c r="U289" s="102" t="str">
        <f>Y288</f>
        <v/>
      </c>
      <c r="V289" s="74"/>
      <c r="W289" s="102" t="str">
        <f t="shared" si="70"/>
        <v/>
      </c>
      <c r="X289" s="74"/>
      <c r="Y289" s="102" t="str">
        <f t="shared" si="71"/>
        <v/>
      </c>
      <c r="Z289" s="76"/>
    </row>
    <row r="290" spans="1:27" s="29" customFormat="1" ht="27.75" customHeight="1" thickBot="1" x14ac:dyDescent="0.4">
      <c r="A290" s="59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61"/>
      <c r="N290" s="71"/>
      <c r="O290" s="72" t="s">
        <v>58</v>
      </c>
      <c r="P290" s="72"/>
      <c r="Q290" s="72"/>
      <c r="R290" s="72" t="str">
        <f t="shared" si="68"/>
        <v/>
      </c>
      <c r="S290" s="63"/>
      <c r="T290" s="72" t="s">
        <v>58</v>
      </c>
      <c r="U290" s="102" t="str">
        <f>Y289</f>
        <v/>
      </c>
      <c r="V290" s="74"/>
      <c r="W290" s="102" t="str">
        <f t="shared" si="70"/>
        <v/>
      </c>
      <c r="X290" s="74"/>
      <c r="Y290" s="102" t="str">
        <f t="shared" si="71"/>
        <v/>
      </c>
      <c r="Z290" s="76"/>
    </row>
    <row r="291" spans="1:27" s="94" customFormat="1" ht="27.75" customHeight="1" thickBot="1" x14ac:dyDescent="0.25"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7" s="29" customFormat="1" ht="27.75" customHeight="1" thickBot="1" x14ac:dyDescent="0.25">
      <c r="A292" s="389" t="s">
        <v>40</v>
      </c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1"/>
      <c r="M292" s="28"/>
      <c r="N292" s="64"/>
      <c r="O292" s="377" t="s">
        <v>42</v>
      </c>
      <c r="P292" s="378"/>
      <c r="Q292" s="378"/>
      <c r="R292" s="379"/>
      <c r="S292" s="65"/>
      <c r="T292" s="377" t="s">
        <v>43</v>
      </c>
      <c r="U292" s="378"/>
      <c r="V292" s="378"/>
      <c r="W292" s="378"/>
      <c r="X292" s="378"/>
      <c r="Y292" s="379"/>
      <c r="Z292" s="66"/>
      <c r="AA292" s="28"/>
    </row>
    <row r="293" spans="1:27" s="29" customFormat="1" ht="27.75" customHeight="1" x14ac:dyDescent="0.2">
      <c r="A293" s="30"/>
      <c r="C293" s="386" t="s">
        <v>83</v>
      </c>
      <c r="D293" s="386"/>
      <c r="E293" s="386"/>
      <c r="F293" s="386"/>
      <c r="G293" s="31" t="str">
        <f>$J$1</f>
        <v>August</v>
      </c>
      <c r="H293" s="385">
        <f>$K$1</f>
        <v>2023</v>
      </c>
      <c r="I293" s="385"/>
      <c r="K293" s="32"/>
      <c r="L293" s="33"/>
      <c r="M293" s="32"/>
      <c r="N293" s="67"/>
      <c r="O293" s="68" t="s">
        <v>53</v>
      </c>
      <c r="P293" s="68" t="s">
        <v>7</v>
      </c>
      <c r="Q293" s="68" t="s">
        <v>6</v>
      </c>
      <c r="R293" s="68" t="s">
        <v>54</v>
      </c>
      <c r="S293" s="69"/>
      <c r="T293" s="68" t="s">
        <v>53</v>
      </c>
      <c r="U293" s="68" t="s">
        <v>55</v>
      </c>
      <c r="V293" s="68" t="s">
        <v>20</v>
      </c>
      <c r="W293" s="68" t="s">
        <v>19</v>
      </c>
      <c r="X293" s="68" t="s">
        <v>21</v>
      </c>
      <c r="Y293" s="68" t="s">
        <v>59</v>
      </c>
      <c r="Z293" s="70"/>
      <c r="AA293" s="32"/>
    </row>
    <row r="294" spans="1:27" s="29" customFormat="1" ht="27.75" customHeight="1" x14ac:dyDescent="0.2">
      <c r="A294" s="30"/>
      <c r="D294" s="35"/>
      <c r="E294" s="35"/>
      <c r="F294" s="35"/>
      <c r="G294" s="35"/>
      <c r="H294" s="35"/>
      <c r="J294" s="36" t="s">
        <v>1</v>
      </c>
      <c r="K294" s="37">
        <v>32000</v>
      </c>
      <c r="L294" s="38"/>
      <c r="N294" s="71"/>
      <c r="O294" s="72" t="s">
        <v>45</v>
      </c>
      <c r="P294" s="72"/>
      <c r="Q294" s="72"/>
      <c r="R294" s="72"/>
      <c r="S294" s="73"/>
      <c r="T294" s="72" t="s">
        <v>45</v>
      </c>
      <c r="U294" s="74">
        <v>25870</v>
      </c>
      <c r="V294" s="74"/>
      <c r="W294" s="74">
        <f>V294+U294</f>
        <v>25870</v>
      </c>
      <c r="X294" s="74">
        <v>5000</v>
      </c>
      <c r="Y294" s="74">
        <f>W294-X294</f>
        <v>20870</v>
      </c>
      <c r="Z294" s="70"/>
    </row>
    <row r="295" spans="1:27" s="29" customFormat="1" ht="27.75" customHeight="1" x14ac:dyDescent="0.2">
      <c r="A295" s="30"/>
      <c r="B295" s="29" t="s">
        <v>0</v>
      </c>
      <c r="C295" s="40" t="s">
        <v>159</v>
      </c>
      <c r="H295" s="41"/>
      <c r="I295" s="35"/>
      <c r="L295" s="42"/>
      <c r="M295" s="28"/>
      <c r="N295" s="75"/>
      <c r="O295" s="72" t="s">
        <v>71</v>
      </c>
      <c r="P295" s="72"/>
      <c r="Q295" s="72"/>
      <c r="R295" s="72">
        <v>0</v>
      </c>
      <c r="S295" s="63"/>
      <c r="T295" s="72" t="s">
        <v>71</v>
      </c>
      <c r="U295" s="102">
        <f>IF($J$1="January","",Y294)</f>
        <v>20870</v>
      </c>
      <c r="V295" s="74">
        <v>2000</v>
      </c>
      <c r="W295" s="102">
        <f>IF(U295="","",U295+V295)</f>
        <v>22870</v>
      </c>
      <c r="X295" s="74">
        <v>5000</v>
      </c>
      <c r="Y295" s="102">
        <f>IF(W295="","",W295-X295)</f>
        <v>17870</v>
      </c>
      <c r="Z295" s="76"/>
      <c r="AA295" s="28"/>
    </row>
    <row r="296" spans="1:27" s="29" customFormat="1" ht="27.75" customHeight="1" x14ac:dyDescent="0.2">
      <c r="A296" s="30"/>
      <c r="B296" s="44" t="s">
        <v>41</v>
      </c>
      <c r="C296" s="45"/>
      <c r="F296" s="382" t="s">
        <v>43</v>
      </c>
      <c r="G296" s="384"/>
      <c r="I296" s="382" t="s">
        <v>44</v>
      </c>
      <c r="J296" s="383"/>
      <c r="K296" s="384"/>
      <c r="L296" s="46"/>
      <c r="N296" s="71"/>
      <c r="O296" s="72" t="s">
        <v>46</v>
      </c>
      <c r="P296" s="72"/>
      <c r="Q296" s="72"/>
      <c r="R296" s="72">
        <v>0</v>
      </c>
      <c r="S296" s="63"/>
      <c r="T296" s="72" t="s">
        <v>46</v>
      </c>
      <c r="U296" s="102">
        <f t="shared" ref="U296:U301" si="72">Y295</f>
        <v>17870</v>
      </c>
      <c r="V296" s="74">
        <f>2000+2000</f>
        <v>4000</v>
      </c>
      <c r="W296" s="102">
        <f t="shared" ref="W296:W303" si="73">IF(U296="","",U296+V296)</f>
        <v>21870</v>
      </c>
      <c r="X296" s="74">
        <v>5000</v>
      </c>
      <c r="Y296" s="102">
        <f t="shared" ref="Y296:Y303" si="74">IF(W296="","",W296-X296)</f>
        <v>16870</v>
      </c>
      <c r="Z296" s="76"/>
    </row>
    <row r="297" spans="1:27" s="29" customFormat="1" ht="27.75" customHeight="1" x14ac:dyDescent="0.2">
      <c r="A297" s="30"/>
      <c r="H297" s="47"/>
      <c r="L297" s="34"/>
      <c r="N297" s="71"/>
      <c r="O297" s="72" t="s">
        <v>47</v>
      </c>
      <c r="P297" s="72"/>
      <c r="Q297" s="72"/>
      <c r="R297" s="72">
        <v>0</v>
      </c>
      <c r="S297" s="63"/>
      <c r="T297" s="72" t="s">
        <v>47</v>
      </c>
      <c r="U297" s="102">
        <f t="shared" si="72"/>
        <v>16870</v>
      </c>
      <c r="V297" s="74">
        <v>5000</v>
      </c>
      <c r="W297" s="102">
        <f t="shared" si="73"/>
        <v>21870</v>
      </c>
      <c r="X297" s="74">
        <v>5000</v>
      </c>
      <c r="Y297" s="102">
        <f t="shared" si="74"/>
        <v>16870</v>
      </c>
      <c r="Z297" s="76"/>
    </row>
    <row r="298" spans="1:27" s="29" customFormat="1" ht="27.75" customHeight="1" x14ac:dyDescent="0.2">
      <c r="A298" s="30"/>
      <c r="B298" s="380" t="s">
        <v>42</v>
      </c>
      <c r="C298" s="381"/>
      <c r="F298" s="48" t="s">
        <v>64</v>
      </c>
      <c r="G298" s="4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11870</v>
      </c>
      <c r="H298" s="47"/>
      <c r="I298" s="49">
        <f>IF(C302&gt;0,$K$2,C300)</f>
        <v>31</v>
      </c>
      <c r="J298" s="50" t="s">
        <v>61</v>
      </c>
      <c r="K298" s="51">
        <f>K294/$K$2*I298</f>
        <v>32000</v>
      </c>
      <c r="L298" s="52"/>
      <c r="N298" s="71"/>
      <c r="O298" s="72" t="s">
        <v>48</v>
      </c>
      <c r="P298" s="72"/>
      <c r="Q298" s="72"/>
      <c r="R298" s="72">
        <v>0</v>
      </c>
      <c r="S298" s="63"/>
      <c r="T298" s="72" t="s">
        <v>48</v>
      </c>
      <c r="U298" s="102">
        <f t="shared" si="72"/>
        <v>16870</v>
      </c>
      <c r="V298" s="74">
        <v>3000</v>
      </c>
      <c r="W298" s="102">
        <f t="shared" si="73"/>
        <v>19870</v>
      </c>
      <c r="X298" s="74">
        <v>5000</v>
      </c>
      <c r="Y298" s="102">
        <f t="shared" si="74"/>
        <v>14870</v>
      </c>
      <c r="Z298" s="76"/>
    </row>
    <row r="299" spans="1:27" s="29" customFormat="1" ht="27.75" customHeight="1" x14ac:dyDescent="0.2">
      <c r="A299" s="30"/>
      <c r="B299" s="39"/>
      <c r="C299" s="39"/>
      <c r="F299" s="48" t="s">
        <v>20</v>
      </c>
      <c r="G299" s="4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25000</v>
      </c>
      <c r="H299" s="47"/>
      <c r="I299" s="49">
        <v>24</v>
      </c>
      <c r="J299" s="50" t="s">
        <v>62</v>
      </c>
      <c r="K299" s="53">
        <f>K294/$K$2/8*I299</f>
        <v>3096.7741935483873</v>
      </c>
      <c r="L299" s="54"/>
      <c r="N299" s="71"/>
      <c r="O299" s="72" t="s">
        <v>49</v>
      </c>
      <c r="P299" s="72">
        <v>29</v>
      </c>
      <c r="Q299" s="72">
        <v>1</v>
      </c>
      <c r="R299" s="72">
        <v>0</v>
      </c>
      <c r="S299" s="63"/>
      <c r="T299" s="72" t="s">
        <v>49</v>
      </c>
      <c r="U299" s="102">
        <f t="shared" si="72"/>
        <v>14870</v>
      </c>
      <c r="V299" s="74">
        <v>15000</v>
      </c>
      <c r="W299" s="102">
        <f t="shared" si="73"/>
        <v>29870</v>
      </c>
      <c r="X299" s="74">
        <v>15000</v>
      </c>
      <c r="Y299" s="102">
        <f t="shared" si="74"/>
        <v>14870</v>
      </c>
      <c r="Z299" s="76"/>
    </row>
    <row r="300" spans="1:27" s="29" customFormat="1" ht="27.75" customHeight="1" x14ac:dyDescent="0.2">
      <c r="A300" s="30"/>
      <c r="B300" s="48" t="s">
        <v>7</v>
      </c>
      <c r="C300" s="39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31</v>
      </c>
      <c r="F300" s="48" t="s">
        <v>65</v>
      </c>
      <c r="G300" s="43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36870</v>
      </c>
      <c r="H300" s="47"/>
      <c r="I300" s="387" t="s">
        <v>69</v>
      </c>
      <c r="J300" s="388"/>
      <c r="K300" s="53">
        <f>K298+K299</f>
        <v>35096.774193548386</v>
      </c>
      <c r="L300" s="54"/>
      <c r="N300" s="71"/>
      <c r="O300" s="72" t="s">
        <v>50</v>
      </c>
      <c r="P300" s="72">
        <v>30</v>
      </c>
      <c r="Q300" s="72">
        <v>1</v>
      </c>
      <c r="R300" s="72">
        <v>0</v>
      </c>
      <c r="S300" s="63"/>
      <c r="T300" s="72" t="s">
        <v>50</v>
      </c>
      <c r="U300" s="102">
        <f t="shared" si="72"/>
        <v>14870</v>
      </c>
      <c r="V300" s="74">
        <v>2000</v>
      </c>
      <c r="W300" s="102">
        <f t="shared" si="73"/>
        <v>16870</v>
      </c>
      <c r="X300" s="74">
        <v>5000</v>
      </c>
      <c r="Y300" s="102">
        <f t="shared" si="74"/>
        <v>11870</v>
      </c>
      <c r="Z300" s="76"/>
    </row>
    <row r="301" spans="1:27" s="29" customFormat="1" ht="27.75" customHeight="1" x14ac:dyDescent="0.2">
      <c r="A301" s="30"/>
      <c r="B301" s="48" t="s">
        <v>6</v>
      </c>
      <c r="C301" s="39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F301" s="48" t="s">
        <v>21</v>
      </c>
      <c r="G301" s="4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7"/>
      <c r="I301" s="387" t="s">
        <v>70</v>
      </c>
      <c r="J301" s="388"/>
      <c r="K301" s="43">
        <f>G301</f>
        <v>5000</v>
      </c>
      <c r="L301" s="55"/>
      <c r="N301" s="71"/>
      <c r="O301" s="72" t="s">
        <v>51</v>
      </c>
      <c r="P301" s="72">
        <v>31</v>
      </c>
      <c r="Q301" s="72">
        <v>0</v>
      </c>
      <c r="R301" s="72">
        <v>0</v>
      </c>
      <c r="S301" s="63"/>
      <c r="T301" s="72" t="s">
        <v>51</v>
      </c>
      <c r="U301" s="102">
        <f t="shared" si="72"/>
        <v>11870</v>
      </c>
      <c r="V301" s="74">
        <v>25000</v>
      </c>
      <c r="W301" s="102">
        <f t="shared" si="73"/>
        <v>36870</v>
      </c>
      <c r="X301" s="74">
        <v>5000</v>
      </c>
      <c r="Y301" s="102">
        <f t="shared" si="74"/>
        <v>31870</v>
      </c>
      <c r="Z301" s="76"/>
    </row>
    <row r="302" spans="1:27" s="29" customFormat="1" ht="27.75" customHeight="1" x14ac:dyDescent="0.2">
      <c r="A302" s="30"/>
      <c r="B302" s="318" t="s">
        <v>68</v>
      </c>
      <c r="C302" s="39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F302" s="318" t="s">
        <v>210</v>
      </c>
      <c r="G302" s="43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31870</v>
      </c>
      <c r="I302" s="382" t="s">
        <v>63</v>
      </c>
      <c r="J302" s="384"/>
      <c r="K302" s="57">
        <f>K300-K301</f>
        <v>30096.774193548386</v>
      </c>
      <c r="L302" s="58"/>
      <c r="N302" s="71"/>
      <c r="O302" s="72" t="s">
        <v>56</v>
      </c>
      <c r="P302" s="72"/>
      <c r="Q302" s="72"/>
      <c r="R302" s="72">
        <v>0</v>
      </c>
      <c r="S302" s="63"/>
      <c r="T302" s="72" t="s">
        <v>56</v>
      </c>
      <c r="U302" s="102">
        <v>0</v>
      </c>
      <c r="V302" s="74"/>
      <c r="W302" s="102">
        <f t="shared" si="73"/>
        <v>0</v>
      </c>
      <c r="X302" s="74"/>
      <c r="Y302" s="102">
        <f t="shared" si="74"/>
        <v>0</v>
      </c>
      <c r="Z302" s="76"/>
    </row>
    <row r="303" spans="1:27" s="29" customFormat="1" ht="27.75" customHeight="1" x14ac:dyDescent="0.2">
      <c r="A303" s="30"/>
      <c r="J303" s="104"/>
      <c r="L303" s="46"/>
      <c r="N303" s="71"/>
      <c r="O303" s="72" t="s">
        <v>52</v>
      </c>
      <c r="P303" s="72"/>
      <c r="Q303" s="72"/>
      <c r="R303" s="72">
        <v>0</v>
      </c>
      <c r="S303" s="63"/>
      <c r="T303" s="72" t="s">
        <v>52</v>
      </c>
      <c r="U303" s="102" t="str">
        <f>IF($J$1="October",Y302,"")</f>
        <v/>
      </c>
      <c r="V303" s="74"/>
      <c r="W303" s="102" t="str">
        <f t="shared" si="73"/>
        <v/>
      </c>
      <c r="X303" s="74"/>
      <c r="Y303" s="102" t="str">
        <f t="shared" si="74"/>
        <v/>
      </c>
      <c r="Z303" s="76"/>
    </row>
    <row r="304" spans="1:27" s="29" customFormat="1" ht="27.75" customHeight="1" x14ac:dyDescent="0.35">
      <c r="A304" s="30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46"/>
      <c r="N304" s="71"/>
      <c r="O304" s="72" t="s">
        <v>57</v>
      </c>
      <c r="P304" s="72"/>
      <c r="Q304" s="72"/>
      <c r="R304" s="72">
        <v>0</v>
      </c>
      <c r="S304" s="63"/>
      <c r="T304" s="72" t="s">
        <v>57</v>
      </c>
      <c r="U304" s="102"/>
      <c r="V304" s="74"/>
      <c r="W304" s="102" t="str">
        <f t="shared" ref="W304:W305" si="75">IF(U304="","",U304+V304)</f>
        <v/>
      </c>
      <c r="X304" s="74"/>
      <c r="Y304" s="102" t="str">
        <f t="shared" ref="Y304:Y305" si="76">IF(W304="","",W304-X304)</f>
        <v/>
      </c>
      <c r="Z304" s="76"/>
    </row>
    <row r="305" spans="1:27" s="29" customFormat="1" ht="27.75" customHeight="1" thickBot="1" x14ac:dyDescent="0.4">
      <c r="A305" s="5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61"/>
      <c r="N305" s="71"/>
      <c r="O305" s="72" t="s">
        <v>58</v>
      </c>
      <c r="P305" s="72"/>
      <c r="Q305" s="72"/>
      <c r="R305" s="72">
        <v>0</v>
      </c>
      <c r="S305" s="63"/>
      <c r="T305" s="72" t="s">
        <v>58</v>
      </c>
      <c r="U305" s="102"/>
      <c r="V305" s="74"/>
      <c r="W305" s="102" t="str">
        <f t="shared" si="75"/>
        <v/>
      </c>
      <c r="X305" s="74"/>
      <c r="Y305" s="102" t="str">
        <f t="shared" si="76"/>
        <v/>
      </c>
      <c r="Z305" s="76"/>
    </row>
    <row r="306" spans="1:27" s="94" customFormat="1" ht="27.75" customHeight="1" thickBot="1" x14ac:dyDescent="0.25"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7" s="29" customFormat="1" ht="27.75" customHeight="1" thickBot="1" x14ac:dyDescent="0.25">
      <c r="A307" s="389" t="s">
        <v>40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1"/>
      <c r="M307" s="28"/>
      <c r="N307" s="64"/>
      <c r="O307" s="377" t="s">
        <v>42</v>
      </c>
      <c r="P307" s="378"/>
      <c r="Q307" s="378"/>
      <c r="R307" s="379"/>
      <c r="S307" s="65"/>
      <c r="T307" s="377" t="s">
        <v>43</v>
      </c>
      <c r="U307" s="378"/>
      <c r="V307" s="378"/>
      <c r="W307" s="378"/>
      <c r="X307" s="378"/>
      <c r="Y307" s="379"/>
      <c r="Z307" s="66"/>
      <c r="AA307" s="28"/>
    </row>
    <row r="308" spans="1:27" s="29" customFormat="1" ht="27.75" customHeight="1" x14ac:dyDescent="0.2">
      <c r="A308" s="30"/>
      <c r="C308" s="386" t="s">
        <v>83</v>
      </c>
      <c r="D308" s="386"/>
      <c r="E308" s="386"/>
      <c r="F308" s="386"/>
      <c r="G308" s="31" t="str">
        <f>$J$1</f>
        <v>August</v>
      </c>
      <c r="H308" s="385">
        <f>$K$1</f>
        <v>2023</v>
      </c>
      <c r="I308" s="385"/>
      <c r="K308" s="32"/>
      <c r="L308" s="33"/>
      <c r="M308" s="32"/>
      <c r="N308" s="67"/>
      <c r="O308" s="68" t="s">
        <v>53</v>
      </c>
      <c r="P308" s="68" t="s">
        <v>7</v>
      </c>
      <c r="Q308" s="68" t="s">
        <v>6</v>
      </c>
      <c r="R308" s="68" t="s">
        <v>54</v>
      </c>
      <c r="S308" s="69"/>
      <c r="T308" s="68" t="s">
        <v>53</v>
      </c>
      <c r="U308" s="68" t="s">
        <v>55</v>
      </c>
      <c r="V308" s="68" t="s">
        <v>20</v>
      </c>
      <c r="W308" s="68" t="s">
        <v>19</v>
      </c>
      <c r="X308" s="68" t="s">
        <v>21</v>
      </c>
      <c r="Y308" s="68" t="s">
        <v>59</v>
      </c>
      <c r="Z308" s="70"/>
      <c r="AA308" s="32"/>
    </row>
    <row r="309" spans="1:27" s="29" customFormat="1" ht="27.75" customHeight="1" x14ac:dyDescent="0.2">
      <c r="A309" s="30"/>
      <c r="D309" s="35"/>
      <c r="E309" s="35"/>
      <c r="F309" s="35"/>
      <c r="G309" s="35"/>
      <c r="H309" s="35"/>
      <c r="J309" s="36" t="s">
        <v>1</v>
      </c>
      <c r="K309" s="37">
        <v>45000</v>
      </c>
      <c r="L309" s="38"/>
      <c r="N309" s="71"/>
      <c r="O309" s="72" t="s">
        <v>45</v>
      </c>
      <c r="P309" s="72">
        <v>31</v>
      </c>
      <c r="Q309" s="72">
        <v>0</v>
      </c>
      <c r="R309" s="72">
        <f>15-Q309</f>
        <v>15</v>
      </c>
      <c r="S309" s="73"/>
      <c r="T309" s="72" t="s">
        <v>45</v>
      </c>
      <c r="U309" s="74">
        <v>17000</v>
      </c>
      <c r="V309" s="74"/>
      <c r="W309" s="74">
        <f>V309+U309</f>
        <v>17000</v>
      </c>
      <c r="X309" s="74">
        <v>5000</v>
      </c>
      <c r="Y309" s="74">
        <f>W309-X309</f>
        <v>12000</v>
      </c>
      <c r="Z309" s="70"/>
    </row>
    <row r="310" spans="1:27" s="29" customFormat="1" ht="27.75" customHeight="1" x14ac:dyDescent="0.2">
      <c r="A310" s="30"/>
      <c r="B310" s="29" t="s">
        <v>0</v>
      </c>
      <c r="C310" s="40" t="s">
        <v>171</v>
      </c>
      <c r="H310" s="41"/>
      <c r="I310" s="35"/>
      <c r="L310" s="42"/>
      <c r="M310" s="28"/>
      <c r="N310" s="75"/>
      <c r="O310" s="72" t="s">
        <v>71</v>
      </c>
      <c r="P310" s="72">
        <v>28</v>
      </c>
      <c r="Q310" s="72">
        <v>0</v>
      </c>
      <c r="R310" s="72">
        <f>R309-Q310</f>
        <v>15</v>
      </c>
      <c r="S310" s="63"/>
      <c r="T310" s="72" t="s">
        <v>71</v>
      </c>
      <c r="U310" s="102">
        <f>IF($J$1="January","",Y309)</f>
        <v>12000</v>
      </c>
      <c r="V310" s="74">
        <v>2000</v>
      </c>
      <c r="W310" s="74">
        <f>V310+U310</f>
        <v>14000</v>
      </c>
      <c r="X310" s="74">
        <v>3000</v>
      </c>
      <c r="Y310" s="102">
        <f>IF(W310="","",W310-X310)</f>
        <v>11000</v>
      </c>
      <c r="Z310" s="76"/>
      <c r="AA310" s="28"/>
    </row>
    <row r="311" spans="1:27" s="29" customFormat="1" ht="27.75" customHeight="1" x14ac:dyDescent="0.2">
      <c r="A311" s="30"/>
      <c r="B311" s="44" t="s">
        <v>41</v>
      </c>
      <c r="C311" s="45"/>
      <c r="F311" s="382" t="s">
        <v>43</v>
      </c>
      <c r="G311" s="384"/>
      <c r="I311" s="382" t="s">
        <v>44</v>
      </c>
      <c r="J311" s="383"/>
      <c r="K311" s="384"/>
      <c r="L311" s="46"/>
      <c r="N311" s="71"/>
      <c r="O311" s="72" t="s">
        <v>46</v>
      </c>
      <c r="P311" s="72">
        <v>31</v>
      </c>
      <c r="Q311" s="72">
        <v>0</v>
      </c>
      <c r="R311" s="72">
        <f t="shared" ref="R311:R320" si="77">R310-Q311</f>
        <v>15</v>
      </c>
      <c r="S311" s="63"/>
      <c r="T311" s="72" t="s">
        <v>46</v>
      </c>
      <c r="U311" s="102">
        <f t="shared" ref="U311:U316" si="78">Y310</f>
        <v>11000</v>
      </c>
      <c r="V311" s="74">
        <v>2000</v>
      </c>
      <c r="W311" s="74">
        <f>V311+U311</f>
        <v>13000</v>
      </c>
      <c r="X311" s="74"/>
      <c r="Y311" s="102">
        <f t="shared" ref="Y311:Y320" si="79">IF(W311="","",W311-X311)</f>
        <v>13000</v>
      </c>
      <c r="Z311" s="76"/>
    </row>
    <row r="312" spans="1:27" s="29" customFormat="1" ht="27.75" customHeight="1" x14ac:dyDescent="0.2">
      <c r="A312" s="30"/>
      <c r="H312" s="47"/>
      <c r="L312" s="34"/>
      <c r="N312" s="71"/>
      <c r="O312" s="72" t="s">
        <v>47</v>
      </c>
      <c r="P312" s="72">
        <v>30</v>
      </c>
      <c r="Q312" s="72">
        <v>0</v>
      </c>
      <c r="R312" s="72">
        <f t="shared" si="77"/>
        <v>15</v>
      </c>
      <c r="S312" s="63"/>
      <c r="T312" s="72" t="s">
        <v>47</v>
      </c>
      <c r="U312" s="102">
        <f t="shared" si="78"/>
        <v>13000</v>
      </c>
      <c r="V312" s="74"/>
      <c r="W312" s="102">
        <f t="shared" ref="W312:W320" si="80">IF(U312="","",U312+V312)</f>
        <v>13000</v>
      </c>
      <c r="X312" s="74">
        <v>3000</v>
      </c>
      <c r="Y312" s="102">
        <f t="shared" si="79"/>
        <v>10000</v>
      </c>
      <c r="Z312" s="76"/>
    </row>
    <row r="313" spans="1:27" s="29" customFormat="1" ht="27.75" customHeight="1" x14ac:dyDescent="0.2">
      <c r="A313" s="30"/>
      <c r="B313" s="380" t="s">
        <v>42</v>
      </c>
      <c r="C313" s="381"/>
      <c r="F313" s="48" t="s">
        <v>64</v>
      </c>
      <c r="G313" s="4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10000</v>
      </c>
      <c r="H313" s="47"/>
      <c r="I313" s="49">
        <f>IF(C317&gt;0,$K$2,C315)</f>
        <v>31</v>
      </c>
      <c r="J313" s="50" t="s">
        <v>61</v>
      </c>
      <c r="K313" s="51">
        <f>K309/$K$2*I313</f>
        <v>45000</v>
      </c>
      <c r="L313" s="52"/>
      <c r="N313" s="71"/>
      <c r="O313" s="72" t="s">
        <v>48</v>
      </c>
      <c r="P313" s="72">
        <v>29</v>
      </c>
      <c r="Q313" s="72">
        <v>2</v>
      </c>
      <c r="R313" s="72">
        <f t="shared" si="77"/>
        <v>13</v>
      </c>
      <c r="S313" s="63"/>
      <c r="T313" s="72" t="s">
        <v>48</v>
      </c>
      <c r="U313" s="102">
        <f t="shared" si="78"/>
        <v>10000</v>
      </c>
      <c r="V313" s="74">
        <v>3000</v>
      </c>
      <c r="W313" s="102">
        <f>IF(U313="","",U313+V313)</f>
        <v>13000</v>
      </c>
      <c r="X313" s="74">
        <v>3000</v>
      </c>
      <c r="Y313" s="102">
        <f t="shared" si="79"/>
        <v>10000</v>
      </c>
      <c r="Z313" s="76"/>
    </row>
    <row r="314" spans="1:27" s="29" customFormat="1" ht="27.75" customHeight="1" x14ac:dyDescent="0.2">
      <c r="A314" s="30"/>
      <c r="B314" s="39"/>
      <c r="C314" s="39"/>
      <c r="F314" s="48" t="s">
        <v>20</v>
      </c>
      <c r="G314" s="4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2000</v>
      </c>
      <c r="H314" s="47"/>
      <c r="I314" s="49">
        <v>45</v>
      </c>
      <c r="J314" s="50" t="s">
        <v>62</v>
      </c>
      <c r="K314" s="53">
        <f>K309/$K$2/8*I314</f>
        <v>8165.322580645161</v>
      </c>
      <c r="L314" s="54"/>
      <c r="N314" s="71"/>
      <c r="O314" s="72" t="s">
        <v>49</v>
      </c>
      <c r="P314" s="72">
        <v>30</v>
      </c>
      <c r="Q314" s="72">
        <v>0</v>
      </c>
      <c r="R314" s="72">
        <f t="shared" si="77"/>
        <v>13</v>
      </c>
      <c r="S314" s="63"/>
      <c r="T314" s="72" t="s">
        <v>49</v>
      </c>
      <c r="U314" s="102">
        <f t="shared" si="78"/>
        <v>10000</v>
      </c>
      <c r="V314" s="74">
        <f>5000+12000</f>
        <v>17000</v>
      </c>
      <c r="W314" s="74">
        <f>V314</f>
        <v>17000</v>
      </c>
      <c r="X314" s="74">
        <v>5000</v>
      </c>
      <c r="Y314" s="102">
        <f t="shared" si="79"/>
        <v>12000</v>
      </c>
      <c r="Z314" s="76"/>
    </row>
    <row r="315" spans="1:27" s="29" customFormat="1" ht="27.75" customHeight="1" x14ac:dyDescent="0.2">
      <c r="A315" s="30"/>
      <c r="B315" s="48" t="s">
        <v>7</v>
      </c>
      <c r="C315" s="39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F315" s="48" t="s">
        <v>65</v>
      </c>
      <c r="G315" s="43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12000</v>
      </c>
      <c r="H315" s="47"/>
      <c r="I315" s="387" t="s">
        <v>69</v>
      </c>
      <c r="J315" s="388"/>
      <c r="K315" s="53">
        <f>K313+K314</f>
        <v>53165.322580645159</v>
      </c>
      <c r="L315" s="54"/>
      <c r="N315" s="71"/>
      <c r="O315" s="72" t="s">
        <v>50</v>
      </c>
      <c r="P315" s="72">
        <v>30</v>
      </c>
      <c r="Q315" s="72">
        <v>1</v>
      </c>
      <c r="R315" s="72">
        <f t="shared" si="77"/>
        <v>12</v>
      </c>
      <c r="S315" s="63"/>
      <c r="T315" s="72" t="s">
        <v>50</v>
      </c>
      <c r="U315" s="102">
        <f t="shared" si="78"/>
        <v>12000</v>
      </c>
      <c r="V315" s="74">
        <v>3000</v>
      </c>
      <c r="W315" s="102">
        <f t="shared" si="80"/>
        <v>15000</v>
      </c>
      <c r="X315" s="74">
        <v>5000</v>
      </c>
      <c r="Y315" s="102">
        <f t="shared" si="79"/>
        <v>10000</v>
      </c>
      <c r="Z315" s="76"/>
    </row>
    <row r="316" spans="1:27" s="29" customFormat="1" ht="27.75" customHeight="1" x14ac:dyDescent="0.2">
      <c r="A316" s="30"/>
      <c r="B316" s="48" t="s">
        <v>6</v>
      </c>
      <c r="C316" s="39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F316" s="48" t="s">
        <v>21</v>
      </c>
      <c r="G316" s="4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47"/>
      <c r="I316" s="387" t="s">
        <v>70</v>
      </c>
      <c r="J316" s="388"/>
      <c r="K316" s="43">
        <f>G316</f>
        <v>0</v>
      </c>
      <c r="L316" s="55"/>
      <c r="N316" s="71"/>
      <c r="O316" s="72" t="s">
        <v>51</v>
      </c>
      <c r="P316" s="72">
        <v>31</v>
      </c>
      <c r="Q316" s="72">
        <v>0</v>
      </c>
      <c r="R316" s="72">
        <f t="shared" si="77"/>
        <v>12</v>
      </c>
      <c r="S316" s="63"/>
      <c r="T316" s="72" t="s">
        <v>51</v>
      </c>
      <c r="U316" s="102">
        <f t="shared" si="78"/>
        <v>10000</v>
      </c>
      <c r="V316" s="74">
        <v>2000</v>
      </c>
      <c r="W316" s="102">
        <f t="shared" si="80"/>
        <v>12000</v>
      </c>
      <c r="X316" s="74"/>
      <c r="Y316" s="102">
        <f t="shared" si="79"/>
        <v>12000</v>
      </c>
      <c r="Z316" s="76"/>
    </row>
    <row r="317" spans="1:27" s="29" customFormat="1" ht="27.75" customHeight="1" x14ac:dyDescent="0.2">
      <c r="A317" s="30"/>
      <c r="B317" s="318" t="s">
        <v>68</v>
      </c>
      <c r="C317" s="39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F317" s="318" t="s">
        <v>210</v>
      </c>
      <c r="G317" s="43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12000</v>
      </c>
      <c r="I317" s="382" t="s">
        <v>63</v>
      </c>
      <c r="J317" s="384"/>
      <c r="K317" s="57">
        <f>K315-K316</f>
        <v>53165.322580645159</v>
      </c>
      <c r="L317" s="58"/>
      <c r="N317" s="71"/>
      <c r="O317" s="72" t="s">
        <v>56</v>
      </c>
      <c r="P317" s="72"/>
      <c r="Q317" s="72"/>
      <c r="R317" s="72">
        <v>0</v>
      </c>
      <c r="S317" s="63"/>
      <c r="T317" s="72" t="s">
        <v>56</v>
      </c>
      <c r="U317" s="102">
        <v>0</v>
      </c>
      <c r="V317" s="74"/>
      <c r="W317" s="102">
        <f t="shared" ref="W317:W318" si="81">IF(U317="","",U317+V317)</f>
        <v>0</v>
      </c>
      <c r="X317" s="74"/>
      <c r="Y317" s="102">
        <f t="shared" si="79"/>
        <v>0</v>
      </c>
      <c r="Z317" s="76"/>
    </row>
    <row r="318" spans="1:27" s="29" customFormat="1" ht="27.75" customHeight="1" x14ac:dyDescent="0.2">
      <c r="A318" s="30"/>
      <c r="L318" s="46"/>
      <c r="N318" s="71"/>
      <c r="O318" s="72" t="s">
        <v>52</v>
      </c>
      <c r="P318" s="72"/>
      <c r="Q318" s="72"/>
      <c r="R318" s="72">
        <v>0</v>
      </c>
      <c r="S318" s="63"/>
      <c r="T318" s="72" t="s">
        <v>52</v>
      </c>
      <c r="U318" s="102" t="str">
        <f>IF($J$1="October",Y317,"")</f>
        <v/>
      </c>
      <c r="V318" s="74"/>
      <c r="W318" s="102" t="str">
        <f t="shared" si="81"/>
        <v/>
      </c>
      <c r="X318" s="74"/>
      <c r="Y318" s="102" t="str">
        <f t="shared" si="79"/>
        <v/>
      </c>
      <c r="Z318" s="76"/>
    </row>
    <row r="319" spans="1:27" s="29" customFormat="1" ht="27.75" customHeight="1" x14ac:dyDescent="0.35">
      <c r="A319" s="30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46"/>
      <c r="N319" s="71"/>
      <c r="O319" s="72" t="s">
        <v>57</v>
      </c>
      <c r="P319" s="72"/>
      <c r="Q319" s="72"/>
      <c r="R319" s="72">
        <f t="shared" si="77"/>
        <v>0</v>
      </c>
      <c r="S319" s="63"/>
      <c r="T319" s="72" t="s">
        <v>57</v>
      </c>
      <c r="U319" s="102"/>
      <c r="V319" s="74"/>
      <c r="W319" s="102" t="str">
        <f t="shared" si="80"/>
        <v/>
      </c>
      <c r="X319" s="74"/>
      <c r="Y319" s="102" t="str">
        <f t="shared" si="79"/>
        <v/>
      </c>
      <c r="Z319" s="76"/>
    </row>
    <row r="320" spans="1:27" s="29" customFormat="1" ht="27.75" customHeight="1" thickBot="1" x14ac:dyDescent="0.4">
      <c r="A320" s="59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61"/>
      <c r="N320" s="71"/>
      <c r="O320" s="72" t="s">
        <v>58</v>
      </c>
      <c r="P320" s="72"/>
      <c r="Q320" s="72"/>
      <c r="R320" s="72">
        <f t="shared" si="77"/>
        <v>0</v>
      </c>
      <c r="S320" s="63"/>
      <c r="T320" s="72" t="s">
        <v>58</v>
      </c>
      <c r="U320" s="102"/>
      <c r="V320" s="74"/>
      <c r="W320" s="102" t="str">
        <f t="shared" si="80"/>
        <v/>
      </c>
      <c r="X320" s="74"/>
      <c r="Y320" s="102" t="str">
        <f t="shared" si="79"/>
        <v/>
      </c>
      <c r="Z320" s="76"/>
    </row>
    <row r="321" spans="1:27" s="94" customFormat="1" ht="27.75" customHeight="1" thickBot="1" x14ac:dyDescent="0.25"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7" s="29" customFormat="1" ht="27.75" customHeight="1" thickBot="1" x14ac:dyDescent="0.25">
      <c r="A322" s="389" t="s">
        <v>40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1"/>
      <c r="M322" s="28"/>
      <c r="N322" s="64"/>
      <c r="O322" s="377" t="s">
        <v>42</v>
      </c>
      <c r="P322" s="378"/>
      <c r="Q322" s="378"/>
      <c r="R322" s="379"/>
      <c r="S322" s="65"/>
      <c r="T322" s="377" t="s">
        <v>43</v>
      </c>
      <c r="U322" s="378"/>
      <c r="V322" s="378"/>
      <c r="W322" s="378"/>
      <c r="X322" s="378"/>
      <c r="Y322" s="379"/>
      <c r="Z322" s="66"/>
      <c r="AA322" s="28"/>
    </row>
    <row r="323" spans="1:27" s="29" customFormat="1" ht="27.75" customHeight="1" x14ac:dyDescent="0.2">
      <c r="A323" s="30"/>
      <c r="C323" s="386" t="s">
        <v>83</v>
      </c>
      <c r="D323" s="386"/>
      <c r="E323" s="386"/>
      <c r="F323" s="386"/>
      <c r="G323" s="31" t="str">
        <f>$J$1</f>
        <v>August</v>
      </c>
      <c r="H323" s="385">
        <f>$K$1</f>
        <v>2023</v>
      </c>
      <c r="I323" s="385"/>
      <c r="K323" s="32"/>
      <c r="L323" s="33"/>
      <c r="M323" s="32"/>
      <c r="N323" s="67"/>
      <c r="O323" s="68" t="s">
        <v>53</v>
      </c>
      <c r="P323" s="68" t="s">
        <v>7</v>
      </c>
      <c r="Q323" s="68" t="s">
        <v>6</v>
      </c>
      <c r="R323" s="68" t="s">
        <v>54</v>
      </c>
      <c r="S323" s="69"/>
      <c r="T323" s="68" t="s">
        <v>53</v>
      </c>
      <c r="U323" s="68" t="s">
        <v>55</v>
      </c>
      <c r="V323" s="68" t="s">
        <v>20</v>
      </c>
      <c r="W323" s="68" t="s">
        <v>19</v>
      </c>
      <c r="X323" s="68" t="s">
        <v>21</v>
      </c>
      <c r="Y323" s="68" t="s">
        <v>59</v>
      </c>
      <c r="Z323" s="70"/>
      <c r="AA323" s="32"/>
    </row>
    <row r="324" spans="1:27" s="29" customFormat="1" ht="27.75" customHeight="1" x14ac:dyDescent="0.2">
      <c r="A324" s="30"/>
      <c r="D324" s="35"/>
      <c r="E324" s="35"/>
      <c r="F324" s="35"/>
      <c r="G324" s="35"/>
      <c r="H324" s="35"/>
      <c r="J324" s="36" t="s">
        <v>1</v>
      </c>
      <c r="K324" s="37">
        <v>22000</v>
      </c>
      <c r="L324" s="38"/>
      <c r="N324" s="71"/>
      <c r="O324" s="72" t="s">
        <v>45</v>
      </c>
      <c r="P324" s="72">
        <v>30</v>
      </c>
      <c r="Q324" s="72">
        <v>1</v>
      </c>
      <c r="R324" s="72">
        <f>15-Q324</f>
        <v>14</v>
      </c>
      <c r="S324" s="73"/>
      <c r="T324" s="72" t="s">
        <v>45</v>
      </c>
      <c r="U324" s="74">
        <v>5760</v>
      </c>
      <c r="V324" s="74"/>
      <c r="W324" s="74">
        <f>V324+U324</f>
        <v>5760</v>
      </c>
      <c r="X324" s="74"/>
      <c r="Y324" s="74">
        <f>W324-X324</f>
        <v>5760</v>
      </c>
      <c r="Z324" s="70"/>
    </row>
    <row r="325" spans="1:27" s="29" customFormat="1" ht="27.75" customHeight="1" x14ac:dyDescent="0.2">
      <c r="A325" s="30"/>
      <c r="B325" s="29" t="s">
        <v>0</v>
      </c>
      <c r="C325" s="40" t="s">
        <v>170</v>
      </c>
      <c r="H325" s="41"/>
      <c r="I325" s="35"/>
      <c r="L325" s="42"/>
      <c r="M325" s="28"/>
      <c r="N325" s="75"/>
      <c r="O325" s="72" t="s">
        <v>71</v>
      </c>
      <c r="P325" s="72">
        <v>26</v>
      </c>
      <c r="Q325" s="72">
        <v>2</v>
      </c>
      <c r="R325" s="72">
        <f>R324-Q325</f>
        <v>12</v>
      </c>
      <c r="S325" s="63"/>
      <c r="T325" s="72" t="s">
        <v>71</v>
      </c>
      <c r="U325" s="102">
        <f>IF($J$1="January","",Y324)</f>
        <v>5760</v>
      </c>
      <c r="V325" s="74">
        <v>3000</v>
      </c>
      <c r="W325" s="102">
        <f>IF(U325="","",U325+V325)</f>
        <v>8760</v>
      </c>
      <c r="X325" s="74">
        <v>4000</v>
      </c>
      <c r="Y325" s="102">
        <f>IF(W325="","",W325-X325)</f>
        <v>4760</v>
      </c>
      <c r="Z325" s="76"/>
      <c r="AA325" s="28"/>
    </row>
    <row r="326" spans="1:27" s="29" customFormat="1" ht="27.75" customHeight="1" x14ac:dyDescent="0.2">
      <c r="A326" s="30"/>
      <c r="B326" s="44" t="s">
        <v>41</v>
      </c>
      <c r="C326" s="45"/>
      <c r="F326" s="382" t="s">
        <v>43</v>
      </c>
      <c r="G326" s="384"/>
      <c r="I326" s="382" t="s">
        <v>44</v>
      </c>
      <c r="J326" s="383"/>
      <c r="K326" s="384"/>
      <c r="L326" s="46"/>
      <c r="N326" s="71"/>
      <c r="O326" s="72" t="s">
        <v>46</v>
      </c>
      <c r="P326" s="72">
        <v>30</v>
      </c>
      <c r="Q326" s="72">
        <v>1</v>
      </c>
      <c r="R326" s="72">
        <f t="shared" ref="R326:R335" si="82">R325-Q326</f>
        <v>11</v>
      </c>
      <c r="S326" s="63"/>
      <c r="T326" s="72" t="s">
        <v>46</v>
      </c>
      <c r="U326" s="102">
        <f>Y325</f>
        <v>4760</v>
      </c>
      <c r="V326" s="74">
        <v>2000</v>
      </c>
      <c r="W326" s="102">
        <f t="shared" ref="W326:W335" si="83">IF(U326="","",U326+V326)</f>
        <v>6760</v>
      </c>
      <c r="X326" s="74">
        <v>4000</v>
      </c>
      <c r="Y326" s="102">
        <f t="shared" ref="Y326:Y335" si="84">IF(W326="","",W326-X326)</f>
        <v>2760</v>
      </c>
      <c r="Z326" s="76"/>
    </row>
    <row r="327" spans="1:27" s="29" customFormat="1" ht="27.75" customHeight="1" x14ac:dyDescent="0.2">
      <c r="A327" s="30"/>
      <c r="H327" s="47"/>
      <c r="L327" s="34"/>
      <c r="N327" s="71"/>
      <c r="O327" s="72" t="s">
        <v>47</v>
      </c>
      <c r="P327" s="72">
        <v>30</v>
      </c>
      <c r="Q327" s="72">
        <v>0</v>
      </c>
      <c r="R327" s="72">
        <f t="shared" si="82"/>
        <v>11</v>
      </c>
      <c r="S327" s="63"/>
      <c r="T327" s="72" t="s">
        <v>47</v>
      </c>
      <c r="U327" s="102">
        <f>IF($J$1="March","",Y326)</f>
        <v>2760</v>
      </c>
      <c r="V327" s="74">
        <v>4000</v>
      </c>
      <c r="W327" s="102">
        <f t="shared" si="83"/>
        <v>6760</v>
      </c>
      <c r="X327" s="74">
        <v>4000</v>
      </c>
      <c r="Y327" s="102">
        <f t="shared" si="84"/>
        <v>2760</v>
      </c>
      <c r="Z327" s="76"/>
    </row>
    <row r="328" spans="1:27" s="29" customFormat="1" ht="27.75" customHeight="1" x14ac:dyDescent="0.2">
      <c r="A328" s="30"/>
      <c r="B328" s="380" t="s">
        <v>42</v>
      </c>
      <c r="C328" s="381"/>
      <c r="F328" s="48" t="s">
        <v>64</v>
      </c>
      <c r="G328" s="4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10760</v>
      </c>
      <c r="H328" s="47"/>
      <c r="I328" s="49">
        <f>IF(C332&gt;0,$K$2,C330)</f>
        <v>31</v>
      </c>
      <c r="J328" s="50" t="s">
        <v>61</v>
      </c>
      <c r="K328" s="51">
        <f>K324/$K$2*I328</f>
        <v>22000</v>
      </c>
      <c r="L328" s="52"/>
      <c r="N328" s="71"/>
      <c r="O328" s="72" t="s">
        <v>48</v>
      </c>
      <c r="P328" s="72">
        <v>30</v>
      </c>
      <c r="Q328" s="72">
        <v>1</v>
      </c>
      <c r="R328" s="72">
        <f t="shared" si="82"/>
        <v>10</v>
      </c>
      <c r="S328" s="63"/>
      <c r="T328" s="72" t="s">
        <v>48</v>
      </c>
      <c r="U328" s="102">
        <f>Y327</f>
        <v>2760</v>
      </c>
      <c r="V328" s="74">
        <v>2000</v>
      </c>
      <c r="W328" s="102">
        <f t="shared" si="83"/>
        <v>4760</v>
      </c>
      <c r="X328" s="74">
        <v>3000</v>
      </c>
      <c r="Y328" s="102">
        <f t="shared" si="84"/>
        <v>1760</v>
      </c>
      <c r="Z328" s="76"/>
    </row>
    <row r="329" spans="1:27" s="29" customFormat="1" ht="27.75" customHeight="1" x14ac:dyDescent="0.2">
      <c r="A329" s="30"/>
      <c r="B329" s="39"/>
      <c r="C329" s="39"/>
      <c r="F329" s="48" t="s">
        <v>20</v>
      </c>
      <c r="G329" s="4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2000</v>
      </c>
      <c r="H329" s="47"/>
      <c r="I329" s="49">
        <v>60</v>
      </c>
      <c r="J329" s="50" t="s">
        <v>62</v>
      </c>
      <c r="K329" s="53">
        <f>K324/$K$2/8*I329</f>
        <v>5322.5806451612898</v>
      </c>
      <c r="L329" s="54"/>
      <c r="N329" s="71"/>
      <c r="O329" s="72" t="s">
        <v>49</v>
      </c>
      <c r="P329" s="72">
        <v>30</v>
      </c>
      <c r="Q329" s="72">
        <v>0</v>
      </c>
      <c r="R329" s="72">
        <f t="shared" si="82"/>
        <v>10</v>
      </c>
      <c r="S329" s="63"/>
      <c r="T329" s="72" t="s">
        <v>49</v>
      </c>
      <c r="U329" s="102">
        <f>Y328</f>
        <v>1760</v>
      </c>
      <c r="V329" s="74">
        <f>10000+10000</f>
        <v>20000</v>
      </c>
      <c r="W329" s="102">
        <f t="shared" si="83"/>
        <v>21760</v>
      </c>
      <c r="X329" s="74">
        <v>10000</v>
      </c>
      <c r="Y329" s="102">
        <f t="shared" si="84"/>
        <v>11760</v>
      </c>
      <c r="Z329" s="76"/>
    </row>
    <row r="330" spans="1:27" s="29" customFormat="1" ht="27.75" customHeight="1" x14ac:dyDescent="0.2">
      <c r="A330" s="30"/>
      <c r="B330" s="48" t="s">
        <v>7</v>
      </c>
      <c r="C330" s="39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F330" s="48" t="s">
        <v>65</v>
      </c>
      <c r="G330" s="43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12760</v>
      </c>
      <c r="H330" s="47"/>
      <c r="I330" s="387" t="s">
        <v>69</v>
      </c>
      <c r="J330" s="388"/>
      <c r="K330" s="53">
        <f>K328+K329</f>
        <v>27322.580645161288</v>
      </c>
      <c r="L330" s="54"/>
      <c r="N330" s="71"/>
      <c r="O330" s="72" t="s">
        <v>50</v>
      </c>
      <c r="P330" s="72">
        <v>31</v>
      </c>
      <c r="Q330" s="72">
        <v>0</v>
      </c>
      <c r="R330" s="72">
        <f t="shared" si="82"/>
        <v>10</v>
      </c>
      <c r="S330" s="63"/>
      <c r="T330" s="72" t="s">
        <v>50</v>
      </c>
      <c r="U330" s="102">
        <f>Y329</f>
        <v>11760</v>
      </c>
      <c r="V330" s="74">
        <v>2000</v>
      </c>
      <c r="W330" s="102">
        <f t="shared" si="83"/>
        <v>13760</v>
      </c>
      <c r="X330" s="74">
        <v>3000</v>
      </c>
      <c r="Y330" s="102">
        <f t="shared" si="84"/>
        <v>10760</v>
      </c>
      <c r="Z330" s="76"/>
    </row>
    <row r="331" spans="1:27" s="29" customFormat="1" ht="27.75" customHeight="1" x14ac:dyDescent="0.2">
      <c r="A331" s="30"/>
      <c r="B331" s="48" t="s">
        <v>6</v>
      </c>
      <c r="C331" s="39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F331" s="48" t="s">
        <v>21</v>
      </c>
      <c r="G331" s="4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47"/>
      <c r="I331" s="387" t="s">
        <v>70</v>
      </c>
      <c r="J331" s="388"/>
      <c r="K331" s="43">
        <f>G331</f>
        <v>2000</v>
      </c>
      <c r="L331" s="55"/>
      <c r="N331" s="71"/>
      <c r="O331" s="72" t="s">
        <v>51</v>
      </c>
      <c r="P331" s="72">
        <v>31</v>
      </c>
      <c r="Q331" s="72">
        <v>0</v>
      </c>
      <c r="R331" s="72">
        <f t="shared" si="82"/>
        <v>10</v>
      </c>
      <c r="S331" s="63"/>
      <c r="T331" s="72" t="s">
        <v>51</v>
      </c>
      <c r="U331" s="102">
        <f>Y330</f>
        <v>10760</v>
      </c>
      <c r="V331" s="74">
        <v>2000</v>
      </c>
      <c r="W331" s="102">
        <f t="shared" si="83"/>
        <v>12760</v>
      </c>
      <c r="X331" s="74">
        <v>2000</v>
      </c>
      <c r="Y331" s="102">
        <f t="shared" si="84"/>
        <v>10760</v>
      </c>
      <c r="Z331" s="76"/>
    </row>
    <row r="332" spans="1:27" s="29" customFormat="1" ht="27.75" customHeight="1" x14ac:dyDescent="0.2">
      <c r="A332" s="30"/>
      <c r="B332" s="318" t="s">
        <v>68</v>
      </c>
      <c r="C332" s="39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F332" s="318" t="s">
        <v>210</v>
      </c>
      <c r="G332" s="43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I332" s="382" t="s">
        <v>63</v>
      </c>
      <c r="J332" s="384"/>
      <c r="K332" s="57">
        <f>K330-K331</f>
        <v>25322.580645161288</v>
      </c>
      <c r="L332" s="58"/>
      <c r="N332" s="71"/>
      <c r="O332" s="72" t="s">
        <v>56</v>
      </c>
      <c r="P332" s="72"/>
      <c r="Q332" s="72"/>
      <c r="R332" s="72">
        <v>0</v>
      </c>
      <c r="S332" s="63"/>
      <c r="T332" s="72" t="s">
        <v>56</v>
      </c>
      <c r="U332" s="102">
        <v>0</v>
      </c>
      <c r="V332" s="74"/>
      <c r="W332" s="102">
        <f t="shared" si="83"/>
        <v>0</v>
      </c>
      <c r="X332" s="74"/>
      <c r="Y332" s="102">
        <f t="shared" si="84"/>
        <v>0</v>
      </c>
      <c r="Z332" s="76"/>
    </row>
    <row r="333" spans="1:27" s="29" customFormat="1" ht="27.75" customHeight="1" x14ac:dyDescent="0.2">
      <c r="A333" s="30"/>
      <c r="L333" s="46"/>
      <c r="N333" s="71"/>
      <c r="O333" s="72" t="s">
        <v>52</v>
      </c>
      <c r="P333" s="72"/>
      <c r="Q333" s="72"/>
      <c r="R333" s="72">
        <v>0</v>
      </c>
      <c r="S333" s="63"/>
      <c r="T333" s="72" t="s">
        <v>52</v>
      </c>
      <c r="U333" s="102" t="str">
        <f>IF($J$1="October",Y332,"")</f>
        <v/>
      </c>
      <c r="V333" s="74"/>
      <c r="W333" s="102" t="str">
        <f t="shared" si="83"/>
        <v/>
      </c>
      <c r="X333" s="74"/>
      <c r="Y333" s="102" t="str">
        <f t="shared" si="84"/>
        <v/>
      </c>
      <c r="Z333" s="76"/>
    </row>
    <row r="334" spans="1:27" s="29" customFormat="1" ht="27.75" customHeight="1" x14ac:dyDescent="0.35">
      <c r="A334" s="30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46"/>
      <c r="N334" s="71"/>
      <c r="O334" s="72" t="s">
        <v>57</v>
      </c>
      <c r="P334" s="72"/>
      <c r="Q334" s="72"/>
      <c r="R334" s="72">
        <f t="shared" si="82"/>
        <v>0</v>
      </c>
      <c r="S334" s="63"/>
      <c r="T334" s="72" t="s">
        <v>57</v>
      </c>
      <c r="U334" s="102" t="str">
        <f>IF($J$1="October","",Y333)</f>
        <v/>
      </c>
      <c r="V334" s="74"/>
      <c r="W334" s="102" t="str">
        <f t="shared" si="83"/>
        <v/>
      </c>
      <c r="X334" s="74"/>
      <c r="Y334" s="102" t="str">
        <f t="shared" si="84"/>
        <v/>
      </c>
      <c r="Z334" s="76"/>
    </row>
    <row r="335" spans="1:27" s="29" customFormat="1" ht="27.75" customHeight="1" thickBot="1" x14ac:dyDescent="0.4">
      <c r="A335" s="5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61"/>
      <c r="N335" s="71"/>
      <c r="O335" s="72" t="s">
        <v>58</v>
      </c>
      <c r="P335" s="72"/>
      <c r="Q335" s="72"/>
      <c r="R335" s="72">
        <f t="shared" si="82"/>
        <v>0</v>
      </c>
      <c r="S335" s="63"/>
      <c r="T335" s="72" t="s">
        <v>58</v>
      </c>
      <c r="U335" s="102" t="str">
        <f>IF($J$1="November","",Y334)</f>
        <v/>
      </c>
      <c r="V335" s="74"/>
      <c r="W335" s="102" t="str">
        <f t="shared" si="83"/>
        <v/>
      </c>
      <c r="X335" s="74"/>
      <c r="Y335" s="102" t="str">
        <f t="shared" si="84"/>
        <v/>
      </c>
      <c r="Z335" s="76"/>
    </row>
    <row r="336" spans="1:27" s="94" customFormat="1" ht="27.75" customHeight="1" thickBot="1" x14ac:dyDescent="0.25"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7" s="29" customFormat="1" ht="27.75" customHeight="1" thickBot="1" x14ac:dyDescent="0.25">
      <c r="A337" s="389" t="s">
        <v>40</v>
      </c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1"/>
      <c r="M337" s="28"/>
      <c r="N337" s="64"/>
      <c r="O337" s="377" t="s">
        <v>42</v>
      </c>
      <c r="P337" s="378"/>
      <c r="Q337" s="378"/>
      <c r="R337" s="379"/>
      <c r="S337" s="65"/>
      <c r="T337" s="377" t="s">
        <v>43</v>
      </c>
      <c r="U337" s="378"/>
      <c r="V337" s="378"/>
      <c r="W337" s="378"/>
      <c r="X337" s="378"/>
      <c r="Y337" s="379"/>
      <c r="Z337" s="66"/>
      <c r="AA337" s="28"/>
    </row>
    <row r="338" spans="1:27" s="29" customFormat="1" ht="27.75" customHeight="1" x14ac:dyDescent="0.2">
      <c r="A338" s="30"/>
      <c r="C338" s="386" t="s">
        <v>83</v>
      </c>
      <c r="D338" s="386"/>
      <c r="E338" s="386"/>
      <c r="F338" s="386"/>
      <c r="G338" s="31" t="str">
        <f>$J$1</f>
        <v>August</v>
      </c>
      <c r="H338" s="385">
        <f>$K$1</f>
        <v>2023</v>
      </c>
      <c r="I338" s="385"/>
      <c r="K338" s="32"/>
      <c r="L338" s="33"/>
      <c r="M338" s="32"/>
      <c r="N338" s="67"/>
      <c r="O338" s="68" t="s">
        <v>53</v>
      </c>
      <c r="P338" s="68" t="s">
        <v>7</v>
      </c>
      <c r="Q338" s="68" t="s">
        <v>6</v>
      </c>
      <c r="R338" s="68" t="s">
        <v>54</v>
      </c>
      <c r="S338" s="69"/>
      <c r="T338" s="68" t="s">
        <v>53</v>
      </c>
      <c r="U338" s="68" t="s">
        <v>55</v>
      </c>
      <c r="V338" s="68" t="s">
        <v>20</v>
      </c>
      <c r="W338" s="68" t="s">
        <v>19</v>
      </c>
      <c r="X338" s="68" t="s">
        <v>21</v>
      </c>
      <c r="Y338" s="68" t="s">
        <v>59</v>
      </c>
      <c r="Z338" s="70"/>
      <c r="AA338" s="32"/>
    </row>
    <row r="339" spans="1:27" s="29" customFormat="1" ht="27.75" customHeight="1" x14ac:dyDescent="0.2">
      <c r="A339" s="30"/>
      <c r="D339" s="35"/>
      <c r="E339" s="35"/>
      <c r="F339" s="35"/>
      <c r="G339" s="35"/>
      <c r="H339" s="35"/>
      <c r="J339" s="36" t="s">
        <v>1</v>
      </c>
      <c r="K339" s="37">
        <f>19000+3000</f>
        <v>22000</v>
      </c>
      <c r="L339" s="38"/>
      <c r="N339" s="71"/>
      <c r="O339" s="72" t="s">
        <v>45</v>
      </c>
      <c r="P339" s="72">
        <v>31</v>
      </c>
      <c r="Q339" s="72">
        <v>0</v>
      </c>
      <c r="R339" s="72">
        <f>15-Q339</f>
        <v>15</v>
      </c>
      <c r="S339" s="73"/>
      <c r="T339" s="72" t="s">
        <v>45</v>
      </c>
      <c r="U339" s="74"/>
      <c r="V339" s="74"/>
      <c r="W339" s="74">
        <f>V339+U339</f>
        <v>0</v>
      </c>
      <c r="X339" s="74"/>
      <c r="Y339" s="74">
        <f>W339-X339</f>
        <v>0</v>
      </c>
      <c r="Z339" s="70"/>
    </row>
    <row r="340" spans="1:27" s="29" customFormat="1" ht="27.75" customHeight="1" x14ac:dyDescent="0.2">
      <c r="A340" s="30"/>
      <c r="B340" s="29" t="s">
        <v>0</v>
      </c>
      <c r="C340" s="40" t="s">
        <v>137</v>
      </c>
      <c r="H340" s="41"/>
      <c r="I340" s="35"/>
      <c r="L340" s="42"/>
      <c r="M340" s="28"/>
      <c r="N340" s="75"/>
      <c r="O340" s="72" t="s">
        <v>71</v>
      </c>
      <c r="P340" s="72">
        <v>27</v>
      </c>
      <c r="Q340" s="72">
        <v>1</v>
      </c>
      <c r="R340" s="72">
        <f t="shared" ref="R340:R350" si="85">IF(Q340="","",R339-Q340)</f>
        <v>14</v>
      </c>
      <c r="S340" s="63"/>
      <c r="T340" s="72" t="s">
        <v>71</v>
      </c>
      <c r="U340" s="102">
        <f>IF($J$1="January","",Y339)</f>
        <v>0</v>
      </c>
      <c r="V340" s="74"/>
      <c r="W340" s="102">
        <f>IF(U340="","",U340+V340)</f>
        <v>0</v>
      </c>
      <c r="X340" s="74"/>
      <c r="Y340" s="102">
        <f>IF(W340="","",W340-X340)</f>
        <v>0</v>
      </c>
      <c r="Z340" s="76"/>
      <c r="AA340" s="28"/>
    </row>
    <row r="341" spans="1:27" s="29" customFormat="1" ht="27.75" customHeight="1" x14ac:dyDescent="0.2">
      <c r="A341" s="30"/>
      <c r="B341" s="44" t="s">
        <v>41</v>
      </c>
      <c r="C341" s="45"/>
      <c r="F341" s="382" t="s">
        <v>43</v>
      </c>
      <c r="G341" s="384"/>
      <c r="I341" s="382" t="s">
        <v>44</v>
      </c>
      <c r="J341" s="383"/>
      <c r="K341" s="384"/>
      <c r="L341" s="46"/>
      <c r="N341" s="71"/>
      <c r="O341" s="72" t="s">
        <v>46</v>
      </c>
      <c r="P341" s="72">
        <v>30</v>
      </c>
      <c r="Q341" s="72">
        <v>1</v>
      </c>
      <c r="R341" s="72">
        <f t="shared" si="85"/>
        <v>13</v>
      </c>
      <c r="S341" s="63"/>
      <c r="T341" s="72" t="s">
        <v>46</v>
      </c>
      <c r="U341" s="102">
        <f>IF($J$1="February","",Y340)</f>
        <v>0</v>
      </c>
      <c r="V341" s="74"/>
      <c r="W341" s="102">
        <f t="shared" ref="W341:W350" si="86">IF(U341="","",U341+V341)</f>
        <v>0</v>
      </c>
      <c r="X341" s="74"/>
      <c r="Y341" s="102">
        <f t="shared" ref="Y341:Y350" si="87">IF(W341="","",W341-X341)</f>
        <v>0</v>
      </c>
      <c r="Z341" s="76"/>
    </row>
    <row r="342" spans="1:27" s="29" customFormat="1" ht="27.75" customHeight="1" x14ac:dyDescent="0.2">
      <c r="A342" s="30"/>
      <c r="H342" s="47"/>
      <c r="L342" s="34"/>
      <c r="N342" s="71"/>
      <c r="O342" s="72" t="s">
        <v>47</v>
      </c>
      <c r="P342" s="72">
        <v>30</v>
      </c>
      <c r="Q342" s="72">
        <v>0</v>
      </c>
      <c r="R342" s="72">
        <f t="shared" si="85"/>
        <v>13</v>
      </c>
      <c r="S342" s="63"/>
      <c r="T342" s="72" t="s">
        <v>47</v>
      </c>
      <c r="U342" s="102">
        <f>IF($J$1="March","",Y341)</f>
        <v>0</v>
      </c>
      <c r="V342" s="74"/>
      <c r="W342" s="102">
        <f t="shared" si="86"/>
        <v>0</v>
      </c>
      <c r="X342" s="74"/>
      <c r="Y342" s="102">
        <f t="shared" si="87"/>
        <v>0</v>
      </c>
      <c r="Z342" s="76"/>
    </row>
    <row r="343" spans="1:27" s="29" customFormat="1" ht="27.75" customHeight="1" x14ac:dyDescent="0.2">
      <c r="A343" s="30"/>
      <c r="B343" s="380" t="s">
        <v>42</v>
      </c>
      <c r="C343" s="381"/>
      <c r="F343" s="48" t="s">
        <v>64</v>
      </c>
      <c r="G343" s="4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28000</v>
      </c>
      <c r="H343" s="47"/>
      <c r="I343" s="49">
        <f>IF(C347&gt;0,$K$2,C345)</f>
        <v>31</v>
      </c>
      <c r="J343" s="50" t="s">
        <v>61</v>
      </c>
      <c r="K343" s="51">
        <f>K339/$K$2*I343</f>
        <v>22000</v>
      </c>
      <c r="L343" s="52"/>
      <c r="N343" s="71"/>
      <c r="O343" s="72" t="s">
        <v>48</v>
      </c>
      <c r="P343" s="72">
        <v>31</v>
      </c>
      <c r="Q343" s="72">
        <v>0</v>
      </c>
      <c r="R343" s="72">
        <f t="shared" si="85"/>
        <v>13</v>
      </c>
      <c r="S343" s="63"/>
      <c r="T343" s="72" t="s">
        <v>48</v>
      </c>
      <c r="U343" s="102">
        <f>IF($J$1="April","",Y342)</f>
        <v>0</v>
      </c>
      <c r="V343" s="74"/>
      <c r="W343" s="102">
        <f t="shared" si="86"/>
        <v>0</v>
      </c>
      <c r="X343" s="74"/>
      <c r="Y343" s="102">
        <f t="shared" si="87"/>
        <v>0</v>
      </c>
      <c r="Z343" s="76"/>
    </row>
    <row r="344" spans="1:27" s="29" customFormat="1" ht="27.75" customHeight="1" x14ac:dyDescent="0.2">
      <c r="A344" s="30"/>
      <c r="B344" s="39"/>
      <c r="C344" s="39"/>
      <c r="F344" s="48" t="s">
        <v>20</v>
      </c>
      <c r="G344" s="4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47"/>
      <c r="I344" s="49">
        <v>124</v>
      </c>
      <c r="J344" s="50" t="s">
        <v>62</v>
      </c>
      <c r="K344" s="53">
        <f>K339/$K$2/8*I344</f>
        <v>11000</v>
      </c>
      <c r="L344" s="54"/>
      <c r="N344" s="71"/>
      <c r="O344" s="72" t="s">
        <v>49</v>
      </c>
      <c r="P344" s="72">
        <v>30</v>
      </c>
      <c r="Q344" s="72">
        <v>0</v>
      </c>
      <c r="R344" s="72">
        <f t="shared" si="85"/>
        <v>13</v>
      </c>
      <c r="S344" s="63"/>
      <c r="T344" s="72" t="s">
        <v>49</v>
      </c>
      <c r="U344" s="102">
        <f>Y343</f>
        <v>0</v>
      </c>
      <c r="V344" s="74">
        <f>15000+30000</f>
        <v>45000</v>
      </c>
      <c r="W344" s="102">
        <f t="shared" si="86"/>
        <v>45000</v>
      </c>
      <c r="X344" s="74">
        <v>15000</v>
      </c>
      <c r="Y344" s="102">
        <f t="shared" si="87"/>
        <v>30000</v>
      </c>
      <c r="Z344" s="76"/>
    </row>
    <row r="345" spans="1:27" s="29" customFormat="1" ht="27.75" customHeight="1" x14ac:dyDescent="0.2">
      <c r="A345" s="30"/>
      <c r="B345" s="48" t="s">
        <v>7</v>
      </c>
      <c r="C345" s="39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F345" s="48" t="s">
        <v>65</v>
      </c>
      <c r="G345" s="43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28000</v>
      </c>
      <c r="H345" s="47"/>
      <c r="I345" s="387" t="s">
        <v>69</v>
      </c>
      <c r="J345" s="388"/>
      <c r="K345" s="53">
        <f>K343+K344</f>
        <v>33000</v>
      </c>
      <c r="L345" s="54"/>
      <c r="N345" s="71"/>
      <c r="O345" s="72" t="s">
        <v>50</v>
      </c>
      <c r="P345" s="72">
        <v>29</v>
      </c>
      <c r="Q345" s="72">
        <v>2</v>
      </c>
      <c r="R345" s="72">
        <f t="shared" si="85"/>
        <v>11</v>
      </c>
      <c r="S345" s="63"/>
      <c r="T345" s="72" t="s">
        <v>50</v>
      </c>
      <c r="U345" s="102">
        <f>Y344</f>
        <v>30000</v>
      </c>
      <c r="V345" s="74"/>
      <c r="W345" s="102">
        <f t="shared" ref="W345:W348" si="88">IF(U345="","",U345+V345)</f>
        <v>30000</v>
      </c>
      <c r="X345" s="74">
        <v>2000</v>
      </c>
      <c r="Y345" s="102">
        <f t="shared" ref="Y345:Y348" si="89">IF(W345="","",W345-X345)</f>
        <v>28000</v>
      </c>
      <c r="Z345" s="76"/>
    </row>
    <row r="346" spans="1:27" s="29" customFormat="1" ht="27.75" customHeight="1" x14ac:dyDescent="0.2">
      <c r="A346" s="30"/>
      <c r="B346" s="48" t="s">
        <v>6</v>
      </c>
      <c r="C346" s="39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F346" s="48" t="s">
        <v>21</v>
      </c>
      <c r="G346" s="4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47"/>
      <c r="I346" s="387" t="s">
        <v>70</v>
      </c>
      <c r="J346" s="388"/>
      <c r="K346" s="43">
        <f>G346</f>
        <v>2000</v>
      </c>
      <c r="L346" s="55"/>
      <c r="N346" s="71"/>
      <c r="O346" s="72" t="s">
        <v>51</v>
      </c>
      <c r="P346" s="72">
        <v>31</v>
      </c>
      <c r="Q346" s="72">
        <v>0</v>
      </c>
      <c r="R346" s="72">
        <f t="shared" si="85"/>
        <v>11</v>
      </c>
      <c r="S346" s="63"/>
      <c r="T346" s="72" t="s">
        <v>51</v>
      </c>
      <c r="U346" s="102">
        <f>Y345</f>
        <v>28000</v>
      </c>
      <c r="V346" s="74"/>
      <c r="W346" s="102">
        <f t="shared" si="88"/>
        <v>28000</v>
      </c>
      <c r="X346" s="74">
        <v>2000</v>
      </c>
      <c r="Y346" s="102">
        <f t="shared" si="89"/>
        <v>26000</v>
      </c>
      <c r="Z346" s="76"/>
    </row>
    <row r="347" spans="1:27" s="29" customFormat="1" ht="27.75" customHeight="1" x14ac:dyDescent="0.2">
      <c r="A347" s="30"/>
      <c r="B347" s="318" t="s">
        <v>68</v>
      </c>
      <c r="C347" s="39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11</v>
      </c>
      <c r="F347" s="318" t="s">
        <v>210</v>
      </c>
      <c r="G347" s="43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26000</v>
      </c>
      <c r="I347" s="382" t="s">
        <v>63</v>
      </c>
      <c r="J347" s="384"/>
      <c r="K347" s="57">
        <f>K345-K346</f>
        <v>31000</v>
      </c>
      <c r="L347" s="58"/>
      <c r="N347" s="71"/>
      <c r="O347" s="72" t="s">
        <v>56</v>
      </c>
      <c r="P347" s="72"/>
      <c r="Q347" s="72"/>
      <c r="R347" s="72">
        <v>0</v>
      </c>
      <c r="S347" s="63"/>
      <c r="T347" s="72" t="s">
        <v>56</v>
      </c>
      <c r="U347" s="102">
        <v>0</v>
      </c>
      <c r="V347" s="74"/>
      <c r="W347" s="102">
        <f t="shared" si="88"/>
        <v>0</v>
      </c>
      <c r="X347" s="74"/>
      <c r="Y347" s="102">
        <f t="shared" si="89"/>
        <v>0</v>
      </c>
      <c r="Z347" s="76"/>
    </row>
    <row r="348" spans="1:27" s="29" customFormat="1" ht="27.75" customHeight="1" x14ac:dyDescent="0.2">
      <c r="A348" s="30"/>
      <c r="L348" s="46"/>
      <c r="N348" s="71"/>
      <c r="O348" s="72" t="s">
        <v>52</v>
      </c>
      <c r="P348" s="72"/>
      <c r="Q348" s="72"/>
      <c r="R348" s="72">
        <v>0</v>
      </c>
      <c r="S348" s="63"/>
      <c r="T348" s="72" t="s">
        <v>52</v>
      </c>
      <c r="U348" s="102" t="str">
        <f>IF($J$1="October",Y347,"")</f>
        <v/>
      </c>
      <c r="V348" s="74"/>
      <c r="W348" s="102" t="str">
        <f t="shared" si="88"/>
        <v/>
      </c>
      <c r="X348" s="74"/>
      <c r="Y348" s="102" t="str">
        <f t="shared" si="89"/>
        <v/>
      </c>
      <c r="Z348" s="76"/>
    </row>
    <row r="349" spans="1:27" s="29" customFormat="1" ht="27.75" customHeight="1" x14ac:dyDescent="0.35">
      <c r="A349" s="30"/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46"/>
      <c r="N349" s="71"/>
      <c r="O349" s="72" t="s">
        <v>57</v>
      </c>
      <c r="P349" s="72"/>
      <c r="Q349" s="72"/>
      <c r="R349" s="72" t="str">
        <f t="shared" si="85"/>
        <v/>
      </c>
      <c r="S349" s="63"/>
      <c r="T349" s="72" t="s">
        <v>57</v>
      </c>
      <c r="U349" s="102" t="str">
        <f>IF($J$1="October","",Y348)</f>
        <v/>
      </c>
      <c r="V349" s="74"/>
      <c r="W349" s="102" t="str">
        <f t="shared" si="86"/>
        <v/>
      </c>
      <c r="X349" s="74"/>
      <c r="Y349" s="102" t="str">
        <f t="shared" si="87"/>
        <v/>
      </c>
      <c r="Z349" s="76"/>
    </row>
    <row r="350" spans="1:27" s="29" customFormat="1" ht="27.75" customHeight="1" thickBot="1" x14ac:dyDescent="0.4">
      <c r="A350" s="59"/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61"/>
      <c r="N350" s="71"/>
      <c r="O350" s="72" t="s">
        <v>58</v>
      </c>
      <c r="P350" s="72"/>
      <c r="Q350" s="72"/>
      <c r="R350" s="72" t="str">
        <f t="shared" si="85"/>
        <v/>
      </c>
      <c r="S350" s="63"/>
      <c r="T350" s="72" t="s">
        <v>58</v>
      </c>
      <c r="U350" s="102" t="str">
        <f>IF($J$1="November","",Y349)</f>
        <v/>
      </c>
      <c r="V350" s="74"/>
      <c r="W350" s="102" t="str">
        <f t="shared" si="86"/>
        <v/>
      </c>
      <c r="X350" s="74"/>
      <c r="Y350" s="102" t="str">
        <f t="shared" si="87"/>
        <v/>
      </c>
      <c r="Z350" s="76"/>
    </row>
    <row r="351" spans="1:27" s="94" customFormat="1" ht="27.75" customHeight="1" thickBot="1" x14ac:dyDescent="0.25"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7" s="29" customFormat="1" ht="27.75" customHeight="1" thickBot="1" x14ac:dyDescent="0.25">
      <c r="A352" s="389" t="s">
        <v>40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1"/>
      <c r="M352" s="28"/>
      <c r="N352" s="64"/>
      <c r="O352" s="377" t="s">
        <v>42</v>
      </c>
      <c r="P352" s="378"/>
      <c r="Q352" s="378"/>
      <c r="R352" s="379"/>
      <c r="S352" s="65"/>
      <c r="T352" s="377" t="s">
        <v>43</v>
      </c>
      <c r="U352" s="378"/>
      <c r="V352" s="378"/>
      <c r="W352" s="378"/>
      <c r="X352" s="378"/>
      <c r="Y352" s="379"/>
      <c r="Z352" s="66"/>
    </row>
    <row r="353" spans="1:26" s="29" customFormat="1" ht="27.75" customHeight="1" x14ac:dyDescent="0.2">
      <c r="A353" s="30"/>
      <c r="C353" s="386" t="s">
        <v>83</v>
      </c>
      <c r="D353" s="386"/>
      <c r="E353" s="386"/>
      <c r="F353" s="386"/>
      <c r="G353" s="31" t="str">
        <f>$J$1</f>
        <v>August</v>
      </c>
      <c r="H353" s="385">
        <f>$K$1</f>
        <v>2023</v>
      </c>
      <c r="I353" s="385"/>
      <c r="K353" s="32"/>
      <c r="L353" s="33"/>
      <c r="M353" s="32"/>
      <c r="N353" s="67"/>
      <c r="O353" s="68" t="s">
        <v>53</v>
      </c>
      <c r="P353" s="68" t="s">
        <v>7</v>
      </c>
      <c r="Q353" s="68" t="s">
        <v>6</v>
      </c>
      <c r="R353" s="68" t="s">
        <v>54</v>
      </c>
      <c r="S353" s="69"/>
      <c r="T353" s="68" t="s">
        <v>53</v>
      </c>
      <c r="U353" s="68" t="s">
        <v>55</v>
      </c>
      <c r="V353" s="68" t="s">
        <v>20</v>
      </c>
      <c r="W353" s="68" t="s">
        <v>19</v>
      </c>
      <c r="X353" s="68" t="s">
        <v>21</v>
      </c>
      <c r="Y353" s="68" t="s">
        <v>59</v>
      </c>
      <c r="Z353" s="70"/>
    </row>
    <row r="354" spans="1:26" s="29" customFormat="1" ht="27.75" customHeight="1" x14ac:dyDescent="0.2">
      <c r="A354" s="30"/>
      <c r="D354" s="35"/>
      <c r="E354" s="35"/>
      <c r="F354" s="35"/>
      <c r="G354" s="35"/>
      <c r="H354" s="35"/>
      <c r="J354" s="36" t="s">
        <v>1</v>
      </c>
      <c r="K354" s="37">
        <v>27000</v>
      </c>
      <c r="L354" s="38"/>
      <c r="N354" s="71"/>
      <c r="O354" s="72" t="s">
        <v>45</v>
      </c>
      <c r="P354" s="72">
        <v>31</v>
      </c>
      <c r="Q354" s="72">
        <v>0</v>
      </c>
      <c r="R354" s="72">
        <f>9-Q354</f>
        <v>9</v>
      </c>
      <c r="S354" s="73"/>
      <c r="T354" s="72" t="s">
        <v>45</v>
      </c>
      <c r="U354" s="74"/>
      <c r="V354" s="74"/>
      <c r="W354" s="74">
        <f>V354+U354</f>
        <v>0</v>
      </c>
      <c r="X354" s="74"/>
      <c r="Y354" s="74">
        <f>W354-X354</f>
        <v>0</v>
      </c>
      <c r="Z354" s="70"/>
    </row>
    <row r="355" spans="1:26" s="29" customFormat="1" ht="27.75" customHeight="1" x14ac:dyDescent="0.2">
      <c r="A355" s="30"/>
      <c r="B355" s="29" t="s">
        <v>0</v>
      </c>
      <c r="C355" s="40" t="s">
        <v>163</v>
      </c>
      <c r="H355" s="41"/>
      <c r="I355" s="35"/>
      <c r="L355" s="42"/>
      <c r="M355" s="28"/>
      <c r="N355" s="75"/>
      <c r="O355" s="72" t="s">
        <v>71</v>
      </c>
      <c r="P355" s="72">
        <v>28</v>
      </c>
      <c r="Q355" s="72">
        <v>0</v>
      </c>
      <c r="R355" s="72">
        <f t="shared" ref="R355:R365" si="90">IF(Q355="","",R354-Q355)</f>
        <v>9</v>
      </c>
      <c r="S355" s="63"/>
      <c r="T355" s="72" t="s">
        <v>71</v>
      </c>
      <c r="U355" s="102">
        <f>IF($J$1="January","",Y354)</f>
        <v>0</v>
      </c>
      <c r="V355" s="74"/>
      <c r="W355" s="102">
        <f>IF(U355="","",U355+V355)</f>
        <v>0</v>
      </c>
      <c r="X355" s="74"/>
      <c r="Y355" s="102">
        <f>IF(W355="","",W355-X355)</f>
        <v>0</v>
      </c>
      <c r="Z355" s="76"/>
    </row>
    <row r="356" spans="1:26" s="29" customFormat="1" ht="27.75" customHeight="1" x14ac:dyDescent="0.2">
      <c r="A356" s="30"/>
      <c r="B356" s="44" t="s">
        <v>41</v>
      </c>
      <c r="C356" s="45"/>
      <c r="F356" s="382" t="s">
        <v>43</v>
      </c>
      <c r="G356" s="384"/>
      <c r="I356" s="382" t="s">
        <v>44</v>
      </c>
      <c r="J356" s="383"/>
      <c r="K356" s="384"/>
      <c r="L356" s="46"/>
      <c r="N356" s="71"/>
      <c r="O356" s="72" t="s">
        <v>46</v>
      </c>
      <c r="P356" s="72">
        <v>31</v>
      </c>
      <c r="Q356" s="72">
        <v>0</v>
      </c>
      <c r="R356" s="72">
        <f t="shared" si="90"/>
        <v>9</v>
      </c>
      <c r="S356" s="63"/>
      <c r="T356" s="72" t="s">
        <v>46</v>
      </c>
      <c r="U356" s="102">
        <f>IF($J$1="February","",Y355)</f>
        <v>0</v>
      </c>
      <c r="V356" s="74"/>
      <c r="W356" s="102">
        <f t="shared" ref="W356:W359" si="91">IF(U356="","",U356+V356)</f>
        <v>0</v>
      </c>
      <c r="X356" s="74"/>
      <c r="Y356" s="102">
        <f t="shared" ref="Y356:Y359" si="92">IF(W356="","",W356-X356)</f>
        <v>0</v>
      </c>
      <c r="Z356" s="76"/>
    </row>
    <row r="357" spans="1:26" s="29" customFormat="1" ht="27.75" customHeight="1" x14ac:dyDescent="0.2">
      <c r="A357" s="30"/>
      <c r="H357" s="47"/>
      <c r="L357" s="34"/>
      <c r="N357" s="71"/>
      <c r="O357" s="72" t="s">
        <v>47</v>
      </c>
      <c r="P357" s="72">
        <v>30</v>
      </c>
      <c r="Q357" s="72">
        <v>0</v>
      </c>
      <c r="R357" s="72">
        <f t="shared" si="90"/>
        <v>9</v>
      </c>
      <c r="S357" s="63"/>
      <c r="T357" s="72" t="s">
        <v>47</v>
      </c>
      <c r="U357" s="102">
        <f>IF($J$1="March","",Y356)</f>
        <v>0</v>
      </c>
      <c r="V357" s="74"/>
      <c r="W357" s="102">
        <f t="shared" si="91"/>
        <v>0</v>
      </c>
      <c r="X357" s="74"/>
      <c r="Y357" s="102">
        <f t="shared" si="92"/>
        <v>0</v>
      </c>
      <c r="Z357" s="76"/>
    </row>
    <row r="358" spans="1:26" s="29" customFormat="1" ht="27.75" customHeight="1" x14ac:dyDescent="0.2">
      <c r="A358" s="30"/>
      <c r="B358" s="380" t="s">
        <v>42</v>
      </c>
      <c r="C358" s="381"/>
      <c r="F358" s="48" t="s">
        <v>64</v>
      </c>
      <c r="G358" s="43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47"/>
      <c r="I358" s="49">
        <f>IF(C362&gt;0,$K$2,C360)</f>
        <v>31</v>
      </c>
      <c r="J358" s="50" t="s">
        <v>61</v>
      </c>
      <c r="K358" s="51">
        <f>K354/$K$2*I358</f>
        <v>27000</v>
      </c>
      <c r="L358" s="52"/>
      <c r="N358" s="71"/>
      <c r="O358" s="72" t="s">
        <v>48</v>
      </c>
      <c r="P358" s="72">
        <v>30</v>
      </c>
      <c r="Q358" s="72">
        <v>1</v>
      </c>
      <c r="R358" s="72">
        <f t="shared" si="90"/>
        <v>8</v>
      </c>
      <c r="S358" s="63"/>
      <c r="T358" s="72" t="s">
        <v>48</v>
      </c>
      <c r="U358" s="102">
        <f>IF($J$1="April","",Y357)</f>
        <v>0</v>
      </c>
      <c r="V358" s="74"/>
      <c r="W358" s="102">
        <f t="shared" si="91"/>
        <v>0</v>
      </c>
      <c r="X358" s="74"/>
      <c r="Y358" s="102">
        <f t="shared" si="92"/>
        <v>0</v>
      </c>
      <c r="Z358" s="76"/>
    </row>
    <row r="359" spans="1:26" s="29" customFormat="1" ht="27.75" customHeight="1" x14ac:dyDescent="0.2">
      <c r="A359" s="30"/>
      <c r="B359" s="39"/>
      <c r="C359" s="39"/>
      <c r="F359" s="48" t="s">
        <v>20</v>
      </c>
      <c r="G359" s="4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47"/>
      <c r="I359" s="49">
        <v>28</v>
      </c>
      <c r="J359" s="50" t="s">
        <v>62</v>
      </c>
      <c r="K359" s="53">
        <f>K354/$K$2/8*I359</f>
        <v>3048.3870967741937</v>
      </c>
      <c r="L359" s="54"/>
      <c r="N359" s="71"/>
      <c r="O359" s="72" t="s">
        <v>49</v>
      </c>
      <c r="P359" s="72">
        <v>30</v>
      </c>
      <c r="Q359" s="72">
        <v>0</v>
      </c>
      <c r="R359" s="72">
        <f t="shared" si="90"/>
        <v>8</v>
      </c>
      <c r="S359" s="63"/>
      <c r="T359" s="72" t="s">
        <v>49</v>
      </c>
      <c r="U359" s="102">
        <f>Y358</f>
        <v>0</v>
      </c>
      <c r="V359" s="74">
        <v>15000</v>
      </c>
      <c r="W359" s="102">
        <f t="shared" si="91"/>
        <v>15000</v>
      </c>
      <c r="X359" s="74">
        <v>15000</v>
      </c>
      <c r="Y359" s="102">
        <f t="shared" si="92"/>
        <v>0</v>
      </c>
      <c r="Z359" s="76"/>
    </row>
    <row r="360" spans="1:26" s="29" customFormat="1" ht="27.75" customHeight="1" x14ac:dyDescent="0.2">
      <c r="A360" s="30"/>
      <c r="B360" s="48" t="s">
        <v>7</v>
      </c>
      <c r="C360" s="39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F360" s="48" t="s">
        <v>65</v>
      </c>
      <c r="G360" s="43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47"/>
      <c r="I360" s="387" t="s">
        <v>69</v>
      </c>
      <c r="J360" s="388"/>
      <c r="K360" s="53">
        <f>K358+K359</f>
        <v>30048.387096774193</v>
      </c>
      <c r="L360" s="54"/>
      <c r="N360" s="71"/>
      <c r="O360" s="72" t="s">
        <v>50</v>
      </c>
      <c r="P360" s="72">
        <v>29</v>
      </c>
      <c r="Q360" s="72">
        <v>2</v>
      </c>
      <c r="R360" s="72">
        <f t="shared" si="90"/>
        <v>6</v>
      </c>
      <c r="S360" s="63"/>
      <c r="T360" s="72" t="s">
        <v>50</v>
      </c>
      <c r="U360" s="102">
        <f>IF($J$1="June","",Y359)</f>
        <v>0</v>
      </c>
      <c r="V360" s="74"/>
      <c r="W360" s="102">
        <f t="shared" ref="W360:W365" si="93">IF(U360="","",U360+V360)</f>
        <v>0</v>
      </c>
      <c r="X360" s="74"/>
      <c r="Y360" s="102">
        <f t="shared" ref="Y360:Y365" si="94">IF(W360="","",W360-X360)</f>
        <v>0</v>
      </c>
      <c r="Z360" s="76"/>
    </row>
    <row r="361" spans="1:26" s="29" customFormat="1" ht="27.75" customHeight="1" x14ac:dyDescent="0.2">
      <c r="A361" s="30"/>
      <c r="B361" s="48" t="s">
        <v>6</v>
      </c>
      <c r="C361" s="39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F361" s="48" t="s">
        <v>21</v>
      </c>
      <c r="G361" s="4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47"/>
      <c r="I361" s="387" t="s">
        <v>70</v>
      </c>
      <c r="J361" s="388"/>
      <c r="K361" s="43">
        <f>G361</f>
        <v>0</v>
      </c>
      <c r="L361" s="55"/>
      <c r="N361" s="71"/>
      <c r="O361" s="72" t="s">
        <v>51</v>
      </c>
      <c r="P361" s="72">
        <v>31</v>
      </c>
      <c r="Q361" s="72">
        <v>0</v>
      </c>
      <c r="R361" s="72">
        <f t="shared" si="90"/>
        <v>6</v>
      </c>
      <c r="S361" s="63"/>
      <c r="T361" s="72" t="s">
        <v>51</v>
      </c>
      <c r="U361" s="102">
        <f>IF($J$1="July","",Y360)</f>
        <v>0</v>
      </c>
      <c r="V361" s="74"/>
      <c r="W361" s="102">
        <f t="shared" si="93"/>
        <v>0</v>
      </c>
      <c r="X361" s="74"/>
      <c r="Y361" s="102">
        <f t="shared" si="94"/>
        <v>0</v>
      </c>
      <c r="Z361" s="76"/>
    </row>
    <row r="362" spans="1:26" s="29" customFormat="1" ht="27.75" customHeight="1" x14ac:dyDescent="0.2">
      <c r="A362" s="30"/>
      <c r="B362" s="318" t="s">
        <v>68</v>
      </c>
      <c r="C362" s="39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6</v>
      </c>
      <c r="F362" s="318" t="s">
        <v>210</v>
      </c>
      <c r="G362" s="43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I362" s="382" t="s">
        <v>63</v>
      </c>
      <c r="J362" s="384"/>
      <c r="K362" s="57">
        <f>K360-K361</f>
        <v>30048.387096774193</v>
      </c>
      <c r="L362" s="58"/>
      <c r="N362" s="71"/>
      <c r="O362" s="72" t="s">
        <v>56</v>
      </c>
      <c r="P362" s="72"/>
      <c r="Q362" s="72"/>
      <c r="R362" s="72">
        <v>0</v>
      </c>
      <c r="S362" s="63"/>
      <c r="T362" s="72" t="s">
        <v>56</v>
      </c>
      <c r="U362" s="102" t="str">
        <f>IF($J$1="September",Y361,"")</f>
        <v/>
      </c>
      <c r="V362" s="74"/>
      <c r="W362" s="102" t="str">
        <f t="shared" si="93"/>
        <v/>
      </c>
      <c r="X362" s="74"/>
      <c r="Y362" s="102" t="str">
        <f t="shared" si="94"/>
        <v/>
      </c>
      <c r="Z362" s="76"/>
    </row>
    <row r="363" spans="1:26" s="29" customFormat="1" ht="27.75" customHeight="1" x14ac:dyDescent="0.2">
      <c r="A363" s="30"/>
      <c r="L363" s="46"/>
      <c r="N363" s="71"/>
      <c r="O363" s="72" t="s">
        <v>52</v>
      </c>
      <c r="P363" s="72"/>
      <c r="Q363" s="72"/>
      <c r="R363" s="72">
        <v>0</v>
      </c>
      <c r="S363" s="63"/>
      <c r="T363" s="72" t="s">
        <v>52</v>
      </c>
      <c r="U363" s="102" t="str">
        <f>IF($J$1="October",Y362,"")</f>
        <v/>
      </c>
      <c r="V363" s="74"/>
      <c r="W363" s="102" t="str">
        <f t="shared" si="93"/>
        <v/>
      </c>
      <c r="X363" s="74"/>
      <c r="Y363" s="102" t="str">
        <f t="shared" si="94"/>
        <v/>
      </c>
      <c r="Z363" s="76"/>
    </row>
    <row r="364" spans="1:26" s="29" customFormat="1" ht="27.75" customHeight="1" x14ac:dyDescent="0.35">
      <c r="A364" s="30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46"/>
      <c r="N364" s="71"/>
      <c r="O364" s="72" t="s">
        <v>57</v>
      </c>
      <c r="P364" s="72"/>
      <c r="Q364" s="72"/>
      <c r="R364" s="72" t="str">
        <f t="shared" si="90"/>
        <v/>
      </c>
      <c r="S364" s="63"/>
      <c r="T364" s="72" t="s">
        <v>57</v>
      </c>
      <c r="U364" s="102" t="str">
        <f>IF($J$1="October","",Y363)</f>
        <v/>
      </c>
      <c r="V364" s="74"/>
      <c r="W364" s="102" t="str">
        <f t="shared" si="93"/>
        <v/>
      </c>
      <c r="X364" s="74"/>
      <c r="Y364" s="102" t="str">
        <f t="shared" si="94"/>
        <v/>
      </c>
      <c r="Z364" s="76"/>
    </row>
    <row r="365" spans="1:26" s="29" customFormat="1" ht="27.75" customHeight="1" thickBot="1" x14ac:dyDescent="0.4">
      <c r="A365" s="5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61"/>
      <c r="N365" s="71"/>
      <c r="O365" s="72" t="s">
        <v>58</v>
      </c>
      <c r="P365" s="72"/>
      <c r="Q365" s="72"/>
      <c r="R365" s="72" t="str">
        <f t="shared" si="90"/>
        <v/>
      </c>
      <c r="S365" s="63"/>
      <c r="T365" s="72" t="s">
        <v>58</v>
      </c>
      <c r="U365" s="102" t="str">
        <f>IF($J$1="November","",Y364)</f>
        <v/>
      </c>
      <c r="V365" s="74"/>
      <c r="W365" s="102" t="str">
        <f t="shared" si="93"/>
        <v/>
      </c>
      <c r="X365" s="74"/>
      <c r="Y365" s="102" t="str">
        <f t="shared" si="94"/>
        <v/>
      </c>
      <c r="Z365" s="76"/>
    </row>
    <row r="366" spans="1:26" s="94" customFormat="1" ht="27.75" customHeight="1" thickBot="1" x14ac:dyDescent="0.25"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s="29" customFormat="1" ht="27.75" customHeight="1" thickBot="1" x14ac:dyDescent="0.25">
      <c r="A367" s="389" t="s">
        <v>40</v>
      </c>
      <c r="B367" s="390"/>
      <c r="C367" s="390"/>
      <c r="D367" s="390"/>
      <c r="E367" s="390"/>
      <c r="F367" s="390"/>
      <c r="G367" s="390"/>
      <c r="H367" s="390"/>
      <c r="I367" s="390"/>
      <c r="J367" s="390"/>
      <c r="K367" s="390"/>
      <c r="L367" s="391"/>
      <c r="M367" s="28"/>
      <c r="N367" s="64"/>
      <c r="O367" s="377" t="s">
        <v>42</v>
      </c>
      <c r="P367" s="378"/>
      <c r="Q367" s="378"/>
      <c r="R367" s="379"/>
      <c r="S367" s="65"/>
      <c r="T367" s="377" t="s">
        <v>43</v>
      </c>
      <c r="U367" s="378"/>
      <c r="V367" s="378"/>
      <c r="W367" s="378"/>
      <c r="X367" s="378"/>
      <c r="Y367" s="379"/>
      <c r="Z367" s="66"/>
    </row>
    <row r="368" spans="1:26" s="29" customFormat="1" ht="27.75" customHeight="1" x14ac:dyDescent="0.2">
      <c r="A368" s="30"/>
      <c r="C368" s="386" t="s">
        <v>83</v>
      </c>
      <c r="D368" s="386"/>
      <c r="E368" s="386"/>
      <c r="F368" s="386"/>
      <c r="G368" s="31" t="str">
        <f>$J$1</f>
        <v>August</v>
      </c>
      <c r="H368" s="385">
        <f>$K$1</f>
        <v>2023</v>
      </c>
      <c r="I368" s="385"/>
      <c r="K368" s="32"/>
      <c r="L368" s="33"/>
      <c r="M368" s="32"/>
      <c r="N368" s="67"/>
      <c r="O368" s="68" t="s">
        <v>53</v>
      </c>
      <c r="P368" s="68" t="s">
        <v>7</v>
      </c>
      <c r="Q368" s="68" t="s">
        <v>6</v>
      </c>
      <c r="R368" s="68" t="s">
        <v>54</v>
      </c>
      <c r="S368" s="69"/>
      <c r="T368" s="68" t="s">
        <v>53</v>
      </c>
      <c r="U368" s="68" t="s">
        <v>55</v>
      </c>
      <c r="V368" s="68" t="s">
        <v>20</v>
      </c>
      <c r="W368" s="68" t="s">
        <v>19</v>
      </c>
      <c r="X368" s="68" t="s">
        <v>21</v>
      </c>
      <c r="Y368" s="68" t="s">
        <v>59</v>
      </c>
      <c r="Z368" s="70"/>
    </row>
    <row r="369" spans="1:26" s="29" customFormat="1" ht="27.75" customHeight="1" x14ac:dyDescent="0.2">
      <c r="A369" s="30"/>
      <c r="D369" s="35"/>
      <c r="E369" s="35"/>
      <c r="F369" s="35"/>
      <c r="G369" s="35"/>
      <c r="H369" s="35"/>
      <c r="J369" s="36" t="s">
        <v>1</v>
      </c>
      <c r="K369" s="37">
        <v>21000</v>
      </c>
      <c r="L369" s="38"/>
      <c r="N369" s="71"/>
      <c r="O369" s="72" t="s">
        <v>45</v>
      </c>
      <c r="P369" s="72">
        <v>31</v>
      </c>
      <c r="Q369" s="72">
        <v>0</v>
      </c>
      <c r="R369" s="72">
        <f>15-Q369</f>
        <v>15</v>
      </c>
      <c r="S369" s="73"/>
      <c r="T369" s="72" t="s">
        <v>45</v>
      </c>
      <c r="U369" s="74"/>
      <c r="V369" s="74"/>
      <c r="W369" s="74">
        <f>V369+U369</f>
        <v>0</v>
      </c>
      <c r="X369" s="74"/>
      <c r="Y369" s="74">
        <f>W369-X369</f>
        <v>0</v>
      </c>
      <c r="Z369" s="70"/>
    </row>
    <row r="370" spans="1:26" s="29" customFormat="1" ht="27.75" customHeight="1" x14ac:dyDescent="0.2">
      <c r="A370" s="30"/>
      <c r="B370" s="29" t="s">
        <v>0</v>
      </c>
      <c r="C370" s="40" t="s">
        <v>104</v>
      </c>
      <c r="H370" s="41"/>
      <c r="I370" s="35"/>
      <c r="L370" s="42"/>
      <c r="M370" s="28"/>
      <c r="N370" s="75"/>
      <c r="O370" s="72" t="s">
        <v>71</v>
      </c>
      <c r="P370" s="72">
        <v>26</v>
      </c>
      <c r="Q370" s="72">
        <v>2</v>
      </c>
      <c r="R370" s="72">
        <f t="shared" ref="R370:R380" si="95">IF(Q370="","",R369-Q370)</f>
        <v>13</v>
      </c>
      <c r="S370" s="63"/>
      <c r="T370" s="72" t="s">
        <v>71</v>
      </c>
      <c r="U370" s="102">
        <f>IF($J$1="January","",Y369)</f>
        <v>0</v>
      </c>
      <c r="V370" s="74"/>
      <c r="W370" s="102">
        <f>IF(U370="","",U370+V370)</f>
        <v>0</v>
      </c>
      <c r="X370" s="74"/>
      <c r="Y370" s="102">
        <f>IF(W370="","",W370-X370)</f>
        <v>0</v>
      </c>
      <c r="Z370" s="76"/>
    </row>
    <row r="371" spans="1:26" s="29" customFormat="1" ht="27.75" customHeight="1" x14ac:dyDescent="0.2">
      <c r="A371" s="30"/>
      <c r="B371" s="44" t="s">
        <v>41</v>
      </c>
      <c r="C371" s="45"/>
      <c r="F371" s="382" t="s">
        <v>43</v>
      </c>
      <c r="G371" s="384"/>
      <c r="I371" s="382" t="s">
        <v>44</v>
      </c>
      <c r="J371" s="383"/>
      <c r="K371" s="384"/>
      <c r="L371" s="46"/>
      <c r="N371" s="71"/>
      <c r="O371" s="72" t="s">
        <v>46</v>
      </c>
      <c r="P371" s="72">
        <v>29</v>
      </c>
      <c r="Q371" s="72">
        <v>2</v>
      </c>
      <c r="R371" s="72">
        <f t="shared" si="95"/>
        <v>11</v>
      </c>
      <c r="S371" s="63"/>
      <c r="T371" s="72" t="s">
        <v>46</v>
      </c>
      <c r="U371" s="102">
        <f>IF($J$1="February","",Y370)</f>
        <v>0</v>
      </c>
      <c r="V371" s="74"/>
      <c r="W371" s="102">
        <f t="shared" ref="W371:W374" si="96">IF(U371="","",U371+V371)</f>
        <v>0</v>
      </c>
      <c r="X371" s="74"/>
      <c r="Y371" s="102">
        <f t="shared" ref="Y371:Y374" si="97">IF(W371="","",W371-X371)</f>
        <v>0</v>
      </c>
      <c r="Z371" s="76"/>
    </row>
    <row r="372" spans="1:26" s="29" customFormat="1" ht="27.75" customHeight="1" x14ac:dyDescent="0.2">
      <c r="A372" s="30"/>
      <c r="H372" s="47"/>
      <c r="L372" s="34"/>
      <c r="N372" s="71"/>
      <c r="O372" s="72" t="s">
        <v>47</v>
      </c>
      <c r="P372" s="72">
        <v>30</v>
      </c>
      <c r="Q372" s="72">
        <v>0</v>
      </c>
      <c r="R372" s="72">
        <f t="shared" si="95"/>
        <v>11</v>
      </c>
      <c r="S372" s="63"/>
      <c r="T372" s="72" t="s">
        <v>47</v>
      </c>
      <c r="U372" s="102">
        <f>IF($J$1="March","",Y371)</f>
        <v>0</v>
      </c>
      <c r="V372" s="74"/>
      <c r="W372" s="102">
        <f t="shared" si="96"/>
        <v>0</v>
      </c>
      <c r="X372" s="74"/>
      <c r="Y372" s="102">
        <f t="shared" si="97"/>
        <v>0</v>
      </c>
      <c r="Z372" s="76"/>
    </row>
    <row r="373" spans="1:26" s="29" customFormat="1" ht="27.75" customHeight="1" x14ac:dyDescent="0.2">
      <c r="A373" s="30"/>
      <c r="B373" s="380" t="s">
        <v>42</v>
      </c>
      <c r="C373" s="381"/>
      <c r="F373" s="48" t="s">
        <v>64</v>
      </c>
      <c r="G373" s="43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47"/>
      <c r="I373" s="49">
        <f>IF(C377&gt;0,$K$2,C375)</f>
        <v>31</v>
      </c>
      <c r="J373" s="50" t="s">
        <v>61</v>
      </c>
      <c r="K373" s="51">
        <f>K369/$K$2*I373</f>
        <v>21000</v>
      </c>
      <c r="L373" s="52"/>
      <c r="N373" s="71"/>
      <c r="O373" s="72" t="s">
        <v>48</v>
      </c>
      <c r="P373" s="72">
        <v>31</v>
      </c>
      <c r="Q373" s="72">
        <v>0</v>
      </c>
      <c r="R373" s="72">
        <f t="shared" si="95"/>
        <v>11</v>
      </c>
      <c r="S373" s="63"/>
      <c r="T373" s="72" t="s">
        <v>48</v>
      </c>
      <c r="U373" s="102">
        <f>IF($J$1="April","",Y372)</f>
        <v>0</v>
      </c>
      <c r="V373" s="74"/>
      <c r="W373" s="102">
        <f t="shared" si="96"/>
        <v>0</v>
      </c>
      <c r="X373" s="74"/>
      <c r="Y373" s="102">
        <f t="shared" si="97"/>
        <v>0</v>
      </c>
      <c r="Z373" s="76"/>
    </row>
    <row r="374" spans="1:26" s="29" customFormat="1" ht="27.75" customHeight="1" x14ac:dyDescent="0.2">
      <c r="A374" s="30"/>
      <c r="B374" s="39"/>
      <c r="C374" s="39"/>
      <c r="F374" s="48" t="s">
        <v>20</v>
      </c>
      <c r="G374" s="43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47"/>
      <c r="I374" s="49">
        <v>6</v>
      </c>
      <c r="J374" s="50" t="s">
        <v>62</v>
      </c>
      <c r="K374" s="53">
        <f>K369/$K$2/8*I374</f>
        <v>508.0645161290322</v>
      </c>
      <c r="L374" s="54"/>
      <c r="N374" s="71"/>
      <c r="O374" s="72" t="s">
        <v>49</v>
      </c>
      <c r="P374" s="72">
        <v>30</v>
      </c>
      <c r="Q374" s="72">
        <v>0</v>
      </c>
      <c r="R374" s="72">
        <f t="shared" si="95"/>
        <v>11</v>
      </c>
      <c r="S374" s="63"/>
      <c r="T374" s="72" t="s">
        <v>49</v>
      </c>
      <c r="U374" s="102">
        <f>Y373</f>
        <v>0</v>
      </c>
      <c r="V374" s="74">
        <v>15000</v>
      </c>
      <c r="W374" s="102">
        <f t="shared" si="96"/>
        <v>15000</v>
      </c>
      <c r="X374" s="74">
        <v>15000</v>
      </c>
      <c r="Y374" s="102">
        <f t="shared" si="97"/>
        <v>0</v>
      </c>
      <c r="Z374" s="76"/>
    </row>
    <row r="375" spans="1:26" s="29" customFormat="1" ht="27.75" customHeight="1" x14ac:dyDescent="0.2">
      <c r="A375" s="30"/>
      <c r="B375" s="48" t="s">
        <v>7</v>
      </c>
      <c r="C375" s="39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F375" s="48" t="s">
        <v>65</v>
      </c>
      <c r="G375" s="43" t="str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/>
      </c>
      <c r="H375" s="47"/>
      <c r="I375" s="387" t="s">
        <v>69</v>
      </c>
      <c r="J375" s="388"/>
      <c r="K375" s="53">
        <f>K373+K374</f>
        <v>21508.06451612903</v>
      </c>
      <c r="L375" s="54"/>
      <c r="N375" s="71"/>
      <c r="O375" s="72" t="s">
        <v>50</v>
      </c>
      <c r="P375" s="72">
        <v>30</v>
      </c>
      <c r="Q375" s="72">
        <v>1</v>
      </c>
      <c r="R375" s="72">
        <f t="shared" si="95"/>
        <v>10</v>
      </c>
      <c r="S375" s="63"/>
      <c r="T375" s="72" t="s">
        <v>50</v>
      </c>
      <c r="U375" s="102">
        <f>Y374</f>
        <v>0</v>
      </c>
      <c r="V375" s="74"/>
      <c r="W375" s="102">
        <f t="shared" ref="W375:W378" si="98">IF(U375="","",U375+V375)</f>
        <v>0</v>
      </c>
      <c r="X375" s="74"/>
      <c r="Y375" s="102">
        <f t="shared" ref="Y375:Y378" si="99">IF(W375="","",W375-X375)</f>
        <v>0</v>
      </c>
      <c r="Z375" s="76"/>
    </row>
    <row r="376" spans="1:26" s="29" customFormat="1" ht="27.75" customHeight="1" x14ac:dyDescent="0.2">
      <c r="A376" s="30"/>
      <c r="B376" s="48" t="s">
        <v>6</v>
      </c>
      <c r="C376" s="39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F376" s="48" t="s">
        <v>21</v>
      </c>
      <c r="G376" s="43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47"/>
      <c r="I376" s="387" t="s">
        <v>70</v>
      </c>
      <c r="J376" s="388"/>
      <c r="K376" s="43">
        <f>G376</f>
        <v>0</v>
      </c>
      <c r="L376" s="55"/>
      <c r="N376" s="71"/>
      <c r="O376" s="72" t="s">
        <v>51</v>
      </c>
      <c r="P376" s="72">
        <v>31</v>
      </c>
      <c r="Q376" s="72">
        <v>0</v>
      </c>
      <c r="R376" s="72">
        <f t="shared" si="95"/>
        <v>10</v>
      </c>
      <c r="S376" s="63"/>
      <c r="T376" s="72" t="s">
        <v>51</v>
      </c>
      <c r="U376" s="102"/>
      <c r="V376" s="74"/>
      <c r="W376" s="102" t="str">
        <f t="shared" si="98"/>
        <v/>
      </c>
      <c r="X376" s="74"/>
      <c r="Y376" s="102" t="str">
        <f t="shared" si="99"/>
        <v/>
      </c>
      <c r="Z376" s="76"/>
    </row>
    <row r="377" spans="1:26" s="29" customFormat="1" ht="27.75" customHeight="1" x14ac:dyDescent="0.2">
      <c r="A377" s="30"/>
      <c r="B377" s="318" t="s">
        <v>68</v>
      </c>
      <c r="C377" s="39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10</v>
      </c>
      <c r="F377" s="318" t="s">
        <v>210</v>
      </c>
      <c r="G377" s="43" t="str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/>
      </c>
      <c r="I377" s="382" t="s">
        <v>63</v>
      </c>
      <c r="J377" s="384"/>
      <c r="K377" s="57">
        <f>K375-K376</f>
        <v>21508.06451612903</v>
      </c>
      <c r="L377" s="58"/>
      <c r="N377" s="71"/>
      <c r="O377" s="72" t="s">
        <v>56</v>
      </c>
      <c r="P377" s="72"/>
      <c r="Q377" s="72"/>
      <c r="R377" s="72">
        <v>0</v>
      </c>
      <c r="S377" s="63"/>
      <c r="T377" s="72" t="s">
        <v>56</v>
      </c>
      <c r="U377" s="102" t="str">
        <f>IF($J$1="September",Y376,"")</f>
        <v/>
      </c>
      <c r="V377" s="74"/>
      <c r="W377" s="102" t="str">
        <f t="shared" si="98"/>
        <v/>
      </c>
      <c r="X377" s="74"/>
      <c r="Y377" s="102" t="str">
        <f t="shared" si="99"/>
        <v/>
      </c>
      <c r="Z377" s="76"/>
    </row>
    <row r="378" spans="1:26" s="29" customFormat="1" ht="27.75" customHeight="1" x14ac:dyDescent="0.2">
      <c r="A378" s="30"/>
      <c r="L378" s="46"/>
      <c r="N378" s="71"/>
      <c r="O378" s="72" t="s">
        <v>52</v>
      </c>
      <c r="P378" s="72"/>
      <c r="Q378" s="72"/>
      <c r="R378" s="72">
        <v>0</v>
      </c>
      <c r="S378" s="63"/>
      <c r="T378" s="72" t="s">
        <v>52</v>
      </c>
      <c r="U378" s="102" t="str">
        <f>IF($J$1="October",Y377,"")</f>
        <v/>
      </c>
      <c r="V378" s="74"/>
      <c r="W378" s="102" t="str">
        <f t="shared" si="98"/>
        <v/>
      </c>
      <c r="X378" s="74"/>
      <c r="Y378" s="102" t="str">
        <f t="shared" si="99"/>
        <v/>
      </c>
      <c r="Z378" s="76"/>
    </row>
    <row r="379" spans="1:26" s="29" customFormat="1" ht="27.75" customHeight="1" x14ac:dyDescent="0.35">
      <c r="A379" s="30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46"/>
      <c r="N379" s="71"/>
      <c r="O379" s="72" t="s">
        <v>57</v>
      </c>
      <c r="P379" s="72"/>
      <c r="Q379" s="72"/>
      <c r="R379" s="72" t="str">
        <f t="shared" si="95"/>
        <v/>
      </c>
      <c r="S379" s="63"/>
      <c r="T379" s="72" t="s">
        <v>57</v>
      </c>
      <c r="U379" s="102"/>
      <c r="V379" s="74"/>
      <c r="W379" s="102" t="str">
        <f t="shared" ref="W379:W380" si="100">IF(U379="","",U379+V379)</f>
        <v/>
      </c>
      <c r="X379" s="74"/>
      <c r="Y379" s="102" t="str">
        <f t="shared" ref="Y379:Y380" si="101">IF(W379="","",W379-X379)</f>
        <v/>
      </c>
      <c r="Z379" s="76"/>
    </row>
    <row r="380" spans="1:26" s="29" customFormat="1" ht="27.75" customHeight="1" thickBot="1" x14ac:dyDescent="0.4">
      <c r="A380" s="5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61"/>
      <c r="N380" s="71"/>
      <c r="O380" s="72" t="s">
        <v>58</v>
      </c>
      <c r="P380" s="72"/>
      <c r="Q380" s="72"/>
      <c r="R380" s="72" t="str">
        <f t="shared" si="95"/>
        <v/>
      </c>
      <c r="S380" s="63"/>
      <c r="T380" s="72" t="s">
        <v>58</v>
      </c>
      <c r="U380" s="102"/>
      <c r="V380" s="74"/>
      <c r="W380" s="102" t="str">
        <f t="shared" si="100"/>
        <v/>
      </c>
      <c r="X380" s="74"/>
      <c r="Y380" s="102" t="str">
        <f t="shared" si="101"/>
        <v/>
      </c>
      <c r="Z380" s="76"/>
    </row>
    <row r="381" spans="1:26" s="94" customFormat="1" ht="27.75" customHeight="1" thickBot="1" x14ac:dyDescent="0.25"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s="29" customFormat="1" ht="27.75" customHeight="1" thickBot="1" x14ac:dyDescent="0.25">
      <c r="A382" s="389" t="s">
        <v>40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1"/>
      <c r="M382" s="28"/>
      <c r="N382" s="64"/>
      <c r="O382" s="377" t="s">
        <v>42</v>
      </c>
      <c r="P382" s="378"/>
      <c r="Q382" s="378"/>
      <c r="R382" s="379"/>
      <c r="S382" s="65"/>
      <c r="T382" s="377" t="s">
        <v>43</v>
      </c>
      <c r="U382" s="378"/>
      <c r="V382" s="378"/>
      <c r="W382" s="378"/>
      <c r="X382" s="378"/>
      <c r="Y382" s="379"/>
      <c r="Z382" s="66"/>
    </row>
    <row r="383" spans="1:26" s="29" customFormat="1" ht="27.75" customHeight="1" x14ac:dyDescent="0.2">
      <c r="A383" s="30"/>
      <c r="C383" s="386" t="s">
        <v>83</v>
      </c>
      <c r="D383" s="386"/>
      <c r="E383" s="386"/>
      <c r="F383" s="386"/>
      <c r="G383" s="31" t="str">
        <f>$J$1</f>
        <v>August</v>
      </c>
      <c r="H383" s="385">
        <f>$K$1</f>
        <v>2023</v>
      </c>
      <c r="I383" s="385"/>
      <c r="K383" s="32"/>
      <c r="L383" s="33"/>
      <c r="M383" s="32"/>
      <c r="N383" s="67"/>
      <c r="O383" s="68" t="s">
        <v>53</v>
      </c>
      <c r="P383" s="68" t="s">
        <v>7</v>
      </c>
      <c r="Q383" s="68" t="s">
        <v>6</v>
      </c>
      <c r="R383" s="68" t="s">
        <v>54</v>
      </c>
      <c r="S383" s="69"/>
      <c r="T383" s="68" t="s">
        <v>53</v>
      </c>
      <c r="U383" s="68" t="s">
        <v>55</v>
      </c>
      <c r="V383" s="68" t="s">
        <v>20</v>
      </c>
      <c r="W383" s="68" t="s">
        <v>19</v>
      </c>
      <c r="X383" s="68" t="s">
        <v>21</v>
      </c>
      <c r="Y383" s="68" t="s">
        <v>59</v>
      </c>
      <c r="Z383" s="70"/>
    </row>
    <row r="384" spans="1:26" s="29" customFormat="1" ht="27.75" customHeight="1" x14ac:dyDescent="0.2">
      <c r="A384" s="30"/>
      <c r="D384" s="35"/>
      <c r="E384" s="35"/>
      <c r="F384" s="35"/>
      <c r="G384" s="35"/>
      <c r="H384" s="35"/>
      <c r="J384" s="36" t="s">
        <v>1</v>
      </c>
      <c r="K384" s="37">
        <v>28000</v>
      </c>
      <c r="L384" s="38"/>
      <c r="N384" s="71"/>
      <c r="O384" s="72" t="s">
        <v>45</v>
      </c>
      <c r="P384" s="72">
        <v>31</v>
      </c>
      <c r="Q384" s="72">
        <v>0</v>
      </c>
      <c r="R384" s="72">
        <v>0</v>
      </c>
      <c r="S384" s="73"/>
      <c r="T384" s="72" t="s">
        <v>45</v>
      </c>
      <c r="U384" s="74"/>
      <c r="V384" s="74"/>
      <c r="W384" s="74">
        <f>V384+U384</f>
        <v>0</v>
      </c>
      <c r="X384" s="74"/>
      <c r="Y384" s="74">
        <f>W384-X384</f>
        <v>0</v>
      </c>
      <c r="Z384" s="70"/>
    </row>
    <row r="385" spans="1:27" s="29" customFormat="1" ht="27.75" customHeight="1" x14ac:dyDescent="0.2">
      <c r="A385" s="30"/>
      <c r="B385" s="29" t="s">
        <v>0</v>
      </c>
      <c r="C385" s="40" t="s">
        <v>172</v>
      </c>
      <c r="H385" s="41"/>
      <c r="I385" s="35"/>
      <c r="L385" s="42"/>
      <c r="M385" s="28"/>
      <c r="N385" s="75"/>
      <c r="O385" s="72" t="s">
        <v>71</v>
      </c>
      <c r="P385" s="72">
        <v>28</v>
      </c>
      <c r="Q385" s="72">
        <v>0</v>
      </c>
      <c r="R385" s="72">
        <v>0</v>
      </c>
      <c r="S385" s="63"/>
      <c r="T385" s="72" t="s">
        <v>71</v>
      </c>
      <c r="U385" s="102">
        <f>IF($J$1="January","",Y384)</f>
        <v>0</v>
      </c>
      <c r="V385" s="74"/>
      <c r="W385" s="102">
        <f>IF(U385="","",U385+V385)</f>
        <v>0</v>
      </c>
      <c r="X385" s="74"/>
      <c r="Y385" s="102">
        <f>IF(W385="","",W385-X385)</f>
        <v>0</v>
      </c>
      <c r="Z385" s="76"/>
    </row>
    <row r="386" spans="1:27" s="29" customFormat="1" ht="27.75" customHeight="1" x14ac:dyDescent="0.2">
      <c r="A386" s="30"/>
      <c r="B386" s="44" t="s">
        <v>41</v>
      </c>
      <c r="C386" s="45"/>
      <c r="F386" s="382" t="s">
        <v>43</v>
      </c>
      <c r="G386" s="384"/>
      <c r="I386" s="382" t="s">
        <v>44</v>
      </c>
      <c r="J386" s="383"/>
      <c r="K386" s="384"/>
      <c r="L386" s="46"/>
      <c r="N386" s="71"/>
      <c r="O386" s="72" t="s">
        <v>46</v>
      </c>
      <c r="P386" s="72">
        <v>31</v>
      </c>
      <c r="Q386" s="72">
        <v>0</v>
      </c>
      <c r="R386" s="72">
        <v>0</v>
      </c>
      <c r="S386" s="63"/>
      <c r="T386" s="72" t="s">
        <v>46</v>
      </c>
      <c r="U386" s="102">
        <f>IF($J$1="February","",Y385)</f>
        <v>0</v>
      </c>
      <c r="V386" s="74"/>
      <c r="W386" s="102">
        <f t="shared" ref="W386:W389" si="102">IF(U386="","",U386+V386)</f>
        <v>0</v>
      </c>
      <c r="X386" s="74"/>
      <c r="Y386" s="102">
        <f t="shared" ref="Y386:Y389" si="103">IF(W386="","",W386-X386)</f>
        <v>0</v>
      </c>
      <c r="Z386" s="76"/>
    </row>
    <row r="387" spans="1:27" s="29" customFormat="1" ht="27.75" customHeight="1" x14ac:dyDescent="0.2">
      <c r="A387" s="30"/>
      <c r="H387" s="47"/>
      <c r="L387" s="34"/>
      <c r="N387" s="71"/>
      <c r="O387" s="72" t="s">
        <v>47</v>
      </c>
      <c r="P387" s="72">
        <v>30</v>
      </c>
      <c r="Q387" s="72">
        <v>0</v>
      </c>
      <c r="R387" s="72">
        <v>0</v>
      </c>
      <c r="S387" s="63"/>
      <c r="T387" s="72" t="s">
        <v>47</v>
      </c>
      <c r="U387" s="102">
        <f>IF($J$1="March","",Y386)</f>
        <v>0</v>
      </c>
      <c r="V387" s="74"/>
      <c r="W387" s="102">
        <f t="shared" si="102"/>
        <v>0</v>
      </c>
      <c r="X387" s="74"/>
      <c r="Y387" s="102">
        <f t="shared" si="103"/>
        <v>0</v>
      </c>
      <c r="Z387" s="76"/>
    </row>
    <row r="388" spans="1:27" s="29" customFormat="1" ht="27.75" customHeight="1" x14ac:dyDescent="0.2">
      <c r="A388" s="30"/>
      <c r="B388" s="380" t="s">
        <v>42</v>
      </c>
      <c r="C388" s="381"/>
      <c r="F388" s="48" t="s">
        <v>64</v>
      </c>
      <c r="G388" s="43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0</v>
      </c>
      <c r="H388" s="47"/>
      <c r="I388" s="49">
        <f>IF(C392&gt;0,$K$2,C390)</f>
        <v>31</v>
      </c>
      <c r="J388" s="50" t="s">
        <v>61</v>
      </c>
      <c r="K388" s="51">
        <f>K384/$K$2*I388</f>
        <v>28000</v>
      </c>
      <c r="L388" s="52"/>
      <c r="N388" s="71"/>
      <c r="O388" s="72" t="s">
        <v>48</v>
      </c>
      <c r="P388" s="72">
        <v>31</v>
      </c>
      <c r="Q388" s="72">
        <v>0</v>
      </c>
      <c r="R388" s="72">
        <v>0</v>
      </c>
      <c r="S388" s="63"/>
      <c r="T388" s="72" t="s">
        <v>48</v>
      </c>
      <c r="U388" s="102">
        <f>IF($J$1="April","",Y387)</f>
        <v>0</v>
      </c>
      <c r="V388" s="74"/>
      <c r="W388" s="102">
        <f t="shared" si="102"/>
        <v>0</v>
      </c>
      <c r="X388" s="74"/>
      <c r="Y388" s="102">
        <f t="shared" si="103"/>
        <v>0</v>
      </c>
      <c r="Z388" s="76"/>
    </row>
    <row r="389" spans="1:27" s="29" customFormat="1" ht="27.75" customHeight="1" x14ac:dyDescent="0.2">
      <c r="A389" s="30"/>
      <c r="B389" s="39"/>
      <c r="C389" s="39"/>
      <c r="F389" s="48" t="s">
        <v>20</v>
      </c>
      <c r="G389" s="43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47"/>
      <c r="I389" s="49">
        <v>16</v>
      </c>
      <c r="J389" s="50" t="s">
        <v>62</v>
      </c>
      <c r="K389" s="53">
        <f>K384/$K$2/8*I389</f>
        <v>1806.4516129032259</v>
      </c>
      <c r="L389" s="54"/>
      <c r="N389" s="71"/>
      <c r="O389" s="72" t="s">
        <v>49</v>
      </c>
      <c r="P389" s="72">
        <v>30</v>
      </c>
      <c r="Q389" s="72">
        <v>0</v>
      </c>
      <c r="R389" s="72">
        <v>0</v>
      </c>
      <c r="S389" s="63"/>
      <c r="T389" s="72" t="s">
        <v>49</v>
      </c>
      <c r="U389" s="102">
        <f>Y388</f>
        <v>0</v>
      </c>
      <c r="V389" s="74">
        <v>15000</v>
      </c>
      <c r="W389" s="102">
        <f t="shared" si="102"/>
        <v>15000</v>
      </c>
      <c r="X389" s="74">
        <v>15000</v>
      </c>
      <c r="Y389" s="102">
        <f t="shared" si="103"/>
        <v>0</v>
      </c>
      <c r="Z389" s="76"/>
    </row>
    <row r="390" spans="1:27" s="29" customFormat="1" ht="27.75" customHeight="1" x14ac:dyDescent="0.2">
      <c r="A390" s="30"/>
      <c r="B390" s="48" t="s">
        <v>7</v>
      </c>
      <c r="C390" s="39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F390" s="48" t="s">
        <v>65</v>
      </c>
      <c r="G390" s="43" t="str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/>
      </c>
      <c r="H390" s="47"/>
      <c r="I390" s="387" t="s">
        <v>69</v>
      </c>
      <c r="J390" s="388"/>
      <c r="K390" s="53">
        <f>K388+K389</f>
        <v>29806.451612903227</v>
      </c>
      <c r="L390" s="54"/>
      <c r="N390" s="71"/>
      <c r="O390" s="72" t="s">
        <v>50</v>
      </c>
      <c r="P390" s="72">
        <v>31</v>
      </c>
      <c r="Q390" s="72">
        <v>0</v>
      </c>
      <c r="R390" s="72">
        <v>0</v>
      </c>
      <c r="S390" s="63"/>
      <c r="T390" s="72" t="s">
        <v>50</v>
      </c>
      <c r="U390" s="102">
        <f>Y389</f>
        <v>0</v>
      </c>
      <c r="V390" s="74"/>
      <c r="W390" s="102">
        <f t="shared" ref="W390:W395" si="104">IF(U390="","",U390+V390)</f>
        <v>0</v>
      </c>
      <c r="X390" s="74"/>
      <c r="Y390" s="102">
        <f t="shared" ref="Y390:Y395" si="105">IF(W390="","",W390-X390)</f>
        <v>0</v>
      </c>
      <c r="Z390" s="76"/>
    </row>
    <row r="391" spans="1:27" s="29" customFormat="1" ht="27.75" customHeight="1" x14ac:dyDescent="0.2">
      <c r="A391" s="30"/>
      <c r="B391" s="48" t="s">
        <v>6</v>
      </c>
      <c r="C391" s="39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F391" s="48" t="s">
        <v>21</v>
      </c>
      <c r="G391" s="43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47"/>
      <c r="I391" s="387" t="s">
        <v>70</v>
      </c>
      <c r="J391" s="388"/>
      <c r="K391" s="43">
        <f>G391</f>
        <v>0</v>
      </c>
      <c r="L391" s="55"/>
      <c r="N391" s="71"/>
      <c r="O391" s="72" t="s">
        <v>51</v>
      </c>
      <c r="P391" s="72">
        <v>31</v>
      </c>
      <c r="Q391" s="72">
        <v>0</v>
      </c>
      <c r="R391" s="72">
        <v>0</v>
      </c>
      <c r="S391" s="63"/>
      <c r="T391" s="72" t="s">
        <v>51</v>
      </c>
      <c r="U391" s="102"/>
      <c r="V391" s="74"/>
      <c r="W391" s="102" t="str">
        <f t="shared" si="104"/>
        <v/>
      </c>
      <c r="X391" s="74"/>
      <c r="Y391" s="102" t="str">
        <f t="shared" si="105"/>
        <v/>
      </c>
      <c r="Z391" s="76"/>
    </row>
    <row r="392" spans="1:27" s="29" customFormat="1" ht="27.75" customHeight="1" x14ac:dyDescent="0.2">
      <c r="A392" s="30"/>
      <c r="B392" s="318" t="s">
        <v>68</v>
      </c>
      <c r="C392" s="39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F392" s="318" t="s">
        <v>210</v>
      </c>
      <c r="G392" s="43" t="str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/>
      </c>
      <c r="I392" s="382" t="s">
        <v>63</v>
      </c>
      <c r="J392" s="384"/>
      <c r="K392" s="57">
        <f>K390-K391</f>
        <v>29806.451612903227</v>
      </c>
      <c r="L392" s="58"/>
      <c r="N392" s="71"/>
      <c r="O392" s="72" t="s">
        <v>56</v>
      </c>
      <c r="P392" s="72"/>
      <c r="Q392" s="72"/>
      <c r="R392" s="72">
        <v>0</v>
      </c>
      <c r="S392" s="63"/>
      <c r="T392" s="72" t="s">
        <v>56</v>
      </c>
      <c r="U392" s="102" t="str">
        <f>IF($J$1="September",Y391,"")</f>
        <v/>
      </c>
      <c r="V392" s="74"/>
      <c r="W392" s="102" t="str">
        <f t="shared" si="104"/>
        <v/>
      </c>
      <c r="X392" s="74"/>
      <c r="Y392" s="102" t="str">
        <f t="shared" si="105"/>
        <v/>
      </c>
      <c r="Z392" s="76"/>
    </row>
    <row r="393" spans="1:27" s="29" customFormat="1" ht="27.75" customHeight="1" x14ac:dyDescent="0.2">
      <c r="A393" s="30"/>
      <c r="L393" s="46"/>
      <c r="N393" s="71"/>
      <c r="O393" s="72" t="s">
        <v>52</v>
      </c>
      <c r="P393" s="72"/>
      <c r="Q393" s="72"/>
      <c r="R393" s="72">
        <v>0</v>
      </c>
      <c r="S393" s="63"/>
      <c r="T393" s="72" t="s">
        <v>52</v>
      </c>
      <c r="U393" s="102" t="str">
        <f>IF($J$1="October",Y392,"")</f>
        <v/>
      </c>
      <c r="V393" s="74"/>
      <c r="W393" s="102" t="str">
        <f t="shared" si="104"/>
        <v/>
      </c>
      <c r="X393" s="74"/>
      <c r="Y393" s="102" t="str">
        <f t="shared" si="105"/>
        <v/>
      </c>
      <c r="Z393" s="76"/>
    </row>
    <row r="394" spans="1:27" s="29" customFormat="1" ht="27.75" customHeight="1" x14ac:dyDescent="0.35">
      <c r="A394" s="30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46"/>
      <c r="N394" s="71"/>
      <c r="O394" s="72" t="s">
        <v>57</v>
      </c>
      <c r="P394" s="72"/>
      <c r="Q394" s="72"/>
      <c r="R394" s="72">
        <v>0</v>
      </c>
      <c r="S394" s="63"/>
      <c r="T394" s="72" t="s">
        <v>57</v>
      </c>
      <c r="U394" s="102"/>
      <c r="V394" s="74"/>
      <c r="W394" s="102" t="str">
        <f t="shared" si="104"/>
        <v/>
      </c>
      <c r="X394" s="74"/>
      <c r="Y394" s="102" t="str">
        <f t="shared" si="105"/>
        <v/>
      </c>
      <c r="Z394" s="76"/>
    </row>
    <row r="395" spans="1:27" s="29" customFormat="1" ht="27.75" customHeight="1" thickBot="1" x14ac:dyDescent="0.4">
      <c r="A395" s="5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61"/>
      <c r="N395" s="71"/>
      <c r="O395" s="72" t="s">
        <v>58</v>
      </c>
      <c r="P395" s="72"/>
      <c r="Q395" s="72"/>
      <c r="R395" s="72" t="str">
        <f>IF(Q395="","",R394-Q395)</f>
        <v/>
      </c>
      <c r="S395" s="63"/>
      <c r="T395" s="72" t="s">
        <v>58</v>
      </c>
      <c r="U395" s="102" t="str">
        <f>IF($J$1="Dec",Y394,"")</f>
        <v/>
      </c>
      <c r="V395" s="74"/>
      <c r="W395" s="102" t="str">
        <f t="shared" si="104"/>
        <v/>
      </c>
      <c r="X395" s="74"/>
      <c r="Y395" s="102" t="str">
        <f t="shared" si="105"/>
        <v/>
      </c>
      <c r="Z395" s="76"/>
    </row>
    <row r="396" spans="1:27" s="94" customFormat="1" ht="27.75" customHeight="1" thickBot="1" x14ac:dyDescent="0.25"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7" s="29" customFormat="1" ht="27.75" customHeight="1" thickBot="1" x14ac:dyDescent="0.25">
      <c r="A397" s="389" t="s">
        <v>40</v>
      </c>
      <c r="B397" s="390"/>
      <c r="C397" s="390"/>
      <c r="D397" s="390"/>
      <c r="E397" s="390"/>
      <c r="F397" s="390"/>
      <c r="G397" s="390"/>
      <c r="H397" s="390"/>
      <c r="I397" s="390"/>
      <c r="J397" s="390"/>
      <c r="K397" s="390"/>
      <c r="L397" s="391"/>
      <c r="M397" s="28"/>
      <c r="N397" s="64"/>
      <c r="O397" s="377" t="s">
        <v>42</v>
      </c>
      <c r="P397" s="378"/>
      <c r="Q397" s="378"/>
      <c r="R397" s="379"/>
      <c r="S397" s="65"/>
      <c r="T397" s="377" t="s">
        <v>43</v>
      </c>
      <c r="U397" s="378"/>
      <c r="V397" s="378"/>
      <c r="W397" s="378"/>
      <c r="X397" s="378"/>
      <c r="Y397" s="379"/>
      <c r="Z397" s="66"/>
      <c r="AA397" s="28"/>
    </row>
    <row r="398" spans="1:27" s="29" customFormat="1" ht="27.75" customHeight="1" x14ac:dyDescent="0.2">
      <c r="A398" s="30"/>
      <c r="C398" s="386" t="s">
        <v>83</v>
      </c>
      <c r="D398" s="386"/>
      <c r="E398" s="386"/>
      <c r="F398" s="386"/>
      <c r="G398" s="31" t="str">
        <f>$J$1</f>
        <v>August</v>
      </c>
      <c r="H398" s="385">
        <f>$K$1</f>
        <v>2023</v>
      </c>
      <c r="I398" s="385"/>
      <c r="K398" s="32"/>
      <c r="L398" s="33"/>
      <c r="M398" s="32"/>
      <c r="N398" s="67"/>
      <c r="O398" s="68" t="s">
        <v>53</v>
      </c>
      <c r="P398" s="68" t="s">
        <v>7</v>
      </c>
      <c r="Q398" s="68" t="s">
        <v>6</v>
      </c>
      <c r="R398" s="68" t="s">
        <v>54</v>
      </c>
      <c r="S398" s="69"/>
      <c r="T398" s="68" t="s">
        <v>53</v>
      </c>
      <c r="U398" s="68" t="s">
        <v>55</v>
      </c>
      <c r="V398" s="68" t="s">
        <v>20</v>
      </c>
      <c r="W398" s="68" t="s">
        <v>19</v>
      </c>
      <c r="X398" s="68" t="s">
        <v>21</v>
      </c>
      <c r="Y398" s="68" t="s">
        <v>59</v>
      </c>
      <c r="Z398" s="70"/>
      <c r="AA398" s="32"/>
    </row>
    <row r="399" spans="1:27" s="29" customFormat="1" ht="27.75" customHeight="1" x14ac:dyDescent="0.2">
      <c r="A399" s="30"/>
      <c r="D399" s="35"/>
      <c r="E399" s="35"/>
      <c r="F399" s="35"/>
      <c r="G399" s="35"/>
      <c r="H399" s="35"/>
      <c r="J399" s="36" t="s">
        <v>1</v>
      </c>
      <c r="K399" s="37">
        <v>20000</v>
      </c>
      <c r="L399" s="38"/>
      <c r="N399" s="71"/>
      <c r="O399" s="72" t="s">
        <v>45</v>
      </c>
      <c r="P399" s="72">
        <v>31</v>
      </c>
      <c r="Q399" s="72">
        <v>0</v>
      </c>
      <c r="R399" s="72">
        <f>15-Q399</f>
        <v>15</v>
      </c>
      <c r="S399" s="73"/>
      <c r="T399" s="72" t="s">
        <v>45</v>
      </c>
      <c r="U399" s="74">
        <v>14000</v>
      </c>
      <c r="V399" s="74"/>
      <c r="W399" s="74">
        <f>V399+U399</f>
        <v>14000</v>
      </c>
      <c r="X399" s="74">
        <v>2000</v>
      </c>
      <c r="Y399" s="74">
        <f>W399-X399</f>
        <v>12000</v>
      </c>
      <c r="Z399" s="70"/>
    </row>
    <row r="400" spans="1:27" s="29" customFormat="1" ht="27.75" customHeight="1" x14ac:dyDescent="0.2">
      <c r="A400" s="30"/>
      <c r="B400" s="29" t="s">
        <v>0</v>
      </c>
      <c r="C400" s="40" t="s">
        <v>76</v>
      </c>
      <c r="H400" s="41"/>
      <c r="I400" s="35"/>
      <c r="L400" s="42"/>
      <c r="M400" s="28"/>
      <c r="N400" s="75"/>
      <c r="O400" s="72" t="s">
        <v>71</v>
      </c>
      <c r="P400" s="72">
        <v>28</v>
      </c>
      <c r="Q400" s="72">
        <v>0</v>
      </c>
      <c r="R400" s="72">
        <f t="shared" ref="R400:R410" si="106">IF(Q400="","",R399-Q400)</f>
        <v>15</v>
      </c>
      <c r="S400" s="63"/>
      <c r="T400" s="72" t="s">
        <v>71</v>
      </c>
      <c r="U400" s="102">
        <f>IF($J$1="January","",Y399)</f>
        <v>12000</v>
      </c>
      <c r="V400" s="74"/>
      <c r="W400" s="102">
        <f>IF(U400="","",U400+V400)</f>
        <v>12000</v>
      </c>
      <c r="X400" s="74">
        <v>2000</v>
      </c>
      <c r="Y400" s="74">
        <f>W400-X400</f>
        <v>10000</v>
      </c>
      <c r="Z400" s="76"/>
      <c r="AA400" s="28"/>
    </row>
    <row r="401" spans="1:27" s="29" customFormat="1" ht="27.75" customHeight="1" x14ac:dyDescent="0.2">
      <c r="A401" s="30"/>
      <c r="B401" s="44" t="s">
        <v>41</v>
      </c>
      <c r="C401" s="45"/>
      <c r="F401" s="382" t="s">
        <v>43</v>
      </c>
      <c r="G401" s="384"/>
      <c r="I401" s="382" t="s">
        <v>44</v>
      </c>
      <c r="J401" s="383"/>
      <c r="K401" s="384"/>
      <c r="L401" s="46"/>
      <c r="N401" s="71"/>
      <c r="O401" s="72" t="s">
        <v>46</v>
      </c>
      <c r="P401" s="72">
        <v>29</v>
      </c>
      <c r="Q401" s="72">
        <v>2</v>
      </c>
      <c r="R401" s="72">
        <f t="shared" si="106"/>
        <v>13</v>
      </c>
      <c r="S401" s="63"/>
      <c r="T401" s="72" t="s">
        <v>46</v>
      </c>
      <c r="U401" s="102">
        <f>Y400</f>
        <v>10000</v>
      </c>
      <c r="V401" s="74"/>
      <c r="W401" s="102">
        <f t="shared" ref="W401:W410" si="107">IF(U401="","",U401+V401)</f>
        <v>10000</v>
      </c>
      <c r="X401" s="74">
        <v>2000</v>
      </c>
      <c r="Y401" s="102">
        <f t="shared" ref="Y401:Y410" si="108">IF(W401="","",W401-X401)</f>
        <v>8000</v>
      </c>
      <c r="Z401" s="76"/>
    </row>
    <row r="402" spans="1:27" s="29" customFormat="1" ht="27.75" customHeight="1" x14ac:dyDescent="0.2">
      <c r="A402" s="30"/>
      <c r="H402" s="47"/>
      <c r="L402" s="34"/>
      <c r="N402" s="71"/>
      <c r="O402" s="72" t="s">
        <v>47</v>
      </c>
      <c r="P402" s="72">
        <v>30</v>
      </c>
      <c r="Q402" s="72">
        <v>0</v>
      </c>
      <c r="R402" s="72">
        <f t="shared" si="106"/>
        <v>13</v>
      </c>
      <c r="S402" s="63"/>
      <c r="T402" s="72" t="s">
        <v>47</v>
      </c>
      <c r="U402" s="102">
        <f>IF($J$1="March","",Y401)</f>
        <v>8000</v>
      </c>
      <c r="V402" s="74"/>
      <c r="W402" s="102">
        <f t="shared" si="107"/>
        <v>8000</v>
      </c>
      <c r="X402" s="74">
        <v>2000</v>
      </c>
      <c r="Y402" s="102">
        <f t="shared" si="108"/>
        <v>6000</v>
      </c>
      <c r="Z402" s="76"/>
    </row>
    <row r="403" spans="1:27" s="29" customFormat="1" ht="27.75" customHeight="1" x14ac:dyDescent="0.2">
      <c r="A403" s="30"/>
      <c r="B403" s="380" t="s">
        <v>42</v>
      </c>
      <c r="C403" s="381"/>
      <c r="F403" s="48" t="s">
        <v>64</v>
      </c>
      <c r="G403" s="43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47"/>
      <c r="I403" s="49">
        <f>IF(C407&gt;0,$K$2,C405)</f>
        <v>31</v>
      </c>
      <c r="J403" s="50" t="s">
        <v>61</v>
      </c>
      <c r="K403" s="51">
        <f>K399/$K$2*I403</f>
        <v>20000</v>
      </c>
      <c r="L403" s="52"/>
      <c r="N403" s="71"/>
      <c r="O403" s="72" t="s">
        <v>48</v>
      </c>
      <c r="P403" s="72">
        <v>30</v>
      </c>
      <c r="Q403" s="72">
        <v>1</v>
      </c>
      <c r="R403" s="72">
        <f t="shared" si="106"/>
        <v>12</v>
      </c>
      <c r="S403" s="63"/>
      <c r="T403" s="72" t="s">
        <v>48</v>
      </c>
      <c r="U403" s="102">
        <f>Y402</f>
        <v>6000</v>
      </c>
      <c r="V403" s="74">
        <v>15000</v>
      </c>
      <c r="W403" s="102">
        <f t="shared" si="107"/>
        <v>21000</v>
      </c>
      <c r="X403" s="74">
        <v>2000</v>
      </c>
      <c r="Y403" s="102">
        <f t="shared" si="108"/>
        <v>19000</v>
      </c>
      <c r="Z403" s="76"/>
    </row>
    <row r="404" spans="1:27" s="29" customFormat="1" ht="27.75" customHeight="1" x14ac:dyDescent="0.2">
      <c r="A404" s="30"/>
      <c r="B404" s="39"/>
      <c r="C404" s="39"/>
      <c r="F404" s="48" t="s">
        <v>20</v>
      </c>
      <c r="G404" s="43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7"/>
      <c r="I404" s="49">
        <v>2</v>
      </c>
      <c r="J404" s="50" t="s">
        <v>62</v>
      </c>
      <c r="K404" s="53">
        <f>K399/$K$2/8*I404</f>
        <v>161.29032258064515</v>
      </c>
      <c r="L404" s="54"/>
      <c r="N404" s="71"/>
      <c r="O404" s="72" t="s">
        <v>49</v>
      </c>
      <c r="P404" s="72">
        <v>30</v>
      </c>
      <c r="Q404" s="72">
        <v>0</v>
      </c>
      <c r="R404" s="72">
        <f t="shared" si="106"/>
        <v>12</v>
      </c>
      <c r="S404" s="63"/>
      <c r="T404" s="72" t="s">
        <v>49</v>
      </c>
      <c r="U404" s="102">
        <f>Y403</f>
        <v>19000</v>
      </c>
      <c r="V404" s="74">
        <v>15000</v>
      </c>
      <c r="W404" s="102">
        <f t="shared" si="107"/>
        <v>34000</v>
      </c>
      <c r="X404" s="74">
        <v>17000</v>
      </c>
      <c r="Y404" s="102">
        <f t="shared" si="108"/>
        <v>17000</v>
      </c>
      <c r="Z404" s="76"/>
    </row>
    <row r="405" spans="1:27" s="29" customFormat="1" ht="27.75" customHeight="1" x14ac:dyDescent="0.2">
      <c r="A405" s="30"/>
      <c r="B405" s="48" t="s">
        <v>7</v>
      </c>
      <c r="C405" s="39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F405" s="48" t="s">
        <v>65</v>
      </c>
      <c r="G405" s="43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15000</v>
      </c>
      <c r="H405" s="47"/>
      <c r="I405" s="387" t="s">
        <v>69</v>
      </c>
      <c r="J405" s="388"/>
      <c r="K405" s="53">
        <f>K403+K404</f>
        <v>20161.290322580644</v>
      </c>
      <c r="L405" s="54"/>
      <c r="N405" s="71"/>
      <c r="O405" s="72" t="s">
        <v>50</v>
      </c>
      <c r="P405" s="72">
        <v>30</v>
      </c>
      <c r="Q405" s="72">
        <v>1</v>
      </c>
      <c r="R405" s="72">
        <f t="shared" si="106"/>
        <v>11</v>
      </c>
      <c r="S405" s="63"/>
      <c r="T405" s="72" t="s">
        <v>50</v>
      </c>
      <c r="U405" s="102">
        <f>Y404</f>
        <v>17000</v>
      </c>
      <c r="V405" s="74"/>
      <c r="W405" s="102">
        <f t="shared" si="107"/>
        <v>17000</v>
      </c>
      <c r="X405" s="74">
        <v>2000</v>
      </c>
      <c r="Y405" s="102">
        <f t="shared" si="108"/>
        <v>15000</v>
      </c>
      <c r="Z405" s="76"/>
    </row>
    <row r="406" spans="1:27" s="29" customFormat="1" ht="27.75" customHeight="1" x14ac:dyDescent="0.2">
      <c r="A406" s="30"/>
      <c r="B406" s="48" t="s">
        <v>6</v>
      </c>
      <c r="C406" s="39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F406" s="48" t="s">
        <v>21</v>
      </c>
      <c r="G406" s="43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47"/>
      <c r="I406" s="387" t="s">
        <v>70</v>
      </c>
      <c r="J406" s="388"/>
      <c r="K406" s="43">
        <f>G406</f>
        <v>2000</v>
      </c>
      <c r="L406" s="55"/>
      <c r="N406" s="71"/>
      <c r="O406" s="72" t="s">
        <v>51</v>
      </c>
      <c r="P406" s="72">
        <v>31</v>
      </c>
      <c r="Q406" s="72">
        <v>0</v>
      </c>
      <c r="R406" s="72">
        <f t="shared" si="106"/>
        <v>11</v>
      </c>
      <c r="S406" s="63"/>
      <c r="T406" s="72" t="s">
        <v>51</v>
      </c>
      <c r="U406" s="102">
        <f>Y405</f>
        <v>15000</v>
      </c>
      <c r="V406" s="74"/>
      <c r="W406" s="102">
        <f t="shared" si="107"/>
        <v>15000</v>
      </c>
      <c r="X406" s="74">
        <v>2000</v>
      </c>
      <c r="Y406" s="102">
        <f t="shared" si="108"/>
        <v>13000</v>
      </c>
      <c r="Z406" s="76"/>
    </row>
    <row r="407" spans="1:27" s="29" customFormat="1" ht="27.75" customHeight="1" x14ac:dyDescent="0.2">
      <c r="A407" s="30"/>
      <c r="B407" s="318" t="s">
        <v>68</v>
      </c>
      <c r="C407" s="39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11</v>
      </c>
      <c r="F407" s="318" t="s">
        <v>210</v>
      </c>
      <c r="G407" s="43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13000</v>
      </c>
      <c r="I407" s="382" t="s">
        <v>63</v>
      </c>
      <c r="J407" s="384"/>
      <c r="K407" s="57">
        <f>K405-K406</f>
        <v>18161.290322580644</v>
      </c>
      <c r="L407" s="58"/>
      <c r="N407" s="71"/>
      <c r="O407" s="72" t="s">
        <v>56</v>
      </c>
      <c r="P407" s="72"/>
      <c r="Q407" s="72"/>
      <c r="R407" s="72">
        <v>0</v>
      </c>
      <c r="S407" s="63"/>
      <c r="T407" s="72" t="s">
        <v>56</v>
      </c>
      <c r="U407" s="102">
        <v>0</v>
      </c>
      <c r="V407" s="74"/>
      <c r="W407" s="102">
        <f t="shared" si="107"/>
        <v>0</v>
      </c>
      <c r="X407" s="74"/>
      <c r="Y407" s="102">
        <f t="shared" si="108"/>
        <v>0</v>
      </c>
      <c r="Z407" s="76"/>
    </row>
    <row r="408" spans="1:27" s="29" customFormat="1" ht="27.75" customHeight="1" x14ac:dyDescent="0.2">
      <c r="A408" s="30"/>
      <c r="L408" s="46"/>
      <c r="N408" s="71"/>
      <c r="O408" s="72" t="s">
        <v>52</v>
      </c>
      <c r="P408" s="72"/>
      <c r="Q408" s="72"/>
      <c r="R408" s="72">
        <v>0</v>
      </c>
      <c r="S408" s="63"/>
      <c r="T408" s="72" t="s">
        <v>52</v>
      </c>
      <c r="U408" s="102" t="str">
        <f>IF($J$1="October",Y407,"")</f>
        <v/>
      </c>
      <c r="V408" s="74"/>
      <c r="W408" s="102" t="str">
        <f t="shared" si="107"/>
        <v/>
      </c>
      <c r="X408" s="74"/>
      <c r="Y408" s="102" t="str">
        <f t="shared" si="108"/>
        <v/>
      </c>
      <c r="Z408" s="76"/>
    </row>
    <row r="409" spans="1:27" s="29" customFormat="1" ht="27.75" customHeight="1" x14ac:dyDescent="0.35">
      <c r="A409" s="30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46"/>
      <c r="N409" s="71"/>
      <c r="O409" s="72" t="s">
        <v>57</v>
      </c>
      <c r="P409" s="72"/>
      <c r="Q409" s="72"/>
      <c r="R409" s="72" t="str">
        <f t="shared" si="106"/>
        <v/>
      </c>
      <c r="S409" s="63"/>
      <c r="T409" s="72" t="s">
        <v>57</v>
      </c>
      <c r="U409" s="102"/>
      <c r="V409" s="74"/>
      <c r="W409" s="102" t="str">
        <f t="shared" si="107"/>
        <v/>
      </c>
      <c r="X409" s="74"/>
      <c r="Y409" s="102" t="str">
        <f t="shared" si="108"/>
        <v/>
      </c>
      <c r="Z409" s="76"/>
    </row>
    <row r="410" spans="1:27" s="29" customFormat="1" ht="27.75" customHeight="1" thickBot="1" x14ac:dyDescent="0.4">
      <c r="A410" s="59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61"/>
      <c r="N410" s="71"/>
      <c r="O410" s="72" t="s">
        <v>58</v>
      </c>
      <c r="P410" s="72"/>
      <c r="Q410" s="72"/>
      <c r="R410" s="72" t="str">
        <f t="shared" si="106"/>
        <v/>
      </c>
      <c r="S410" s="63"/>
      <c r="T410" s="72" t="s">
        <v>58</v>
      </c>
      <c r="U410" s="102"/>
      <c r="V410" s="74"/>
      <c r="W410" s="102" t="str">
        <f t="shared" si="107"/>
        <v/>
      </c>
      <c r="X410" s="74"/>
      <c r="Y410" s="102" t="str">
        <f t="shared" si="108"/>
        <v/>
      </c>
      <c r="Z410" s="76"/>
    </row>
    <row r="411" spans="1:27" s="94" customFormat="1" ht="27.75" customHeight="1" thickBot="1" x14ac:dyDescent="0.25"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7" s="29" customFormat="1" ht="27.75" customHeight="1" thickBot="1" x14ac:dyDescent="0.25">
      <c r="A412" s="389" t="s">
        <v>40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1"/>
      <c r="M412" s="28"/>
      <c r="N412" s="64"/>
      <c r="O412" s="377" t="s">
        <v>42</v>
      </c>
      <c r="P412" s="378"/>
      <c r="Q412" s="378"/>
      <c r="R412" s="379"/>
      <c r="S412" s="65"/>
      <c r="T412" s="377" t="s">
        <v>43</v>
      </c>
      <c r="U412" s="378"/>
      <c r="V412" s="378"/>
      <c r="W412" s="378"/>
      <c r="X412" s="378"/>
      <c r="Y412" s="379"/>
      <c r="Z412" s="66"/>
      <c r="AA412" s="28"/>
    </row>
    <row r="413" spans="1:27" s="29" customFormat="1" ht="27.75" customHeight="1" x14ac:dyDescent="0.2">
      <c r="A413" s="30"/>
      <c r="C413" s="386" t="s">
        <v>83</v>
      </c>
      <c r="D413" s="386"/>
      <c r="E413" s="386"/>
      <c r="F413" s="386"/>
      <c r="G413" s="31" t="str">
        <f>$J$1</f>
        <v>August</v>
      </c>
      <c r="H413" s="385">
        <f>$K$1</f>
        <v>2023</v>
      </c>
      <c r="I413" s="385"/>
      <c r="K413" s="32"/>
      <c r="L413" s="33"/>
      <c r="M413" s="32"/>
      <c r="N413" s="67"/>
      <c r="O413" s="68" t="s">
        <v>53</v>
      </c>
      <c r="P413" s="68" t="s">
        <v>7</v>
      </c>
      <c r="Q413" s="68" t="s">
        <v>6</v>
      </c>
      <c r="R413" s="68" t="s">
        <v>54</v>
      </c>
      <c r="S413" s="69"/>
      <c r="T413" s="68" t="s">
        <v>53</v>
      </c>
      <c r="U413" s="68" t="s">
        <v>55</v>
      </c>
      <c r="V413" s="68" t="s">
        <v>20</v>
      </c>
      <c r="W413" s="68" t="s">
        <v>19</v>
      </c>
      <c r="X413" s="68" t="s">
        <v>21</v>
      </c>
      <c r="Y413" s="68" t="s">
        <v>59</v>
      </c>
      <c r="Z413" s="70"/>
      <c r="AA413" s="32"/>
    </row>
    <row r="414" spans="1:27" s="29" customFormat="1" ht="27.75" customHeight="1" x14ac:dyDescent="0.2">
      <c r="A414" s="30"/>
      <c r="D414" s="35"/>
      <c r="E414" s="35"/>
      <c r="F414" s="35"/>
      <c r="G414" s="35"/>
      <c r="H414" s="35"/>
      <c r="J414" s="36" t="s">
        <v>1</v>
      </c>
      <c r="K414" s="37">
        <v>70000</v>
      </c>
      <c r="L414" s="38"/>
      <c r="N414" s="71"/>
      <c r="O414" s="72" t="s">
        <v>45</v>
      </c>
      <c r="P414" s="72"/>
      <c r="Q414" s="72"/>
      <c r="R414" s="72"/>
      <c r="S414" s="73"/>
      <c r="T414" s="72" t="s">
        <v>45</v>
      </c>
      <c r="U414" s="74"/>
      <c r="V414" s="74"/>
      <c r="W414" s="74">
        <f>V414+U414</f>
        <v>0</v>
      </c>
      <c r="X414" s="74"/>
      <c r="Y414" s="74">
        <f>W414-X414</f>
        <v>0</v>
      </c>
      <c r="Z414" s="70"/>
    </row>
    <row r="415" spans="1:27" s="29" customFormat="1" ht="27.75" customHeight="1" x14ac:dyDescent="0.2">
      <c r="A415" s="30"/>
      <c r="B415" s="29" t="s">
        <v>0</v>
      </c>
      <c r="C415" s="40" t="s">
        <v>208</v>
      </c>
      <c r="H415" s="41"/>
      <c r="I415" s="35"/>
      <c r="L415" s="42"/>
      <c r="M415" s="28"/>
      <c r="N415" s="75"/>
      <c r="O415" s="72" t="s">
        <v>71</v>
      </c>
      <c r="P415" s="72"/>
      <c r="Q415" s="72"/>
      <c r="R415" s="72" t="str">
        <f>IF(Q415="","",R414-Q415)</f>
        <v/>
      </c>
      <c r="S415" s="63"/>
      <c r="T415" s="72" t="s">
        <v>71</v>
      </c>
      <c r="U415" s="102">
        <f>Y414</f>
        <v>0</v>
      </c>
      <c r="V415" s="74"/>
      <c r="W415" s="102">
        <f>IF(U415="","",U415+V415)</f>
        <v>0</v>
      </c>
      <c r="X415" s="74"/>
      <c r="Y415" s="102">
        <f>IF(W415="","",W415-X415)</f>
        <v>0</v>
      </c>
      <c r="Z415" s="76"/>
      <c r="AA415" s="28"/>
    </row>
    <row r="416" spans="1:27" s="29" customFormat="1" ht="27.75" customHeight="1" x14ac:dyDescent="0.2">
      <c r="A416" s="30"/>
      <c r="B416" s="44" t="s">
        <v>41</v>
      </c>
      <c r="C416" s="415">
        <v>45115</v>
      </c>
      <c r="D416" s="415"/>
      <c r="E416" s="416"/>
      <c r="F416" s="382" t="s">
        <v>43</v>
      </c>
      <c r="G416" s="384"/>
      <c r="I416" s="382" t="s">
        <v>44</v>
      </c>
      <c r="J416" s="383"/>
      <c r="K416" s="384"/>
      <c r="L416" s="46"/>
      <c r="N416" s="71"/>
      <c r="O416" s="72" t="s">
        <v>46</v>
      </c>
      <c r="P416" s="72"/>
      <c r="Q416" s="72"/>
      <c r="R416" s="72" t="str">
        <f t="shared" ref="R416:R425" si="109">IF(Q416="","",R415-Q416)</f>
        <v/>
      </c>
      <c r="S416" s="63"/>
      <c r="T416" s="72" t="s">
        <v>46</v>
      </c>
      <c r="U416" s="102">
        <f>IF($J$1="April",Y415,Y415)</f>
        <v>0</v>
      </c>
      <c r="V416" s="74"/>
      <c r="W416" s="102">
        <f t="shared" ref="W416:W425" si="110">IF(U416="","",U416+V416)</f>
        <v>0</v>
      </c>
      <c r="X416" s="74"/>
      <c r="Y416" s="102">
        <f t="shared" ref="Y416:Y425" si="111">IF(W416="","",W416-X416)</f>
        <v>0</v>
      </c>
      <c r="Z416" s="76"/>
    </row>
    <row r="417" spans="1:27" s="29" customFormat="1" ht="27.75" customHeight="1" x14ac:dyDescent="0.2">
      <c r="A417" s="30"/>
      <c r="H417" s="47"/>
      <c r="L417" s="34"/>
      <c r="N417" s="71"/>
      <c r="O417" s="72" t="s">
        <v>47</v>
      </c>
      <c r="P417" s="72"/>
      <c r="Q417" s="72"/>
      <c r="R417" s="72" t="str">
        <f t="shared" si="109"/>
        <v/>
      </c>
      <c r="S417" s="63"/>
      <c r="T417" s="72" t="s">
        <v>47</v>
      </c>
      <c r="U417" s="102">
        <f>IF($J$1="April",Y416,Y416)</f>
        <v>0</v>
      </c>
      <c r="V417" s="74"/>
      <c r="W417" s="102">
        <f t="shared" si="110"/>
        <v>0</v>
      </c>
      <c r="X417" s="74"/>
      <c r="Y417" s="102">
        <f t="shared" si="111"/>
        <v>0</v>
      </c>
      <c r="Z417" s="76"/>
    </row>
    <row r="418" spans="1:27" s="29" customFormat="1" ht="27.75" customHeight="1" x14ac:dyDescent="0.2">
      <c r="A418" s="30"/>
      <c r="B418" s="380" t="s">
        <v>42</v>
      </c>
      <c r="C418" s="381"/>
      <c r="F418" s="48" t="s">
        <v>64</v>
      </c>
      <c r="G418" s="43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47"/>
      <c r="I418" s="49">
        <f>IF(C422&gt;0,$K$2,C420)+8</f>
        <v>39</v>
      </c>
      <c r="J418" s="50" t="s">
        <v>61</v>
      </c>
      <c r="K418" s="51">
        <f>K414/$K$2*I418</f>
        <v>88064.516129032258</v>
      </c>
      <c r="L418" s="52"/>
      <c r="N418" s="71"/>
      <c r="O418" s="72" t="s">
        <v>48</v>
      </c>
      <c r="P418" s="72"/>
      <c r="Q418" s="72"/>
      <c r="R418" s="72" t="str">
        <f t="shared" si="109"/>
        <v/>
      </c>
      <c r="S418" s="63"/>
      <c r="T418" s="72" t="s">
        <v>48</v>
      </c>
      <c r="U418" s="102">
        <f>IF($J$1="May",Y417,Y417)</f>
        <v>0</v>
      </c>
      <c r="V418" s="74"/>
      <c r="W418" s="102">
        <f t="shared" si="110"/>
        <v>0</v>
      </c>
      <c r="X418" s="74"/>
      <c r="Y418" s="102">
        <f t="shared" si="111"/>
        <v>0</v>
      </c>
      <c r="Z418" s="76"/>
    </row>
    <row r="419" spans="1:27" s="29" customFormat="1" ht="27.75" customHeight="1" x14ac:dyDescent="0.2">
      <c r="A419" s="30"/>
      <c r="B419" s="39"/>
      <c r="C419" s="39"/>
      <c r="F419" s="48" t="s">
        <v>20</v>
      </c>
      <c r="G419" s="43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47"/>
      <c r="I419" s="49"/>
      <c r="J419" s="50" t="s">
        <v>62</v>
      </c>
      <c r="K419" s="53">
        <f>K414/$K$2/8*I419</f>
        <v>0</v>
      </c>
      <c r="L419" s="54"/>
      <c r="N419" s="71"/>
      <c r="O419" s="72" t="s">
        <v>49</v>
      </c>
      <c r="P419" s="72"/>
      <c r="Q419" s="72"/>
      <c r="R419" s="72" t="str">
        <f t="shared" si="109"/>
        <v/>
      </c>
      <c r="S419" s="63"/>
      <c r="T419" s="72" t="s">
        <v>49</v>
      </c>
      <c r="U419" s="102">
        <f>IF($J$1="May",Y418,Y418)</f>
        <v>0</v>
      </c>
      <c r="V419" s="74"/>
      <c r="W419" s="102">
        <f t="shared" si="110"/>
        <v>0</v>
      </c>
      <c r="X419" s="74"/>
      <c r="Y419" s="102">
        <f t="shared" si="111"/>
        <v>0</v>
      </c>
      <c r="Z419" s="76"/>
    </row>
    <row r="420" spans="1:27" s="29" customFormat="1" ht="27.75" customHeight="1" x14ac:dyDescent="0.2">
      <c r="A420" s="30"/>
      <c r="B420" s="48" t="s">
        <v>7</v>
      </c>
      <c r="C420" s="39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F420" s="48" t="s">
        <v>65</v>
      </c>
      <c r="G420" s="43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0</v>
      </c>
      <c r="H420" s="47"/>
      <c r="I420" s="387" t="s">
        <v>69</v>
      </c>
      <c r="J420" s="388"/>
      <c r="K420" s="53">
        <f>K418+K419</f>
        <v>88064.516129032258</v>
      </c>
      <c r="L420" s="54"/>
      <c r="N420" s="71"/>
      <c r="O420" s="72" t="s">
        <v>50</v>
      </c>
      <c r="P420" s="72">
        <v>24</v>
      </c>
      <c r="Q420" s="72">
        <v>7</v>
      </c>
      <c r="R420" s="72">
        <v>0</v>
      </c>
      <c r="S420" s="63"/>
      <c r="T420" s="72" t="s">
        <v>50</v>
      </c>
      <c r="U420" s="102">
        <f>Y419</f>
        <v>0</v>
      </c>
      <c r="V420" s="74"/>
      <c r="W420" s="102">
        <f t="shared" si="110"/>
        <v>0</v>
      </c>
      <c r="X420" s="74"/>
      <c r="Y420" s="102">
        <f t="shared" si="111"/>
        <v>0</v>
      </c>
      <c r="Z420" s="76"/>
    </row>
    <row r="421" spans="1:27" s="29" customFormat="1" ht="27.75" customHeight="1" x14ac:dyDescent="0.2">
      <c r="A421" s="30"/>
      <c r="B421" s="48" t="s">
        <v>6</v>
      </c>
      <c r="C421" s="39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F421" s="48" t="s">
        <v>21</v>
      </c>
      <c r="G421" s="43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47"/>
      <c r="I421" s="387" t="s">
        <v>70</v>
      </c>
      <c r="J421" s="388"/>
      <c r="K421" s="43">
        <f>G421</f>
        <v>0</v>
      </c>
      <c r="L421" s="55"/>
      <c r="N421" s="71"/>
      <c r="O421" s="72" t="s">
        <v>51</v>
      </c>
      <c r="P421" s="72">
        <v>31</v>
      </c>
      <c r="Q421" s="72">
        <v>0</v>
      </c>
      <c r="R421" s="72">
        <f t="shared" si="109"/>
        <v>0</v>
      </c>
      <c r="S421" s="63"/>
      <c r="T421" s="72" t="s">
        <v>51</v>
      </c>
      <c r="U421" s="102">
        <f>Y420</f>
        <v>0</v>
      </c>
      <c r="V421" s="74"/>
      <c r="W421" s="102">
        <f t="shared" si="110"/>
        <v>0</v>
      </c>
      <c r="X421" s="74"/>
      <c r="Y421" s="102">
        <f t="shared" si="111"/>
        <v>0</v>
      </c>
      <c r="Z421" s="76"/>
    </row>
    <row r="422" spans="1:27" s="29" customFormat="1" ht="27.75" customHeight="1" x14ac:dyDescent="0.2">
      <c r="A422" s="30"/>
      <c r="B422" s="318" t="s">
        <v>68</v>
      </c>
      <c r="C422" s="39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F422" s="318" t="s">
        <v>210</v>
      </c>
      <c r="G422" s="43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0</v>
      </c>
      <c r="I422" s="382" t="s">
        <v>63</v>
      </c>
      <c r="J422" s="384"/>
      <c r="K422" s="57">
        <f>K420-K421</f>
        <v>88064.516129032258</v>
      </c>
      <c r="L422" s="58"/>
      <c r="N422" s="71"/>
      <c r="O422" s="72" t="s">
        <v>56</v>
      </c>
      <c r="P422" s="72"/>
      <c r="Q422" s="72"/>
      <c r="R422" s="72">
        <v>0</v>
      </c>
      <c r="S422" s="63"/>
      <c r="T422" s="72" t="s">
        <v>56</v>
      </c>
      <c r="U422" s="102" t="str">
        <f>IF($J$1="September",Y421,"")</f>
        <v/>
      </c>
      <c r="V422" s="74"/>
      <c r="W422" s="102" t="str">
        <f t="shared" si="110"/>
        <v/>
      </c>
      <c r="X422" s="74"/>
      <c r="Y422" s="102" t="str">
        <f t="shared" si="111"/>
        <v/>
      </c>
      <c r="Z422" s="76"/>
    </row>
    <row r="423" spans="1:27" s="29" customFormat="1" ht="27.75" customHeight="1" x14ac:dyDescent="0.2">
      <c r="A423" s="30"/>
      <c r="L423" s="46"/>
      <c r="N423" s="71"/>
      <c r="O423" s="72" t="s">
        <v>52</v>
      </c>
      <c r="P423" s="72"/>
      <c r="Q423" s="72"/>
      <c r="R423" s="72">
        <v>0</v>
      </c>
      <c r="S423" s="63"/>
      <c r="T423" s="72" t="s">
        <v>52</v>
      </c>
      <c r="U423" s="102" t="str">
        <f>IF($J$1="October",Y422,"")</f>
        <v/>
      </c>
      <c r="V423" s="74"/>
      <c r="W423" s="102" t="str">
        <f t="shared" si="110"/>
        <v/>
      </c>
      <c r="X423" s="74"/>
      <c r="Y423" s="102" t="str">
        <f t="shared" si="111"/>
        <v/>
      </c>
      <c r="Z423" s="76"/>
    </row>
    <row r="424" spans="1:27" s="29" customFormat="1" ht="27.75" customHeight="1" x14ac:dyDescent="0.35">
      <c r="A424" s="30"/>
      <c r="B424" s="319"/>
      <c r="C424" s="319"/>
      <c r="D424" s="319"/>
      <c r="E424" s="319"/>
      <c r="F424" s="35"/>
      <c r="G424" s="319"/>
      <c r="H424" s="319"/>
      <c r="I424" s="319"/>
      <c r="J424" s="319"/>
      <c r="K424" s="319"/>
      <c r="L424" s="46"/>
      <c r="N424" s="71"/>
      <c r="O424" s="72" t="s">
        <v>57</v>
      </c>
      <c r="P424" s="72"/>
      <c r="Q424" s="72"/>
      <c r="R424" s="72" t="str">
        <f t="shared" si="109"/>
        <v/>
      </c>
      <c r="S424" s="63"/>
      <c r="T424" s="72" t="s">
        <v>57</v>
      </c>
      <c r="U424" s="102"/>
      <c r="V424" s="74"/>
      <c r="W424" s="102" t="str">
        <f t="shared" si="110"/>
        <v/>
      </c>
      <c r="X424" s="74"/>
      <c r="Y424" s="102" t="str">
        <f t="shared" si="111"/>
        <v/>
      </c>
      <c r="Z424" s="76"/>
    </row>
    <row r="425" spans="1:27" s="29" customFormat="1" ht="27.75" customHeight="1" thickBot="1" x14ac:dyDescent="0.4">
      <c r="A425" s="59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61"/>
      <c r="N425" s="71"/>
      <c r="O425" s="72" t="s">
        <v>58</v>
      </c>
      <c r="P425" s="72"/>
      <c r="Q425" s="72"/>
      <c r="R425" s="72" t="str">
        <f t="shared" si="109"/>
        <v/>
      </c>
      <c r="S425" s="63"/>
      <c r="T425" s="72" t="s">
        <v>58</v>
      </c>
      <c r="U425" s="102"/>
      <c r="V425" s="74"/>
      <c r="W425" s="102" t="str">
        <f t="shared" si="110"/>
        <v/>
      </c>
      <c r="X425" s="74"/>
      <c r="Y425" s="102" t="str">
        <f t="shared" si="111"/>
        <v/>
      </c>
      <c r="Z425" s="76"/>
    </row>
    <row r="426" spans="1:27" s="94" customFormat="1" ht="27.75" customHeight="1" thickBot="1" x14ac:dyDescent="0.25"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7" s="29" customFormat="1" ht="27.75" customHeight="1" thickBot="1" x14ac:dyDescent="0.25">
      <c r="A427" s="389" t="s">
        <v>40</v>
      </c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1"/>
      <c r="M427" s="28"/>
      <c r="N427" s="64"/>
      <c r="O427" s="377" t="s">
        <v>42</v>
      </c>
      <c r="P427" s="378"/>
      <c r="Q427" s="378"/>
      <c r="R427" s="379"/>
      <c r="S427" s="65"/>
      <c r="T427" s="377" t="s">
        <v>43</v>
      </c>
      <c r="U427" s="378"/>
      <c r="V427" s="378"/>
      <c r="W427" s="378"/>
      <c r="X427" s="378"/>
      <c r="Y427" s="379"/>
      <c r="Z427" s="66"/>
      <c r="AA427" s="28"/>
    </row>
    <row r="428" spans="1:27" s="29" customFormat="1" ht="27.75" customHeight="1" x14ac:dyDescent="0.2">
      <c r="A428" s="30"/>
      <c r="C428" s="386" t="s">
        <v>83</v>
      </c>
      <c r="D428" s="386"/>
      <c r="E428" s="386"/>
      <c r="F428" s="386"/>
      <c r="G428" s="31" t="str">
        <f>$J$1</f>
        <v>August</v>
      </c>
      <c r="H428" s="385">
        <f>$K$1</f>
        <v>2023</v>
      </c>
      <c r="I428" s="385"/>
      <c r="K428" s="32"/>
      <c r="L428" s="33"/>
      <c r="M428" s="32"/>
      <c r="N428" s="67"/>
      <c r="O428" s="68" t="s">
        <v>53</v>
      </c>
      <c r="P428" s="68" t="s">
        <v>7</v>
      </c>
      <c r="Q428" s="68" t="s">
        <v>6</v>
      </c>
      <c r="R428" s="68" t="s">
        <v>54</v>
      </c>
      <c r="S428" s="69"/>
      <c r="T428" s="68" t="s">
        <v>53</v>
      </c>
      <c r="U428" s="68" t="s">
        <v>55</v>
      </c>
      <c r="V428" s="68" t="s">
        <v>20</v>
      </c>
      <c r="W428" s="68" t="s">
        <v>19</v>
      </c>
      <c r="X428" s="68" t="s">
        <v>21</v>
      </c>
      <c r="Y428" s="68" t="s">
        <v>59</v>
      </c>
      <c r="Z428" s="70"/>
      <c r="AA428" s="32"/>
    </row>
    <row r="429" spans="1:27" s="29" customFormat="1" ht="27.75" customHeight="1" x14ac:dyDescent="0.2">
      <c r="A429" s="30"/>
      <c r="D429" s="35"/>
      <c r="E429" s="35"/>
      <c r="F429" s="35"/>
      <c r="G429" s="35"/>
      <c r="H429" s="35"/>
      <c r="J429" s="36" t="s">
        <v>1</v>
      </c>
      <c r="K429" s="37">
        <v>25000</v>
      </c>
      <c r="L429" s="38"/>
      <c r="N429" s="71"/>
      <c r="O429" s="72" t="s">
        <v>45</v>
      </c>
      <c r="P429" s="72">
        <v>30</v>
      </c>
      <c r="Q429" s="72">
        <v>1</v>
      </c>
      <c r="R429" s="72">
        <f>15-Q429</f>
        <v>14</v>
      </c>
      <c r="S429" s="73"/>
      <c r="T429" s="72" t="s">
        <v>45</v>
      </c>
      <c r="U429" s="74">
        <v>8000</v>
      </c>
      <c r="V429" s="74">
        <v>1000</v>
      </c>
      <c r="W429" s="74">
        <f>V429+U429</f>
        <v>9000</v>
      </c>
      <c r="X429" s="74">
        <v>2500</v>
      </c>
      <c r="Y429" s="74">
        <f>W429-X429</f>
        <v>6500</v>
      </c>
      <c r="Z429" s="70"/>
    </row>
    <row r="430" spans="1:27" s="29" customFormat="1" ht="27.75" customHeight="1" x14ac:dyDescent="0.2">
      <c r="A430" s="30"/>
      <c r="B430" s="29" t="s">
        <v>0</v>
      </c>
      <c r="C430" s="40" t="s">
        <v>108</v>
      </c>
      <c r="H430" s="41"/>
      <c r="I430" s="35"/>
      <c r="L430" s="42"/>
      <c r="M430" s="28"/>
      <c r="N430" s="75"/>
      <c r="O430" s="72" t="s">
        <v>71</v>
      </c>
      <c r="P430" s="72">
        <v>28</v>
      </c>
      <c r="Q430" s="72">
        <v>0</v>
      </c>
      <c r="R430" s="72">
        <f t="shared" ref="R430:R440" si="112">IF(Q430="","",R429-Q430)</f>
        <v>14</v>
      </c>
      <c r="S430" s="63"/>
      <c r="T430" s="72" t="s">
        <v>71</v>
      </c>
      <c r="U430" s="102">
        <f>IF($J$1="January","",Y429)</f>
        <v>6500</v>
      </c>
      <c r="V430" s="74">
        <v>1000</v>
      </c>
      <c r="W430" s="102">
        <f>IF(U430="","",U430+V430)</f>
        <v>7500</v>
      </c>
      <c r="X430" s="74">
        <v>2500</v>
      </c>
      <c r="Y430" s="102">
        <f>IF(W430="","",W430-X430)</f>
        <v>5000</v>
      </c>
      <c r="Z430" s="76"/>
      <c r="AA430" s="28"/>
    </row>
    <row r="431" spans="1:27" s="29" customFormat="1" ht="27.75" customHeight="1" x14ac:dyDescent="0.2">
      <c r="A431" s="30"/>
      <c r="B431" s="44" t="s">
        <v>41</v>
      </c>
      <c r="C431" s="45"/>
      <c r="F431" s="382" t="s">
        <v>43</v>
      </c>
      <c r="G431" s="384"/>
      <c r="I431" s="382" t="s">
        <v>44</v>
      </c>
      <c r="J431" s="383"/>
      <c r="K431" s="384"/>
      <c r="L431" s="46"/>
      <c r="N431" s="71"/>
      <c r="O431" s="72" t="s">
        <v>46</v>
      </c>
      <c r="P431" s="72">
        <v>30</v>
      </c>
      <c r="Q431" s="72">
        <v>1</v>
      </c>
      <c r="R431" s="72">
        <f t="shared" si="112"/>
        <v>13</v>
      </c>
      <c r="S431" s="63"/>
      <c r="T431" s="72" t="s">
        <v>46</v>
      </c>
      <c r="U431" s="102">
        <f>IF($J$1="February","",Y430)</f>
        <v>5000</v>
      </c>
      <c r="V431" s="74">
        <v>1000</v>
      </c>
      <c r="W431" s="102">
        <f t="shared" ref="W431:W440" si="113">IF(U431="","",U431+V431)</f>
        <v>6000</v>
      </c>
      <c r="X431" s="74">
        <v>2500</v>
      </c>
      <c r="Y431" s="102">
        <f t="shared" ref="Y431:Y440" si="114">IF(W431="","",W431-X431)</f>
        <v>3500</v>
      </c>
      <c r="Z431" s="76"/>
    </row>
    <row r="432" spans="1:27" s="29" customFormat="1" ht="27.75" customHeight="1" x14ac:dyDescent="0.2">
      <c r="A432" s="30"/>
      <c r="H432" s="47"/>
      <c r="L432" s="34"/>
      <c r="N432" s="71"/>
      <c r="O432" s="72" t="s">
        <v>47</v>
      </c>
      <c r="P432" s="72">
        <v>30</v>
      </c>
      <c r="Q432" s="72">
        <v>0</v>
      </c>
      <c r="R432" s="72">
        <f t="shared" si="112"/>
        <v>13</v>
      </c>
      <c r="S432" s="63"/>
      <c r="T432" s="72" t="s">
        <v>47</v>
      </c>
      <c r="U432" s="102">
        <f>IF($J$1="March","",Y431)</f>
        <v>3500</v>
      </c>
      <c r="V432" s="74"/>
      <c r="W432" s="102">
        <f t="shared" si="113"/>
        <v>3500</v>
      </c>
      <c r="X432" s="74">
        <v>2500</v>
      </c>
      <c r="Y432" s="102">
        <f t="shared" si="114"/>
        <v>1000</v>
      </c>
      <c r="Z432" s="76"/>
    </row>
    <row r="433" spans="1:26" s="29" customFormat="1" ht="27.75" customHeight="1" x14ac:dyDescent="0.2">
      <c r="A433" s="30"/>
      <c r="B433" s="380" t="s">
        <v>42</v>
      </c>
      <c r="C433" s="381"/>
      <c r="F433" s="48" t="s">
        <v>64</v>
      </c>
      <c r="G433" s="43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13500</v>
      </c>
      <c r="H433" s="47"/>
      <c r="I433" s="49">
        <f>IF(C437&gt;0,$K$2,C435)</f>
        <v>31</v>
      </c>
      <c r="J433" s="50" t="s">
        <v>61</v>
      </c>
      <c r="K433" s="51">
        <f>K429/$K$2*I433</f>
        <v>25000</v>
      </c>
      <c r="L433" s="52"/>
      <c r="N433" s="71"/>
      <c r="O433" s="72" t="s">
        <v>48</v>
      </c>
      <c r="P433" s="72">
        <v>31</v>
      </c>
      <c r="Q433" s="72">
        <v>0</v>
      </c>
      <c r="R433" s="72">
        <f t="shared" si="112"/>
        <v>13</v>
      </c>
      <c r="S433" s="63"/>
      <c r="T433" s="72" t="s">
        <v>48</v>
      </c>
      <c r="U433" s="102">
        <f>Y432</f>
        <v>1000</v>
      </c>
      <c r="V433" s="74">
        <v>3000</v>
      </c>
      <c r="W433" s="102">
        <f t="shared" si="113"/>
        <v>4000</v>
      </c>
      <c r="X433" s="74">
        <v>2000</v>
      </c>
      <c r="Y433" s="102">
        <f t="shared" si="114"/>
        <v>2000</v>
      </c>
      <c r="Z433" s="76"/>
    </row>
    <row r="434" spans="1:26" s="29" customFormat="1" ht="27.75" customHeight="1" x14ac:dyDescent="0.2">
      <c r="A434" s="30"/>
      <c r="B434" s="39"/>
      <c r="C434" s="39"/>
      <c r="F434" s="48" t="s">
        <v>20</v>
      </c>
      <c r="G434" s="43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5000</v>
      </c>
      <c r="H434" s="47"/>
      <c r="I434" s="49">
        <v>7</v>
      </c>
      <c r="J434" s="50" t="s">
        <v>62</v>
      </c>
      <c r="K434" s="53">
        <f>K429/$K$2/8*I434</f>
        <v>705.64516129032268</v>
      </c>
      <c r="L434" s="54"/>
      <c r="N434" s="71"/>
      <c r="O434" s="72" t="s">
        <v>49</v>
      </c>
      <c r="P434" s="72">
        <v>30</v>
      </c>
      <c r="Q434" s="72">
        <v>0</v>
      </c>
      <c r="R434" s="72">
        <f t="shared" si="112"/>
        <v>13</v>
      </c>
      <c r="S434" s="63"/>
      <c r="T434" s="72" t="s">
        <v>49</v>
      </c>
      <c r="U434" s="102">
        <f>Y433</f>
        <v>2000</v>
      </c>
      <c r="V434" s="74">
        <f>4000+500</f>
        <v>4500</v>
      </c>
      <c r="W434" s="102">
        <f t="shared" si="113"/>
        <v>6500</v>
      </c>
      <c r="X434" s="74">
        <v>2000</v>
      </c>
      <c r="Y434" s="102">
        <f t="shared" si="114"/>
        <v>4500</v>
      </c>
      <c r="Z434" s="76"/>
    </row>
    <row r="435" spans="1:26" s="29" customFormat="1" ht="27.75" customHeight="1" x14ac:dyDescent="0.2">
      <c r="A435" s="30"/>
      <c r="B435" s="48" t="s">
        <v>7</v>
      </c>
      <c r="C435" s="39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30</v>
      </c>
      <c r="F435" s="48" t="s">
        <v>65</v>
      </c>
      <c r="G435" s="43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18500</v>
      </c>
      <c r="H435" s="47"/>
      <c r="I435" s="387" t="s">
        <v>69</v>
      </c>
      <c r="J435" s="388"/>
      <c r="K435" s="53">
        <f>K433+K434</f>
        <v>25705.645161290322</v>
      </c>
      <c r="L435" s="54"/>
      <c r="N435" s="71"/>
      <c r="O435" s="72" t="s">
        <v>50</v>
      </c>
      <c r="P435" s="72">
        <v>31</v>
      </c>
      <c r="Q435" s="72">
        <v>0</v>
      </c>
      <c r="R435" s="72">
        <f t="shared" si="112"/>
        <v>13</v>
      </c>
      <c r="S435" s="63"/>
      <c r="T435" s="72" t="s">
        <v>50</v>
      </c>
      <c r="U435" s="102">
        <f>Y434</f>
        <v>4500</v>
      </c>
      <c r="V435" s="74">
        <f>10000+1000</f>
        <v>11000</v>
      </c>
      <c r="W435" s="102">
        <f t="shared" si="113"/>
        <v>15500</v>
      </c>
      <c r="X435" s="74">
        <v>2000</v>
      </c>
      <c r="Y435" s="102">
        <f t="shared" si="114"/>
        <v>13500</v>
      </c>
      <c r="Z435" s="76"/>
    </row>
    <row r="436" spans="1:26" s="29" customFormat="1" ht="27.75" customHeight="1" x14ac:dyDescent="0.2">
      <c r="A436" s="30"/>
      <c r="B436" s="48" t="s">
        <v>6</v>
      </c>
      <c r="C436" s="39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1</v>
      </c>
      <c r="F436" s="48" t="s">
        <v>21</v>
      </c>
      <c r="G436" s="43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47"/>
      <c r="I436" s="387" t="s">
        <v>70</v>
      </c>
      <c r="J436" s="388"/>
      <c r="K436" s="43">
        <f>G436</f>
        <v>2000</v>
      </c>
      <c r="L436" s="55"/>
      <c r="N436" s="71"/>
      <c r="O436" s="72" t="s">
        <v>51</v>
      </c>
      <c r="P436" s="72">
        <v>30</v>
      </c>
      <c r="Q436" s="72">
        <v>1</v>
      </c>
      <c r="R436" s="72">
        <f t="shared" si="112"/>
        <v>12</v>
      </c>
      <c r="S436" s="63"/>
      <c r="T436" s="72" t="s">
        <v>51</v>
      </c>
      <c r="U436" s="102">
        <f>Y435</f>
        <v>13500</v>
      </c>
      <c r="V436" s="74">
        <v>5000</v>
      </c>
      <c r="W436" s="102">
        <f t="shared" si="113"/>
        <v>18500</v>
      </c>
      <c r="X436" s="74">
        <v>2000</v>
      </c>
      <c r="Y436" s="102">
        <f t="shared" si="114"/>
        <v>16500</v>
      </c>
      <c r="Z436" s="76"/>
    </row>
    <row r="437" spans="1:26" s="29" customFormat="1" ht="27.75" customHeight="1" x14ac:dyDescent="0.2">
      <c r="A437" s="30"/>
      <c r="B437" s="318" t="s">
        <v>68</v>
      </c>
      <c r="C437" s="39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12</v>
      </c>
      <c r="F437" s="318" t="s">
        <v>210</v>
      </c>
      <c r="G437" s="43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16500</v>
      </c>
      <c r="I437" s="382" t="s">
        <v>63</v>
      </c>
      <c r="J437" s="384"/>
      <c r="K437" s="57">
        <f>K435-K436</f>
        <v>23705.645161290322</v>
      </c>
      <c r="L437" s="58"/>
      <c r="N437" s="71"/>
      <c r="O437" s="72" t="s">
        <v>56</v>
      </c>
      <c r="P437" s="72"/>
      <c r="Q437" s="72"/>
      <c r="R437" s="72">
        <v>0</v>
      </c>
      <c r="S437" s="63"/>
      <c r="T437" s="72" t="s">
        <v>56</v>
      </c>
      <c r="U437" s="102">
        <v>0</v>
      </c>
      <c r="V437" s="74"/>
      <c r="W437" s="102">
        <f t="shared" si="113"/>
        <v>0</v>
      </c>
      <c r="X437" s="74"/>
      <c r="Y437" s="102">
        <f t="shared" si="114"/>
        <v>0</v>
      </c>
      <c r="Z437" s="76"/>
    </row>
    <row r="438" spans="1:26" s="29" customFormat="1" ht="27.75" customHeight="1" x14ac:dyDescent="0.2">
      <c r="A438" s="30"/>
      <c r="L438" s="46"/>
      <c r="N438" s="71"/>
      <c r="O438" s="72" t="s">
        <v>52</v>
      </c>
      <c r="P438" s="72"/>
      <c r="Q438" s="72"/>
      <c r="R438" s="72">
        <v>0</v>
      </c>
      <c r="S438" s="63"/>
      <c r="T438" s="72" t="s">
        <v>52</v>
      </c>
      <c r="U438" s="102" t="str">
        <f>IF($J$1="October",Y437,"")</f>
        <v/>
      </c>
      <c r="V438" s="74"/>
      <c r="W438" s="102" t="str">
        <f t="shared" si="113"/>
        <v/>
      </c>
      <c r="X438" s="74"/>
      <c r="Y438" s="102" t="str">
        <f t="shared" si="114"/>
        <v/>
      </c>
      <c r="Z438" s="76"/>
    </row>
    <row r="439" spans="1:26" s="29" customFormat="1" ht="27.75" customHeight="1" x14ac:dyDescent="0.35">
      <c r="A439" s="30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46"/>
      <c r="N439" s="71"/>
      <c r="O439" s="72" t="s">
        <v>57</v>
      </c>
      <c r="P439" s="72"/>
      <c r="Q439" s="72"/>
      <c r="R439" s="72" t="str">
        <f t="shared" si="112"/>
        <v/>
      </c>
      <c r="S439" s="63"/>
      <c r="T439" s="72" t="s">
        <v>57</v>
      </c>
      <c r="U439" s="102" t="str">
        <f>IF($J$1="October","",Y438)</f>
        <v/>
      </c>
      <c r="V439" s="74"/>
      <c r="W439" s="102" t="str">
        <f t="shared" si="113"/>
        <v/>
      </c>
      <c r="X439" s="74"/>
      <c r="Y439" s="102" t="str">
        <f t="shared" si="114"/>
        <v/>
      </c>
      <c r="Z439" s="76"/>
    </row>
    <row r="440" spans="1:26" s="29" customFormat="1" ht="27.75" customHeight="1" thickBot="1" x14ac:dyDescent="0.4">
      <c r="A440" s="5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61"/>
      <c r="N440" s="71"/>
      <c r="O440" s="72" t="s">
        <v>58</v>
      </c>
      <c r="P440" s="72"/>
      <c r="Q440" s="72"/>
      <c r="R440" s="72" t="str">
        <f t="shared" si="112"/>
        <v/>
      </c>
      <c r="S440" s="63"/>
      <c r="T440" s="72" t="s">
        <v>58</v>
      </c>
      <c r="U440" s="102" t="str">
        <f>IF($J$1="November","",Y439)</f>
        <v/>
      </c>
      <c r="V440" s="74"/>
      <c r="W440" s="102" t="str">
        <f t="shared" si="113"/>
        <v/>
      </c>
      <c r="X440" s="74"/>
      <c r="Y440" s="102" t="str">
        <f t="shared" si="114"/>
        <v/>
      </c>
      <c r="Z440" s="76"/>
    </row>
    <row r="441" spans="1:26" s="94" customFormat="1" ht="27.75" customHeight="1" thickBot="1" x14ac:dyDescent="0.25"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s="29" customFormat="1" ht="27.75" customHeight="1" thickBot="1" x14ac:dyDescent="0.25">
      <c r="A442" s="389" t="s">
        <v>40</v>
      </c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1"/>
      <c r="M442" s="28"/>
      <c r="N442" s="64"/>
      <c r="O442" s="377" t="s">
        <v>42</v>
      </c>
      <c r="P442" s="378"/>
      <c r="Q442" s="378"/>
      <c r="R442" s="379"/>
      <c r="S442" s="65"/>
      <c r="T442" s="377" t="s">
        <v>43</v>
      </c>
      <c r="U442" s="378"/>
      <c r="V442" s="378"/>
      <c r="W442" s="378"/>
      <c r="X442" s="378"/>
      <c r="Y442" s="379"/>
      <c r="Z442" s="66"/>
    </row>
    <row r="443" spans="1:26" s="29" customFormat="1" ht="27.75" customHeight="1" x14ac:dyDescent="0.2">
      <c r="A443" s="30"/>
      <c r="C443" s="386" t="s">
        <v>83</v>
      </c>
      <c r="D443" s="386"/>
      <c r="E443" s="386"/>
      <c r="F443" s="386"/>
      <c r="G443" s="31" t="str">
        <f>$J$1</f>
        <v>August</v>
      </c>
      <c r="H443" s="385">
        <f>$K$1</f>
        <v>2023</v>
      </c>
      <c r="I443" s="385"/>
      <c r="K443" s="32"/>
      <c r="L443" s="33"/>
      <c r="M443" s="32"/>
      <c r="N443" s="67"/>
      <c r="O443" s="68" t="s">
        <v>53</v>
      </c>
      <c r="P443" s="68" t="s">
        <v>7</v>
      </c>
      <c r="Q443" s="68" t="s">
        <v>6</v>
      </c>
      <c r="R443" s="68" t="s">
        <v>54</v>
      </c>
      <c r="S443" s="69"/>
      <c r="T443" s="68" t="s">
        <v>53</v>
      </c>
      <c r="U443" s="68" t="s">
        <v>55</v>
      </c>
      <c r="V443" s="68" t="s">
        <v>20</v>
      </c>
      <c r="W443" s="68" t="s">
        <v>19</v>
      </c>
      <c r="X443" s="68" t="s">
        <v>21</v>
      </c>
      <c r="Y443" s="68" t="s">
        <v>59</v>
      </c>
      <c r="Z443" s="70"/>
    </row>
    <row r="444" spans="1:26" s="29" customFormat="1" ht="27.75" customHeight="1" x14ac:dyDescent="0.2">
      <c r="A444" s="30"/>
      <c r="D444" s="35"/>
      <c r="E444" s="35"/>
      <c r="F444" s="35"/>
      <c r="G444" s="35"/>
      <c r="H444" s="35"/>
      <c r="J444" s="36" t="s">
        <v>1</v>
      </c>
      <c r="K444" s="37">
        <v>30000</v>
      </c>
      <c r="L444" s="38"/>
      <c r="N444" s="71"/>
      <c r="O444" s="72" t="s">
        <v>45</v>
      </c>
      <c r="P444" s="72"/>
      <c r="Q444" s="72"/>
      <c r="R444" s="72"/>
      <c r="S444" s="73"/>
      <c r="T444" s="72" t="s">
        <v>45</v>
      </c>
      <c r="U444" s="74"/>
      <c r="V444" s="74"/>
      <c r="W444" s="74">
        <f>V444+U444</f>
        <v>0</v>
      </c>
      <c r="X444" s="74"/>
      <c r="Y444" s="74">
        <f>W444-X444</f>
        <v>0</v>
      </c>
      <c r="Z444" s="70"/>
    </row>
    <row r="445" spans="1:26" s="29" customFormat="1" ht="27.75" customHeight="1" x14ac:dyDescent="0.2">
      <c r="A445" s="30"/>
      <c r="B445" s="29" t="s">
        <v>0</v>
      </c>
      <c r="C445" s="40" t="s">
        <v>199</v>
      </c>
      <c r="H445" s="41"/>
      <c r="I445" s="35"/>
      <c r="L445" s="42"/>
      <c r="M445" s="28"/>
      <c r="N445" s="75"/>
      <c r="O445" s="72" t="s">
        <v>71</v>
      </c>
      <c r="P445" s="72"/>
      <c r="Q445" s="72"/>
      <c r="R445" s="72" t="str">
        <f>IF(Q445="","",R444-Q445)</f>
        <v/>
      </c>
      <c r="S445" s="63"/>
      <c r="T445" s="72" t="s">
        <v>71</v>
      </c>
      <c r="U445" s="102">
        <f>IF($J$1="January","",Y444)</f>
        <v>0</v>
      </c>
      <c r="V445" s="74"/>
      <c r="W445" s="102">
        <f>IF(U445="","",U445+V445)</f>
        <v>0</v>
      </c>
      <c r="X445" s="74"/>
      <c r="Y445" s="102">
        <f>IF(W445="","",W445-X445)</f>
        <v>0</v>
      </c>
      <c r="Z445" s="76"/>
    </row>
    <row r="446" spans="1:26" s="29" customFormat="1" ht="27.75" customHeight="1" x14ac:dyDescent="0.2">
      <c r="A446" s="30"/>
      <c r="B446" s="44" t="s">
        <v>41</v>
      </c>
      <c r="C446" s="45"/>
      <c r="F446" s="382" t="s">
        <v>43</v>
      </c>
      <c r="G446" s="384"/>
      <c r="I446" s="382" t="s">
        <v>44</v>
      </c>
      <c r="J446" s="383"/>
      <c r="K446" s="384"/>
      <c r="L446" s="46"/>
      <c r="N446" s="71"/>
      <c r="O446" s="72" t="s">
        <v>46</v>
      </c>
      <c r="P446" s="72"/>
      <c r="Q446" s="72"/>
      <c r="R446" s="72" t="str">
        <f t="shared" ref="R446:R447" si="115">IF(Q446="","",R445-Q446)</f>
        <v/>
      </c>
      <c r="S446" s="63"/>
      <c r="T446" s="72" t="s">
        <v>46</v>
      </c>
      <c r="U446" s="102">
        <f>IF($J$1="February","",Y445)</f>
        <v>0</v>
      </c>
      <c r="V446" s="74"/>
      <c r="W446" s="102">
        <f t="shared" ref="W446:W455" si="116">IF(U446="","",U446+V446)</f>
        <v>0</v>
      </c>
      <c r="X446" s="74"/>
      <c r="Y446" s="102">
        <f t="shared" ref="Y446:Y455" si="117">IF(W446="","",W446-X446)</f>
        <v>0</v>
      </c>
      <c r="Z446" s="76"/>
    </row>
    <row r="447" spans="1:26" s="29" customFormat="1" ht="27.75" customHeight="1" x14ac:dyDescent="0.2">
      <c r="A447" s="30"/>
      <c r="H447" s="47"/>
      <c r="L447" s="34"/>
      <c r="N447" s="71"/>
      <c r="O447" s="72" t="s">
        <v>47</v>
      </c>
      <c r="P447" s="72"/>
      <c r="Q447" s="72"/>
      <c r="R447" s="72" t="str">
        <f t="shared" si="115"/>
        <v/>
      </c>
      <c r="S447" s="63"/>
      <c r="T447" s="72" t="s">
        <v>47</v>
      </c>
      <c r="U447" s="102">
        <f>IF($J$1="March","",Y446)</f>
        <v>0</v>
      </c>
      <c r="V447" s="74"/>
      <c r="W447" s="102">
        <f t="shared" si="116"/>
        <v>0</v>
      </c>
      <c r="X447" s="74"/>
      <c r="Y447" s="102">
        <f t="shared" si="117"/>
        <v>0</v>
      </c>
      <c r="Z447" s="76"/>
    </row>
    <row r="448" spans="1:26" s="29" customFormat="1" ht="27.75" customHeight="1" x14ac:dyDescent="0.2">
      <c r="A448" s="30"/>
      <c r="B448" s="380" t="s">
        <v>42</v>
      </c>
      <c r="C448" s="381"/>
      <c r="F448" s="48" t="s">
        <v>64</v>
      </c>
      <c r="G448" s="43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35000</v>
      </c>
      <c r="H448" s="47"/>
      <c r="I448" s="49">
        <f>IF(C452&gt;0,$K$2,C450)</f>
        <v>28</v>
      </c>
      <c r="J448" s="50" t="s">
        <v>61</v>
      </c>
      <c r="K448" s="51">
        <f>K444/$K$2*I448</f>
        <v>27096.774193548386</v>
      </c>
      <c r="L448" s="52"/>
      <c r="N448" s="71"/>
      <c r="O448" s="72" t="s">
        <v>48</v>
      </c>
      <c r="P448" s="72">
        <v>30</v>
      </c>
      <c r="Q448" s="72">
        <v>1</v>
      </c>
      <c r="R448" s="72">
        <v>0</v>
      </c>
      <c r="S448" s="63"/>
      <c r="T448" s="72" t="s">
        <v>48</v>
      </c>
      <c r="U448" s="102">
        <f>Y447</f>
        <v>0</v>
      </c>
      <c r="V448" s="74">
        <f>5000+4000</f>
        <v>9000</v>
      </c>
      <c r="W448" s="102">
        <f t="shared" si="116"/>
        <v>9000</v>
      </c>
      <c r="X448" s="74">
        <v>3000</v>
      </c>
      <c r="Y448" s="102">
        <f t="shared" si="117"/>
        <v>6000</v>
      </c>
      <c r="Z448" s="76"/>
    </row>
    <row r="449" spans="1:29" s="29" customFormat="1" ht="27.75" customHeight="1" x14ac:dyDescent="0.2">
      <c r="A449" s="30"/>
      <c r="B449" s="39"/>
      <c r="C449" s="39"/>
      <c r="F449" s="48" t="s">
        <v>20</v>
      </c>
      <c r="G449" s="43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10000</v>
      </c>
      <c r="H449" s="47"/>
      <c r="I449" s="49">
        <v>15</v>
      </c>
      <c r="J449" s="50" t="s">
        <v>62</v>
      </c>
      <c r="K449" s="53">
        <f>K444/$K$2/8*I449</f>
        <v>1814.516129032258</v>
      </c>
      <c r="L449" s="54"/>
      <c r="N449" s="71"/>
      <c r="O449" s="72" t="s">
        <v>49</v>
      </c>
      <c r="P449" s="72">
        <v>28</v>
      </c>
      <c r="Q449" s="72">
        <v>2</v>
      </c>
      <c r="R449" s="72">
        <v>0</v>
      </c>
      <c r="S449" s="63"/>
      <c r="T449" s="72" t="s">
        <v>49</v>
      </c>
      <c r="U449" s="102">
        <f>Y448</f>
        <v>6000</v>
      </c>
      <c r="V449" s="74">
        <f>4000+15000</f>
        <v>19000</v>
      </c>
      <c r="W449" s="102">
        <f t="shared" si="116"/>
        <v>25000</v>
      </c>
      <c r="X449" s="74">
        <v>5000</v>
      </c>
      <c r="Y449" s="102">
        <f t="shared" si="117"/>
        <v>20000</v>
      </c>
      <c r="Z449" s="76"/>
    </row>
    <row r="450" spans="1:29" s="29" customFormat="1" ht="27.75" customHeight="1" x14ac:dyDescent="0.2">
      <c r="A450" s="30"/>
      <c r="B450" s="48" t="s">
        <v>7</v>
      </c>
      <c r="C450" s="39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28</v>
      </c>
      <c r="F450" s="48" t="s">
        <v>65</v>
      </c>
      <c r="G450" s="43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45000</v>
      </c>
      <c r="H450" s="47"/>
      <c r="I450" s="387" t="s">
        <v>69</v>
      </c>
      <c r="J450" s="388"/>
      <c r="K450" s="53">
        <f>K448+K449</f>
        <v>28911.290322580644</v>
      </c>
      <c r="L450" s="54"/>
      <c r="N450" s="71"/>
      <c r="O450" s="72" t="s">
        <v>50</v>
      </c>
      <c r="P450" s="72">
        <v>26</v>
      </c>
      <c r="Q450" s="72">
        <v>5</v>
      </c>
      <c r="R450" s="72">
        <v>0</v>
      </c>
      <c r="S450" s="63"/>
      <c r="T450" s="72" t="s">
        <v>50</v>
      </c>
      <c r="U450" s="102">
        <f>Y449</f>
        <v>20000</v>
      </c>
      <c r="V450" s="74">
        <f>20000+500</f>
        <v>20500</v>
      </c>
      <c r="W450" s="102">
        <f t="shared" si="116"/>
        <v>40500</v>
      </c>
      <c r="X450" s="74">
        <v>5500</v>
      </c>
      <c r="Y450" s="102">
        <f t="shared" si="117"/>
        <v>35000</v>
      </c>
      <c r="Z450" s="76"/>
    </row>
    <row r="451" spans="1:29" s="29" customFormat="1" ht="27.75" customHeight="1" x14ac:dyDescent="0.2">
      <c r="A451" s="30"/>
      <c r="B451" s="48" t="s">
        <v>6</v>
      </c>
      <c r="C451" s="39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3</v>
      </c>
      <c r="F451" s="48" t="s">
        <v>21</v>
      </c>
      <c r="G451" s="43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15000</v>
      </c>
      <c r="H451" s="47"/>
      <c r="I451" s="387" t="s">
        <v>70</v>
      </c>
      <c r="J451" s="388"/>
      <c r="K451" s="43">
        <f>G451</f>
        <v>15000</v>
      </c>
      <c r="L451" s="55"/>
      <c r="N451" s="71"/>
      <c r="O451" s="72" t="s">
        <v>51</v>
      </c>
      <c r="P451" s="72">
        <v>28</v>
      </c>
      <c r="Q451" s="72">
        <v>3</v>
      </c>
      <c r="R451" s="72">
        <v>0</v>
      </c>
      <c r="S451" s="63"/>
      <c r="T451" s="72" t="s">
        <v>51</v>
      </c>
      <c r="U451" s="102">
        <f>Y450</f>
        <v>35000</v>
      </c>
      <c r="V451" s="74">
        <v>10000</v>
      </c>
      <c r="W451" s="102">
        <f t="shared" si="116"/>
        <v>45000</v>
      </c>
      <c r="X451" s="74">
        <v>15000</v>
      </c>
      <c r="Y451" s="102">
        <f t="shared" si="117"/>
        <v>30000</v>
      </c>
      <c r="Z451" s="76"/>
      <c r="AC451" s="104"/>
    </row>
    <row r="452" spans="1:29" s="29" customFormat="1" ht="27.75" customHeight="1" x14ac:dyDescent="0.2">
      <c r="A452" s="30"/>
      <c r="B452" s="318" t="s">
        <v>68</v>
      </c>
      <c r="C452" s="39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F452" s="318" t="s">
        <v>210</v>
      </c>
      <c r="G452" s="43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30000</v>
      </c>
      <c r="I452" s="382" t="s">
        <v>63</v>
      </c>
      <c r="J452" s="384"/>
      <c r="K452" s="57">
        <f>K450-K451</f>
        <v>13911.290322580644</v>
      </c>
      <c r="L452" s="58"/>
      <c r="N452" s="71"/>
      <c r="O452" s="72" t="s">
        <v>56</v>
      </c>
      <c r="P452" s="72"/>
      <c r="Q452" s="72"/>
      <c r="R452" s="72">
        <v>0</v>
      </c>
      <c r="S452" s="63"/>
      <c r="T452" s="72" t="s">
        <v>56</v>
      </c>
      <c r="U452" s="102">
        <v>0</v>
      </c>
      <c r="V452" s="74"/>
      <c r="W452" s="102">
        <f t="shared" si="116"/>
        <v>0</v>
      </c>
      <c r="X452" s="74"/>
      <c r="Y452" s="102">
        <f t="shared" si="117"/>
        <v>0</v>
      </c>
      <c r="Z452" s="76"/>
    </row>
    <row r="453" spans="1:29" s="29" customFormat="1" ht="27.75" customHeight="1" x14ac:dyDescent="0.2">
      <c r="A453" s="30"/>
      <c r="L453" s="46"/>
      <c r="N453" s="71"/>
      <c r="O453" s="72" t="s">
        <v>52</v>
      </c>
      <c r="P453" s="72"/>
      <c r="Q453" s="72"/>
      <c r="R453" s="72">
        <v>0</v>
      </c>
      <c r="S453" s="63"/>
      <c r="T453" s="72" t="s">
        <v>52</v>
      </c>
      <c r="U453" s="102" t="str">
        <f>IF($J$1="October",Y452,"")</f>
        <v/>
      </c>
      <c r="V453" s="74"/>
      <c r="W453" s="102" t="str">
        <f t="shared" si="116"/>
        <v/>
      </c>
      <c r="X453" s="74"/>
      <c r="Y453" s="102" t="str">
        <f t="shared" si="117"/>
        <v/>
      </c>
      <c r="Z453" s="76"/>
    </row>
    <row r="454" spans="1:29" s="29" customFormat="1" ht="27.75" customHeight="1" x14ac:dyDescent="0.35">
      <c r="A454" s="30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46"/>
      <c r="N454" s="71"/>
      <c r="O454" s="72" t="s">
        <v>57</v>
      </c>
      <c r="P454" s="72"/>
      <c r="Q454" s="72"/>
      <c r="R454" s="72">
        <v>0</v>
      </c>
      <c r="S454" s="63"/>
      <c r="T454" s="72" t="s">
        <v>57</v>
      </c>
      <c r="U454" s="102" t="str">
        <f>IF($J$1="October","",Y453)</f>
        <v/>
      </c>
      <c r="V454" s="74"/>
      <c r="W454" s="102" t="str">
        <f t="shared" si="116"/>
        <v/>
      </c>
      <c r="X454" s="74"/>
      <c r="Y454" s="102" t="str">
        <f t="shared" si="117"/>
        <v/>
      </c>
      <c r="Z454" s="76"/>
    </row>
    <row r="455" spans="1:29" s="29" customFormat="1" ht="27.75" customHeight="1" thickBot="1" x14ac:dyDescent="0.4">
      <c r="A455" s="5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61"/>
      <c r="N455" s="71"/>
      <c r="O455" s="72" t="s">
        <v>58</v>
      </c>
      <c r="P455" s="72"/>
      <c r="Q455" s="72"/>
      <c r="R455" s="72">
        <v>0</v>
      </c>
      <c r="S455" s="63"/>
      <c r="T455" s="72" t="s">
        <v>58</v>
      </c>
      <c r="U455" s="102" t="str">
        <f>IF($J$1="November","",Y454)</f>
        <v/>
      </c>
      <c r="V455" s="74"/>
      <c r="W455" s="102" t="str">
        <f t="shared" si="116"/>
        <v/>
      </c>
      <c r="X455" s="74"/>
      <c r="Y455" s="102" t="str">
        <f t="shared" si="117"/>
        <v/>
      </c>
      <c r="Z455" s="76"/>
    </row>
    <row r="456" spans="1:29" s="94" customFormat="1" ht="27.75" customHeight="1" thickBot="1" x14ac:dyDescent="0.25"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9" s="29" customFormat="1" ht="27.75" customHeight="1" thickBot="1" x14ac:dyDescent="0.25">
      <c r="A457" s="389" t="s">
        <v>40</v>
      </c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1"/>
      <c r="M457" s="28"/>
      <c r="N457" s="64"/>
      <c r="O457" s="377" t="s">
        <v>42</v>
      </c>
      <c r="P457" s="378"/>
      <c r="Q457" s="378"/>
      <c r="R457" s="379"/>
      <c r="S457" s="65"/>
      <c r="T457" s="377" t="s">
        <v>43</v>
      </c>
      <c r="U457" s="378"/>
      <c r="V457" s="378"/>
      <c r="W457" s="378"/>
      <c r="X457" s="378"/>
      <c r="Y457" s="379"/>
      <c r="Z457" s="66"/>
      <c r="AA457" s="28"/>
    </row>
    <row r="458" spans="1:29" s="29" customFormat="1" ht="27.75" customHeight="1" x14ac:dyDescent="0.2">
      <c r="A458" s="30"/>
      <c r="C458" s="386" t="s">
        <v>83</v>
      </c>
      <c r="D458" s="386"/>
      <c r="E458" s="386"/>
      <c r="F458" s="386"/>
      <c r="G458" s="31" t="str">
        <f>$J$1</f>
        <v>August</v>
      </c>
      <c r="H458" s="385">
        <f>$K$1</f>
        <v>2023</v>
      </c>
      <c r="I458" s="385"/>
      <c r="K458" s="32"/>
      <c r="L458" s="33"/>
      <c r="M458" s="32"/>
      <c r="N458" s="67"/>
      <c r="O458" s="68" t="s">
        <v>53</v>
      </c>
      <c r="P458" s="68" t="s">
        <v>7</v>
      </c>
      <c r="Q458" s="68" t="s">
        <v>6</v>
      </c>
      <c r="R458" s="68" t="s">
        <v>54</v>
      </c>
      <c r="S458" s="69"/>
      <c r="T458" s="68" t="s">
        <v>53</v>
      </c>
      <c r="U458" s="68" t="s">
        <v>55</v>
      </c>
      <c r="V458" s="68" t="s">
        <v>20</v>
      </c>
      <c r="W458" s="68" t="s">
        <v>19</v>
      </c>
      <c r="X458" s="68" t="s">
        <v>21</v>
      </c>
      <c r="Y458" s="68" t="s">
        <v>59</v>
      </c>
      <c r="Z458" s="70"/>
      <c r="AA458" s="32"/>
    </row>
    <row r="459" spans="1:29" s="29" customFormat="1" ht="27.75" customHeight="1" x14ac:dyDescent="0.2">
      <c r="A459" s="30"/>
      <c r="D459" s="35"/>
      <c r="E459" s="35"/>
      <c r="F459" s="35"/>
      <c r="G459" s="35"/>
      <c r="H459" s="35"/>
      <c r="J459" s="36" t="s">
        <v>1</v>
      </c>
      <c r="K459" s="37">
        <f>20000+2500+2000</f>
        <v>24500</v>
      </c>
      <c r="L459" s="38"/>
      <c r="N459" s="71"/>
      <c r="O459" s="72" t="s">
        <v>45</v>
      </c>
      <c r="P459" s="72">
        <v>31</v>
      </c>
      <c r="Q459" s="72">
        <v>0</v>
      </c>
      <c r="R459" s="72">
        <v>0</v>
      </c>
      <c r="S459" s="73"/>
      <c r="T459" s="72" t="s">
        <v>45</v>
      </c>
      <c r="U459" s="74"/>
      <c r="V459" s="74"/>
      <c r="W459" s="74">
        <f>V459+U459</f>
        <v>0</v>
      </c>
      <c r="X459" s="74"/>
      <c r="Y459" s="74">
        <f>W459-X459</f>
        <v>0</v>
      </c>
      <c r="Z459" s="70"/>
    </row>
    <row r="460" spans="1:29" s="29" customFormat="1" ht="27.75" customHeight="1" x14ac:dyDescent="0.2">
      <c r="A460" s="30"/>
      <c r="B460" s="29" t="s">
        <v>0</v>
      </c>
      <c r="C460" s="40" t="s">
        <v>128</v>
      </c>
      <c r="H460" s="41"/>
      <c r="I460" s="35"/>
      <c r="L460" s="42"/>
      <c r="M460" s="28"/>
      <c r="N460" s="75"/>
      <c r="O460" s="72" t="s">
        <v>71</v>
      </c>
      <c r="P460" s="72">
        <v>28</v>
      </c>
      <c r="Q460" s="72">
        <v>0</v>
      </c>
      <c r="R460" s="72">
        <f>IF(Q460="","",R459-Q460)</f>
        <v>0</v>
      </c>
      <c r="S460" s="63"/>
      <c r="T460" s="72" t="s">
        <v>71</v>
      </c>
      <c r="U460" s="102">
        <f>IF($J$1="January","",Y459)</f>
        <v>0</v>
      </c>
      <c r="V460" s="74"/>
      <c r="W460" s="102">
        <f>IF(U460="","",U460+V460)</f>
        <v>0</v>
      </c>
      <c r="X460" s="74"/>
      <c r="Y460" s="102">
        <f>IF(W460="","",W460-X460)</f>
        <v>0</v>
      </c>
      <c r="Z460" s="76"/>
      <c r="AA460" s="28"/>
    </row>
    <row r="461" spans="1:29" s="29" customFormat="1" ht="27.75" customHeight="1" x14ac:dyDescent="0.2">
      <c r="A461" s="30"/>
      <c r="B461" s="44" t="s">
        <v>41</v>
      </c>
      <c r="C461" s="45"/>
      <c r="F461" s="382" t="s">
        <v>43</v>
      </c>
      <c r="G461" s="384"/>
      <c r="I461" s="382" t="s">
        <v>44</v>
      </c>
      <c r="J461" s="383"/>
      <c r="K461" s="384"/>
      <c r="L461" s="46"/>
      <c r="N461" s="71"/>
      <c r="O461" s="72" t="s">
        <v>46</v>
      </c>
      <c r="P461" s="72">
        <v>31</v>
      </c>
      <c r="Q461" s="72">
        <v>0</v>
      </c>
      <c r="R461" s="72">
        <v>0</v>
      </c>
      <c r="S461" s="63"/>
      <c r="T461" s="72" t="s">
        <v>46</v>
      </c>
      <c r="U461" s="102">
        <f>IF($J$1="February","",Y460)</f>
        <v>0</v>
      </c>
      <c r="V461" s="74"/>
      <c r="W461" s="102">
        <f t="shared" ref="W461:W470" si="118">IF(U461="","",U461+V461)</f>
        <v>0</v>
      </c>
      <c r="X461" s="74"/>
      <c r="Y461" s="102">
        <f t="shared" ref="Y461:Y470" si="119">IF(W461="","",W461-X461)</f>
        <v>0</v>
      </c>
      <c r="Z461" s="76"/>
    </row>
    <row r="462" spans="1:29" s="29" customFormat="1" ht="27.75" customHeight="1" x14ac:dyDescent="0.2">
      <c r="A462" s="30"/>
      <c r="H462" s="47"/>
      <c r="L462" s="34"/>
      <c r="N462" s="71"/>
      <c r="O462" s="72" t="s">
        <v>47</v>
      </c>
      <c r="P462" s="72">
        <v>30</v>
      </c>
      <c r="Q462" s="72">
        <v>0</v>
      </c>
      <c r="R462" s="72">
        <v>0</v>
      </c>
      <c r="S462" s="63"/>
      <c r="T462" s="72" t="s">
        <v>47</v>
      </c>
      <c r="U462" s="102">
        <f>IF($J$1="March","",Y461)</f>
        <v>0</v>
      </c>
      <c r="V462" s="74"/>
      <c r="W462" s="102">
        <f t="shared" si="118"/>
        <v>0</v>
      </c>
      <c r="X462" s="74"/>
      <c r="Y462" s="102">
        <f t="shared" si="119"/>
        <v>0</v>
      </c>
      <c r="Z462" s="76"/>
    </row>
    <row r="463" spans="1:29" s="29" customFormat="1" ht="27.75" customHeight="1" x14ac:dyDescent="0.2">
      <c r="A463" s="30"/>
      <c r="B463" s="380" t="s">
        <v>42</v>
      </c>
      <c r="C463" s="381"/>
      <c r="F463" s="48" t="s">
        <v>64</v>
      </c>
      <c r="G463" s="43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47"/>
      <c r="I463" s="49">
        <f>IF(C467&gt;0,$K$2,C465)</f>
        <v>31</v>
      </c>
      <c r="J463" s="50" t="s">
        <v>61</v>
      </c>
      <c r="K463" s="51">
        <f>K459/$K$2*I463</f>
        <v>24500</v>
      </c>
      <c r="L463" s="52"/>
      <c r="N463" s="71"/>
      <c r="O463" s="72" t="s">
        <v>48</v>
      </c>
      <c r="P463" s="72">
        <v>31</v>
      </c>
      <c r="Q463" s="72">
        <v>0</v>
      </c>
      <c r="R463" s="72">
        <v>0</v>
      </c>
      <c r="S463" s="63"/>
      <c r="T463" s="72" t="s">
        <v>48</v>
      </c>
      <c r="U463" s="102">
        <f>IF($J$1="April","",Y462)</f>
        <v>0</v>
      </c>
      <c r="V463" s="74"/>
      <c r="W463" s="102">
        <f t="shared" si="118"/>
        <v>0</v>
      </c>
      <c r="X463" s="74"/>
      <c r="Y463" s="102">
        <f t="shared" si="119"/>
        <v>0</v>
      </c>
      <c r="Z463" s="76"/>
    </row>
    <row r="464" spans="1:29" s="29" customFormat="1" ht="27.75" customHeight="1" x14ac:dyDescent="0.2">
      <c r="A464" s="30"/>
      <c r="B464" s="39"/>
      <c r="C464" s="39"/>
      <c r="F464" s="48" t="s">
        <v>20</v>
      </c>
      <c r="G464" s="43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47"/>
      <c r="I464" s="49">
        <v>71</v>
      </c>
      <c r="J464" s="50" t="s">
        <v>62</v>
      </c>
      <c r="K464" s="53">
        <f>K459/$K$2/8*I464</f>
        <v>7014.1129032258068</v>
      </c>
      <c r="L464" s="54"/>
      <c r="N464" s="71"/>
      <c r="O464" s="72" t="s">
        <v>49</v>
      </c>
      <c r="P464" s="72">
        <v>30</v>
      </c>
      <c r="Q464" s="72">
        <v>0</v>
      </c>
      <c r="R464" s="72">
        <v>0</v>
      </c>
      <c r="S464" s="63"/>
      <c r="T464" s="72" t="s">
        <v>49</v>
      </c>
      <c r="U464" s="102">
        <f>IF($J$1="May","",Y463)</f>
        <v>0</v>
      </c>
      <c r="V464" s="74"/>
      <c r="W464" s="102">
        <f t="shared" si="118"/>
        <v>0</v>
      </c>
      <c r="X464" s="74"/>
      <c r="Y464" s="102">
        <f t="shared" si="119"/>
        <v>0</v>
      </c>
      <c r="Z464" s="76"/>
    </row>
    <row r="465" spans="1:26" s="29" customFormat="1" ht="27.75" customHeight="1" x14ac:dyDescent="0.2">
      <c r="A465" s="30"/>
      <c r="B465" s="48" t="s">
        <v>7</v>
      </c>
      <c r="C465" s="39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F465" s="48" t="s">
        <v>65</v>
      </c>
      <c r="G465" s="43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47"/>
      <c r="I465" s="387" t="s">
        <v>69</v>
      </c>
      <c r="J465" s="388"/>
      <c r="K465" s="53">
        <f>K463+K464</f>
        <v>31514.112903225807</v>
      </c>
      <c r="L465" s="54"/>
      <c r="N465" s="71"/>
      <c r="O465" s="72" t="s">
        <v>50</v>
      </c>
      <c r="P465" s="72">
        <v>31</v>
      </c>
      <c r="Q465" s="72">
        <v>0</v>
      </c>
      <c r="R465" s="72">
        <v>0</v>
      </c>
      <c r="S465" s="63"/>
      <c r="T465" s="72" t="s">
        <v>50</v>
      </c>
      <c r="U465" s="102">
        <f>IF($J$1="June","",Y464)</f>
        <v>0</v>
      </c>
      <c r="V465" s="74"/>
      <c r="W465" s="102">
        <f t="shared" si="118"/>
        <v>0</v>
      </c>
      <c r="X465" s="74"/>
      <c r="Y465" s="102">
        <f t="shared" si="119"/>
        <v>0</v>
      </c>
      <c r="Z465" s="76"/>
    </row>
    <row r="466" spans="1:26" s="29" customFormat="1" ht="27.75" customHeight="1" x14ac:dyDescent="0.2">
      <c r="A466" s="30"/>
      <c r="B466" s="48" t="s">
        <v>6</v>
      </c>
      <c r="C466" s="39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F466" s="48" t="s">
        <v>21</v>
      </c>
      <c r="G466" s="43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47"/>
      <c r="I466" s="387" t="s">
        <v>70</v>
      </c>
      <c r="J466" s="388"/>
      <c r="K466" s="43">
        <f>G466</f>
        <v>0</v>
      </c>
      <c r="L466" s="55"/>
      <c r="N466" s="71"/>
      <c r="O466" s="72" t="s">
        <v>51</v>
      </c>
      <c r="P466" s="72">
        <v>31</v>
      </c>
      <c r="Q466" s="72">
        <v>0</v>
      </c>
      <c r="R466" s="72">
        <v>0</v>
      </c>
      <c r="S466" s="63"/>
      <c r="T466" s="72" t="s">
        <v>51</v>
      </c>
      <c r="U466" s="102">
        <f>IF($J$1="July","",Y465)</f>
        <v>0</v>
      </c>
      <c r="V466" s="74"/>
      <c r="W466" s="102">
        <f t="shared" si="118"/>
        <v>0</v>
      </c>
      <c r="X466" s="74"/>
      <c r="Y466" s="102">
        <f t="shared" si="119"/>
        <v>0</v>
      </c>
      <c r="Z466" s="76"/>
    </row>
    <row r="467" spans="1:26" s="29" customFormat="1" ht="27.75" customHeight="1" x14ac:dyDescent="0.2">
      <c r="A467" s="30"/>
      <c r="B467" s="318" t="s">
        <v>68</v>
      </c>
      <c r="C467" s="39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F467" s="318" t="s">
        <v>210</v>
      </c>
      <c r="G467" s="43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I467" s="382" t="s">
        <v>63</v>
      </c>
      <c r="J467" s="384"/>
      <c r="K467" s="57">
        <f>K465-K466</f>
        <v>31514.112903225807</v>
      </c>
      <c r="L467" s="58"/>
      <c r="N467" s="71"/>
      <c r="O467" s="72" t="s">
        <v>56</v>
      </c>
      <c r="P467" s="72"/>
      <c r="Q467" s="72"/>
      <c r="R467" s="72">
        <v>0</v>
      </c>
      <c r="S467" s="63"/>
      <c r="T467" s="72" t="s">
        <v>56</v>
      </c>
      <c r="U467" s="102" t="str">
        <f>IF($J$1="September",Y466,"")</f>
        <v/>
      </c>
      <c r="V467" s="74"/>
      <c r="W467" s="102" t="str">
        <f t="shared" si="118"/>
        <v/>
      </c>
      <c r="X467" s="74"/>
      <c r="Y467" s="102" t="str">
        <f t="shared" si="119"/>
        <v/>
      </c>
      <c r="Z467" s="76"/>
    </row>
    <row r="468" spans="1:26" s="29" customFormat="1" ht="27.75" customHeight="1" x14ac:dyDescent="0.2">
      <c r="A468" s="30"/>
      <c r="L468" s="46"/>
      <c r="N468" s="71"/>
      <c r="O468" s="72" t="s">
        <v>52</v>
      </c>
      <c r="P468" s="72"/>
      <c r="Q468" s="72"/>
      <c r="R468" s="72">
        <v>0</v>
      </c>
      <c r="S468" s="63"/>
      <c r="T468" s="72" t="s">
        <v>52</v>
      </c>
      <c r="U468" s="102" t="str">
        <f>IF($J$1="October",Y467,"")</f>
        <v/>
      </c>
      <c r="V468" s="74"/>
      <c r="W468" s="102" t="str">
        <f t="shared" si="118"/>
        <v/>
      </c>
      <c r="X468" s="74"/>
      <c r="Y468" s="102" t="str">
        <f t="shared" si="119"/>
        <v/>
      </c>
      <c r="Z468" s="76"/>
    </row>
    <row r="469" spans="1:26" s="29" customFormat="1" ht="27.75" customHeight="1" x14ac:dyDescent="0.35">
      <c r="A469" s="30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46"/>
      <c r="N469" s="71"/>
      <c r="O469" s="72" t="s">
        <v>57</v>
      </c>
      <c r="P469" s="72"/>
      <c r="Q469" s="72"/>
      <c r="R469" s="72" t="str">
        <f t="shared" ref="R469:R470" si="120">IF(Q469="","",R468-Q469)</f>
        <v/>
      </c>
      <c r="S469" s="63"/>
      <c r="T469" s="72" t="s">
        <v>57</v>
      </c>
      <c r="U469" s="102" t="str">
        <f>IF($J$1="October","",Y468)</f>
        <v/>
      </c>
      <c r="V469" s="74"/>
      <c r="W469" s="102" t="str">
        <f t="shared" si="118"/>
        <v/>
      </c>
      <c r="X469" s="74"/>
      <c r="Y469" s="102" t="str">
        <f t="shared" si="119"/>
        <v/>
      </c>
      <c r="Z469" s="76"/>
    </row>
    <row r="470" spans="1:26" s="29" customFormat="1" ht="27.75" customHeight="1" thickBot="1" x14ac:dyDescent="0.4">
      <c r="A470" s="59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61"/>
      <c r="N470" s="71"/>
      <c r="O470" s="72" t="s">
        <v>58</v>
      </c>
      <c r="P470" s="72"/>
      <c r="Q470" s="72"/>
      <c r="R470" s="72" t="str">
        <f t="shared" si="120"/>
        <v/>
      </c>
      <c r="S470" s="63"/>
      <c r="T470" s="72" t="s">
        <v>58</v>
      </c>
      <c r="U470" s="102" t="str">
        <f>IF($J$1="November","",Y469)</f>
        <v/>
      </c>
      <c r="V470" s="74"/>
      <c r="W470" s="102" t="str">
        <f t="shared" si="118"/>
        <v/>
      </c>
      <c r="X470" s="74"/>
      <c r="Y470" s="102" t="str">
        <f t="shared" si="119"/>
        <v/>
      </c>
      <c r="Z470" s="76"/>
    </row>
    <row r="471" spans="1:26" s="94" customFormat="1" ht="27.75" customHeight="1" thickBot="1" x14ac:dyDescent="0.25"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s="29" customFormat="1" ht="27.75" customHeight="1" thickBot="1" x14ac:dyDescent="0.25">
      <c r="A472" s="389" t="s">
        <v>40</v>
      </c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1"/>
      <c r="M472" s="28"/>
      <c r="N472" s="64"/>
      <c r="O472" s="377" t="s">
        <v>42</v>
      </c>
      <c r="P472" s="378"/>
      <c r="Q472" s="378"/>
      <c r="R472" s="379"/>
      <c r="S472" s="65"/>
      <c r="T472" s="377" t="s">
        <v>43</v>
      </c>
      <c r="U472" s="378"/>
      <c r="V472" s="378"/>
      <c r="W472" s="378"/>
      <c r="X472" s="378"/>
      <c r="Y472" s="379"/>
      <c r="Z472" s="66"/>
    </row>
    <row r="473" spans="1:26" s="29" customFormat="1" ht="27.75" customHeight="1" x14ac:dyDescent="0.2">
      <c r="A473" s="30"/>
      <c r="C473" s="386" t="s">
        <v>83</v>
      </c>
      <c r="D473" s="386"/>
      <c r="E473" s="386"/>
      <c r="F473" s="386"/>
      <c r="G473" s="31" t="str">
        <f>$J$1</f>
        <v>August</v>
      </c>
      <c r="H473" s="385">
        <f>$K$1</f>
        <v>2023</v>
      </c>
      <c r="I473" s="385"/>
      <c r="K473" s="32"/>
      <c r="L473" s="33"/>
      <c r="M473" s="32"/>
      <c r="N473" s="67"/>
      <c r="O473" s="68" t="s">
        <v>53</v>
      </c>
      <c r="P473" s="68" t="s">
        <v>7</v>
      </c>
      <c r="Q473" s="68" t="s">
        <v>6</v>
      </c>
      <c r="R473" s="68" t="s">
        <v>54</v>
      </c>
      <c r="S473" s="69"/>
      <c r="T473" s="68" t="s">
        <v>53</v>
      </c>
      <c r="U473" s="68" t="s">
        <v>55</v>
      </c>
      <c r="V473" s="68" t="s">
        <v>20</v>
      </c>
      <c r="W473" s="68" t="s">
        <v>19</v>
      </c>
      <c r="X473" s="68" t="s">
        <v>21</v>
      </c>
      <c r="Y473" s="68" t="s">
        <v>59</v>
      </c>
      <c r="Z473" s="70"/>
    </row>
    <row r="474" spans="1:26" s="29" customFormat="1" ht="27.75" customHeight="1" x14ac:dyDescent="0.2">
      <c r="A474" s="30"/>
      <c r="D474" s="35"/>
      <c r="E474" s="35"/>
      <c r="F474" s="35"/>
      <c r="G474" s="35"/>
      <c r="H474" s="35"/>
      <c r="J474" s="36" t="s">
        <v>1</v>
      </c>
      <c r="K474" s="37">
        <f>20000+2500+2000</f>
        <v>24500</v>
      </c>
      <c r="L474" s="38"/>
      <c r="N474" s="71"/>
      <c r="O474" s="72" t="s">
        <v>45</v>
      </c>
      <c r="P474" s="72">
        <v>31</v>
      </c>
      <c r="Q474" s="72">
        <v>0</v>
      </c>
      <c r="R474" s="72">
        <v>0</v>
      </c>
      <c r="S474" s="73"/>
      <c r="T474" s="72" t="s">
        <v>45</v>
      </c>
      <c r="U474" s="74"/>
      <c r="V474" s="74"/>
      <c r="W474" s="74">
        <f>V474+U474</f>
        <v>0</v>
      </c>
      <c r="X474" s="74"/>
      <c r="Y474" s="74">
        <f>W474-X474</f>
        <v>0</v>
      </c>
      <c r="Z474" s="70"/>
    </row>
    <row r="475" spans="1:26" s="29" customFormat="1" ht="27.75" customHeight="1" x14ac:dyDescent="0.2">
      <c r="A475" s="30"/>
      <c r="B475" s="29" t="s">
        <v>0</v>
      </c>
      <c r="C475" s="40" t="s">
        <v>160</v>
      </c>
      <c r="H475" s="41"/>
      <c r="I475" s="35"/>
      <c r="L475" s="42"/>
      <c r="M475" s="28"/>
      <c r="N475" s="75"/>
      <c r="O475" s="72" t="s">
        <v>71</v>
      </c>
      <c r="P475" s="72">
        <v>26</v>
      </c>
      <c r="Q475" s="72">
        <v>2</v>
      </c>
      <c r="R475" s="72">
        <v>0</v>
      </c>
      <c r="S475" s="63"/>
      <c r="T475" s="72" t="s">
        <v>71</v>
      </c>
      <c r="U475" s="102">
        <f>IF($J$1="January","",Y474)</f>
        <v>0</v>
      </c>
      <c r="V475" s="74"/>
      <c r="W475" s="102">
        <f>IF(U475="","",U475+V475)</f>
        <v>0</v>
      </c>
      <c r="X475" s="74"/>
      <c r="Y475" s="102">
        <f>IF(W475="","",W475-X475)</f>
        <v>0</v>
      </c>
      <c r="Z475" s="76"/>
    </row>
    <row r="476" spans="1:26" s="29" customFormat="1" ht="27.75" customHeight="1" x14ac:dyDescent="0.2">
      <c r="A476" s="30"/>
      <c r="B476" s="44"/>
      <c r="C476" s="45"/>
      <c r="F476" s="382" t="s">
        <v>43</v>
      </c>
      <c r="G476" s="384"/>
      <c r="I476" s="382" t="s">
        <v>44</v>
      </c>
      <c r="J476" s="383"/>
      <c r="K476" s="384"/>
      <c r="L476" s="46"/>
      <c r="N476" s="71"/>
      <c r="O476" s="72" t="s">
        <v>46</v>
      </c>
      <c r="P476" s="72">
        <v>31</v>
      </c>
      <c r="Q476" s="72">
        <v>0</v>
      </c>
      <c r="R476" s="72">
        <v>0</v>
      </c>
      <c r="S476" s="63"/>
      <c r="T476" s="72" t="s">
        <v>46</v>
      </c>
      <c r="U476" s="102">
        <f>IF($J$1="February","",Y475)</f>
        <v>0</v>
      </c>
      <c r="V476" s="74"/>
      <c r="W476" s="102">
        <f t="shared" ref="W476:W485" si="121">IF(U476="","",U476+V476)</f>
        <v>0</v>
      </c>
      <c r="X476" s="74"/>
      <c r="Y476" s="102">
        <f t="shared" ref="Y476:Y485" si="122">IF(W476="","",W476-X476)</f>
        <v>0</v>
      </c>
      <c r="Z476" s="76"/>
    </row>
    <row r="477" spans="1:26" s="29" customFormat="1" ht="27.75" customHeight="1" x14ac:dyDescent="0.2">
      <c r="A477" s="30"/>
      <c r="H477" s="47"/>
      <c r="L477" s="34"/>
      <c r="N477" s="71"/>
      <c r="O477" s="72" t="s">
        <v>47</v>
      </c>
      <c r="P477" s="72">
        <v>30</v>
      </c>
      <c r="Q477" s="72">
        <v>0</v>
      </c>
      <c r="R477" s="72">
        <v>0</v>
      </c>
      <c r="S477" s="63"/>
      <c r="T477" s="72" t="s">
        <v>47</v>
      </c>
      <c r="U477" s="102">
        <f>IF($J$1="March","",Y476)</f>
        <v>0</v>
      </c>
      <c r="V477" s="74"/>
      <c r="W477" s="102">
        <f t="shared" si="121"/>
        <v>0</v>
      </c>
      <c r="X477" s="74"/>
      <c r="Y477" s="102">
        <f t="shared" si="122"/>
        <v>0</v>
      </c>
      <c r="Z477" s="76"/>
    </row>
    <row r="478" spans="1:26" s="29" customFormat="1" ht="27.75" customHeight="1" x14ac:dyDescent="0.2">
      <c r="A478" s="30"/>
      <c r="B478" s="380" t="s">
        <v>42</v>
      </c>
      <c r="C478" s="381"/>
      <c r="F478" s="48" t="s">
        <v>64</v>
      </c>
      <c r="G478" s="43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47"/>
      <c r="I478" s="49">
        <f>IF(C482&gt;0,$K$2,C480)</f>
        <v>31</v>
      </c>
      <c r="J478" s="50" t="s">
        <v>61</v>
      </c>
      <c r="K478" s="51">
        <f>K474/$K$2*I478</f>
        <v>24500</v>
      </c>
      <c r="L478" s="52"/>
      <c r="N478" s="71"/>
      <c r="O478" s="72" t="s">
        <v>48</v>
      </c>
      <c r="P478" s="72">
        <v>31</v>
      </c>
      <c r="Q478" s="72">
        <v>0</v>
      </c>
      <c r="R478" s="72">
        <v>0</v>
      </c>
      <c r="S478" s="63"/>
      <c r="T478" s="72" t="s">
        <v>48</v>
      </c>
      <c r="U478" s="102">
        <f>IF($J$1="April","",Y477)</f>
        <v>0</v>
      </c>
      <c r="V478" s="74"/>
      <c r="W478" s="102">
        <f t="shared" si="121"/>
        <v>0</v>
      </c>
      <c r="X478" s="74"/>
      <c r="Y478" s="102">
        <f t="shared" si="122"/>
        <v>0</v>
      </c>
      <c r="Z478" s="76"/>
    </row>
    <row r="479" spans="1:26" s="29" customFormat="1" ht="27.75" customHeight="1" x14ac:dyDescent="0.2">
      <c r="A479" s="30"/>
      <c r="B479" s="39"/>
      <c r="C479" s="39"/>
      <c r="F479" s="48" t="s">
        <v>20</v>
      </c>
      <c r="G479" s="43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47"/>
      <c r="I479" s="49">
        <v>64</v>
      </c>
      <c r="J479" s="50" t="s">
        <v>62</v>
      </c>
      <c r="K479" s="53">
        <f>K474/$K$2/8*I479</f>
        <v>6322.5806451612907</v>
      </c>
      <c r="L479" s="54"/>
      <c r="N479" s="71"/>
      <c r="O479" s="72" t="s">
        <v>49</v>
      </c>
      <c r="P479" s="72">
        <v>30</v>
      </c>
      <c r="Q479" s="72">
        <v>0</v>
      </c>
      <c r="R479" s="72">
        <v>0</v>
      </c>
      <c r="S479" s="63"/>
      <c r="T479" s="72" t="s">
        <v>49</v>
      </c>
      <c r="U479" s="102">
        <f>IF($J$1="May","",Y478)</f>
        <v>0</v>
      </c>
      <c r="V479" s="74"/>
      <c r="W479" s="102">
        <f t="shared" si="121"/>
        <v>0</v>
      </c>
      <c r="X479" s="74"/>
      <c r="Y479" s="102">
        <f t="shared" si="122"/>
        <v>0</v>
      </c>
      <c r="Z479" s="76"/>
    </row>
    <row r="480" spans="1:26" s="29" customFormat="1" ht="27.75" customHeight="1" x14ac:dyDescent="0.2">
      <c r="A480" s="30"/>
      <c r="B480" s="48" t="s">
        <v>7</v>
      </c>
      <c r="C480" s="39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F480" s="48" t="s">
        <v>65</v>
      </c>
      <c r="G480" s="43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47"/>
      <c r="I480" s="387" t="s">
        <v>69</v>
      </c>
      <c r="J480" s="388"/>
      <c r="K480" s="53">
        <f>K478+K479</f>
        <v>30822.580645161292</v>
      </c>
      <c r="L480" s="54"/>
      <c r="N480" s="71"/>
      <c r="O480" s="72" t="s">
        <v>50</v>
      </c>
      <c r="P480" s="72">
        <v>31</v>
      </c>
      <c r="Q480" s="72">
        <v>0</v>
      </c>
      <c r="R480" s="72">
        <v>0</v>
      </c>
      <c r="S480" s="63"/>
      <c r="T480" s="72" t="s">
        <v>50</v>
      </c>
      <c r="U480" s="102">
        <f>IF($J$1="June","",Y479)</f>
        <v>0</v>
      </c>
      <c r="V480" s="74"/>
      <c r="W480" s="102">
        <f t="shared" si="121"/>
        <v>0</v>
      </c>
      <c r="X480" s="74"/>
      <c r="Y480" s="102">
        <f t="shared" si="122"/>
        <v>0</v>
      </c>
      <c r="Z480" s="76"/>
    </row>
    <row r="481" spans="1:27" s="29" customFormat="1" ht="27.75" customHeight="1" x14ac:dyDescent="0.2">
      <c r="A481" s="30"/>
      <c r="B481" s="48" t="s">
        <v>6</v>
      </c>
      <c r="C481" s="39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F481" s="48" t="s">
        <v>21</v>
      </c>
      <c r="G481" s="43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47"/>
      <c r="I481" s="387" t="s">
        <v>70</v>
      </c>
      <c r="J481" s="388"/>
      <c r="K481" s="43">
        <f>G481</f>
        <v>0</v>
      </c>
      <c r="L481" s="55"/>
      <c r="N481" s="71"/>
      <c r="O481" s="72" t="s">
        <v>51</v>
      </c>
      <c r="P481" s="72">
        <v>31</v>
      </c>
      <c r="Q481" s="72">
        <v>0</v>
      </c>
      <c r="R481" s="72">
        <v>0</v>
      </c>
      <c r="S481" s="63"/>
      <c r="T481" s="72" t="s">
        <v>51</v>
      </c>
      <c r="U481" s="102">
        <f>IF($J$1="July","",Y480)</f>
        <v>0</v>
      </c>
      <c r="V481" s="74"/>
      <c r="W481" s="102">
        <f t="shared" si="121"/>
        <v>0</v>
      </c>
      <c r="X481" s="74"/>
      <c r="Y481" s="102">
        <f t="shared" si="122"/>
        <v>0</v>
      </c>
      <c r="Z481" s="76"/>
    </row>
    <row r="482" spans="1:27" s="29" customFormat="1" ht="27.75" customHeight="1" x14ac:dyDescent="0.2">
      <c r="A482" s="30"/>
      <c r="B482" s="318" t="s">
        <v>68</v>
      </c>
      <c r="C482" s="39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F482" s="318" t="s">
        <v>210</v>
      </c>
      <c r="G482" s="43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I482" s="382" t="s">
        <v>63</v>
      </c>
      <c r="J482" s="384"/>
      <c r="K482" s="57">
        <f>K480-K481</f>
        <v>30822.580645161292</v>
      </c>
      <c r="L482" s="58"/>
      <c r="N482" s="71"/>
      <c r="O482" s="72" t="s">
        <v>56</v>
      </c>
      <c r="P482" s="72"/>
      <c r="Q482" s="72"/>
      <c r="R482" s="72">
        <v>0</v>
      </c>
      <c r="S482" s="63"/>
      <c r="T482" s="72" t="s">
        <v>56</v>
      </c>
      <c r="U482" s="102" t="str">
        <f>IF($J$1="September",Y481,"")</f>
        <v/>
      </c>
      <c r="V482" s="74"/>
      <c r="W482" s="102" t="str">
        <f t="shared" si="121"/>
        <v/>
      </c>
      <c r="X482" s="74"/>
      <c r="Y482" s="102" t="str">
        <f t="shared" si="122"/>
        <v/>
      </c>
      <c r="Z482" s="76"/>
    </row>
    <row r="483" spans="1:27" s="29" customFormat="1" ht="27.75" customHeight="1" x14ac:dyDescent="0.2">
      <c r="A483" s="30"/>
      <c r="L483" s="46"/>
      <c r="N483" s="71"/>
      <c r="O483" s="72" t="s">
        <v>52</v>
      </c>
      <c r="P483" s="72"/>
      <c r="Q483" s="72"/>
      <c r="R483" s="72">
        <v>0</v>
      </c>
      <c r="S483" s="63"/>
      <c r="T483" s="72" t="s">
        <v>52</v>
      </c>
      <c r="U483" s="102" t="str">
        <f>IF($J$1="October",Y482,"")</f>
        <v/>
      </c>
      <c r="V483" s="74"/>
      <c r="W483" s="102" t="str">
        <f t="shared" si="121"/>
        <v/>
      </c>
      <c r="X483" s="74"/>
      <c r="Y483" s="102" t="str">
        <f t="shared" si="122"/>
        <v/>
      </c>
      <c r="Z483" s="76"/>
    </row>
    <row r="484" spans="1:27" s="29" customFormat="1" ht="27.75" customHeight="1" x14ac:dyDescent="0.35">
      <c r="A484" s="30"/>
      <c r="B484" s="319"/>
      <c r="C484" s="319"/>
      <c r="D484" s="319"/>
      <c r="E484" s="319"/>
      <c r="F484" s="319"/>
      <c r="G484" s="319"/>
      <c r="H484" s="319"/>
      <c r="I484" s="319"/>
      <c r="J484" s="319"/>
      <c r="K484" s="319"/>
      <c r="L484" s="46"/>
      <c r="N484" s="71"/>
      <c r="O484" s="72" t="s">
        <v>57</v>
      </c>
      <c r="P484" s="72"/>
      <c r="Q484" s="72"/>
      <c r="R484" s="72"/>
      <c r="S484" s="63"/>
      <c r="T484" s="72" t="s">
        <v>57</v>
      </c>
      <c r="U484" s="102" t="str">
        <f>IF($J$1="October","",Y483)</f>
        <v/>
      </c>
      <c r="V484" s="74"/>
      <c r="W484" s="102" t="str">
        <f t="shared" si="121"/>
        <v/>
      </c>
      <c r="X484" s="74"/>
      <c r="Y484" s="102" t="str">
        <f t="shared" si="122"/>
        <v/>
      </c>
      <c r="Z484" s="76"/>
    </row>
    <row r="485" spans="1:27" s="29" customFormat="1" ht="27.75" customHeight="1" thickBot="1" x14ac:dyDescent="0.4">
      <c r="A485" s="59"/>
      <c r="B485" s="320"/>
      <c r="C485" s="320"/>
      <c r="D485" s="320"/>
      <c r="E485" s="320"/>
      <c r="F485" s="320"/>
      <c r="G485" s="320"/>
      <c r="H485" s="320"/>
      <c r="I485" s="320"/>
      <c r="J485" s="320"/>
      <c r="K485" s="320"/>
      <c r="L485" s="61"/>
      <c r="N485" s="71"/>
      <c r="O485" s="72" t="s">
        <v>58</v>
      </c>
      <c r="P485" s="72"/>
      <c r="Q485" s="72"/>
      <c r="R485" s="72"/>
      <c r="S485" s="63"/>
      <c r="T485" s="72" t="s">
        <v>58</v>
      </c>
      <c r="U485" s="102" t="str">
        <f>IF($J$1="November","",Y484)</f>
        <v/>
      </c>
      <c r="V485" s="74"/>
      <c r="W485" s="102" t="str">
        <f t="shared" si="121"/>
        <v/>
      </c>
      <c r="X485" s="74"/>
      <c r="Y485" s="102" t="str">
        <f t="shared" si="122"/>
        <v/>
      </c>
      <c r="Z485" s="76"/>
    </row>
    <row r="486" spans="1:27" s="94" customFormat="1" ht="27.75" customHeight="1" thickBot="1" x14ac:dyDescent="0.25"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7" s="29" customFormat="1" ht="27.75" customHeight="1" thickBot="1" x14ac:dyDescent="0.25">
      <c r="A487" s="389" t="s">
        <v>40</v>
      </c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1"/>
      <c r="M487" s="28"/>
      <c r="N487" s="64"/>
      <c r="O487" s="377" t="s">
        <v>42</v>
      </c>
      <c r="P487" s="378"/>
      <c r="Q487" s="378"/>
      <c r="R487" s="379"/>
      <c r="S487" s="65"/>
      <c r="T487" s="377" t="s">
        <v>43</v>
      </c>
      <c r="U487" s="378"/>
      <c r="V487" s="378"/>
      <c r="W487" s="378"/>
      <c r="X487" s="378"/>
      <c r="Y487" s="379"/>
      <c r="Z487" s="66"/>
      <c r="AA487" s="28"/>
    </row>
    <row r="488" spans="1:27" s="29" customFormat="1" ht="27.75" customHeight="1" x14ac:dyDescent="0.2">
      <c r="A488" s="30"/>
      <c r="C488" s="386" t="s">
        <v>83</v>
      </c>
      <c r="D488" s="386"/>
      <c r="E488" s="386"/>
      <c r="F488" s="386"/>
      <c r="G488" s="31" t="str">
        <f>$J$1</f>
        <v>August</v>
      </c>
      <c r="H488" s="385">
        <f>$K$1</f>
        <v>2023</v>
      </c>
      <c r="I488" s="385"/>
      <c r="K488" s="32"/>
      <c r="L488" s="33"/>
      <c r="M488" s="32"/>
      <c r="N488" s="67"/>
      <c r="O488" s="68" t="s">
        <v>53</v>
      </c>
      <c r="P488" s="68" t="s">
        <v>7</v>
      </c>
      <c r="Q488" s="68" t="s">
        <v>6</v>
      </c>
      <c r="R488" s="68" t="s">
        <v>54</v>
      </c>
      <c r="S488" s="69"/>
      <c r="T488" s="68" t="s">
        <v>53</v>
      </c>
      <c r="U488" s="68" t="s">
        <v>55</v>
      </c>
      <c r="V488" s="68" t="s">
        <v>20</v>
      </c>
      <c r="W488" s="68" t="s">
        <v>19</v>
      </c>
      <c r="X488" s="68" t="s">
        <v>21</v>
      </c>
      <c r="Y488" s="68" t="s">
        <v>59</v>
      </c>
      <c r="Z488" s="70"/>
      <c r="AA488" s="32"/>
    </row>
    <row r="489" spans="1:27" s="29" customFormat="1" ht="27.75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30000</v>
      </c>
      <c r="L489" s="38"/>
      <c r="N489" s="71"/>
      <c r="O489" s="72" t="s">
        <v>45</v>
      </c>
      <c r="P489" s="72"/>
      <c r="Q489" s="72"/>
      <c r="R489" s="72"/>
      <c r="S489" s="73"/>
      <c r="T489" s="72" t="s">
        <v>45</v>
      </c>
      <c r="U489" s="74"/>
      <c r="V489" s="74"/>
      <c r="W489" s="74">
        <f>V489+U489</f>
        <v>0</v>
      </c>
      <c r="X489" s="74"/>
      <c r="Y489" s="74">
        <f>W489-X489</f>
        <v>0</v>
      </c>
      <c r="Z489" s="70"/>
    </row>
    <row r="490" spans="1:27" s="29" customFormat="1" ht="27.75" customHeight="1" x14ac:dyDescent="0.2">
      <c r="A490" s="30"/>
      <c r="B490" s="29" t="s">
        <v>0</v>
      </c>
      <c r="C490" s="40" t="s">
        <v>205</v>
      </c>
      <c r="H490" s="41"/>
      <c r="I490" s="35"/>
      <c r="L490" s="42"/>
      <c r="M490" s="28"/>
      <c r="N490" s="75"/>
      <c r="O490" s="72" t="s">
        <v>71</v>
      </c>
      <c r="P490" s="72"/>
      <c r="Q490" s="72"/>
      <c r="R490" s="72" t="str">
        <f t="shared" ref="R490:R500" si="123">IF(Q490="","",R489-Q490)</f>
        <v/>
      </c>
      <c r="S490" s="63"/>
      <c r="T490" s="72" t="s">
        <v>71</v>
      </c>
      <c r="U490" s="102"/>
      <c r="V490" s="74"/>
      <c r="W490" s="102" t="str">
        <f>IF(U490="","",U490+V490)</f>
        <v/>
      </c>
      <c r="X490" s="74"/>
      <c r="Y490" s="102" t="str">
        <f>IF(W490="","",W490-X490)</f>
        <v/>
      </c>
      <c r="Z490" s="76"/>
      <c r="AA490" s="28"/>
    </row>
    <row r="491" spans="1:27" s="29" customFormat="1" ht="27.75" customHeight="1" x14ac:dyDescent="0.2">
      <c r="A491" s="30"/>
      <c r="B491" s="44" t="s">
        <v>41</v>
      </c>
      <c r="C491" s="45"/>
      <c r="F491" s="382" t="s">
        <v>43</v>
      </c>
      <c r="G491" s="384"/>
      <c r="I491" s="382" t="s">
        <v>44</v>
      </c>
      <c r="J491" s="383"/>
      <c r="K491" s="384"/>
      <c r="L491" s="46"/>
      <c r="N491" s="71"/>
      <c r="O491" s="72" t="s">
        <v>46</v>
      </c>
      <c r="P491" s="72">
        <f>31-9</f>
        <v>22</v>
      </c>
      <c r="Q491" s="72">
        <v>9</v>
      </c>
      <c r="R491" s="72">
        <v>0</v>
      </c>
      <c r="S491" s="63"/>
      <c r="T491" s="72" t="s">
        <v>46</v>
      </c>
      <c r="U491" s="102"/>
      <c r="V491" s="74"/>
      <c r="W491" s="102" t="str">
        <f t="shared" ref="W491:W500" si="124">IF(U491="","",U491+V491)</f>
        <v/>
      </c>
      <c r="X491" s="74"/>
      <c r="Y491" s="102" t="str">
        <f t="shared" ref="Y491:Y500" si="125">IF(W491="","",W491-X491)</f>
        <v/>
      </c>
      <c r="Z491" s="76"/>
    </row>
    <row r="492" spans="1:27" s="29" customFormat="1" ht="27.75" customHeight="1" x14ac:dyDescent="0.2">
      <c r="A492" s="30"/>
      <c r="H492" s="47"/>
      <c r="L492" s="34"/>
      <c r="N492" s="71"/>
      <c r="O492" s="72" t="s">
        <v>47</v>
      </c>
      <c r="P492" s="72">
        <v>30</v>
      </c>
      <c r="Q492" s="72">
        <v>0</v>
      </c>
      <c r="R492" s="72">
        <f t="shared" si="123"/>
        <v>0</v>
      </c>
      <c r="S492" s="63"/>
      <c r="T492" s="72" t="s">
        <v>47</v>
      </c>
      <c r="U492" s="102"/>
      <c r="V492" s="74"/>
      <c r="W492" s="102" t="str">
        <f t="shared" si="124"/>
        <v/>
      </c>
      <c r="X492" s="74"/>
      <c r="Y492" s="102" t="str">
        <f t="shared" si="125"/>
        <v/>
      </c>
      <c r="Z492" s="76"/>
    </row>
    <row r="493" spans="1:27" s="29" customFormat="1" ht="27.75" customHeight="1" x14ac:dyDescent="0.2">
      <c r="A493" s="30"/>
      <c r="B493" s="380" t="s">
        <v>42</v>
      </c>
      <c r="C493" s="381"/>
      <c r="F493" s="48" t="s">
        <v>64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7"/>
      <c r="I493" s="49">
        <f>IF(C497&gt;0,$K$2,C495)</f>
        <v>31</v>
      </c>
      <c r="J493" s="50" t="s">
        <v>61</v>
      </c>
      <c r="K493" s="51">
        <f>K489/$K$2*I493</f>
        <v>30000</v>
      </c>
      <c r="L493" s="52"/>
      <c r="N493" s="71"/>
      <c r="O493" s="72" t="s">
        <v>48</v>
      </c>
      <c r="P493" s="72">
        <v>31</v>
      </c>
      <c r="Q493" s="72">
        <v>0</v>
      </c>
      <c r="R493" s="72">
        <f t="shared" si="123"/>
        <v>0</v>
      </c>
      <c r="S493" s="63"/>
      <c r="T493" s="72" t="s">
        <v>48</v>
      </c>
      <c r="U493" s="102"/>
      <c r="V493" s="74"/>
      <c r="W493" s="102" t="str">
        <f t="shared" si="124"/>
        <v/>
      </c>
      <c r="X493" s="74"/>
      <c r="Y493" s="102" t="str">
        <f t="shared" si="125"/>
        <v/>
      </c>
      <c r="Z493" s="76"/>
    </row>
    <row r="494" spans="1:27" s="29" customFormat="1" ht="27.75" customHeight="1" x14ac:dyDescent="0.2">
      <c r="A494" s="30"/>
      <c r="B494" s="39"/>
      <c r="C494" s="39"/>
      <c r="F494" s="48" t="s">
        <v>20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49">
        <v>0</v>
      </c>
      <c r="J494" s="50" t="s">
        <v>62</v>
      </c>
      <c r="K494" s="53">
        <f>K489/$K$2/8*I494</f>
        <v>0</v>
      </c>
      <c r="L494" s="54"/>
      <c r="N494" s="71"/>
      <c r="O494" s="72" t="s">
        <v>49</v>
      </c>
      <c r="P494" s="72">
        <v>30</v>
      </c>
      <c r="Q494" s="72">
        <v>0</v>
      </c>
      <c r="R494" s="72">
        <f t="shared" si="123"/>
        <v>0</v>
      </c>
      <c r="S494" s="63"/>
      <c r="T494" s="72" t="s">
        <v>49</v>
      </c>
      <c r="U494" s="102"/>
      <c r="V494" s="74"/>
      <c r="W494" s="102" t="str">
        <f t="shared" si="124"/>
        <v/>
      </c>
      <c r="X494" s="74"/>
      <c r="Y494" s="102" t="str">
        <f t="shared" si="125"/>
        <v/>
      </c>
      <c r="Z494" s="76"/>
    </row>
    <row r="495" spans="1:27" s="29" customFormat="1" ht="27.75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F495" s="48" t="s">
        <v>65</v>
      </c>
      <c r="G495" s="43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47"/>
      <c r="I495" s="387" t="s">
        <v>69</v>
      </c>
      <c r="J495" s="388"/>
      <c r="K495" s="53">
        <f>K493+K494</f>
        <v>30000</v>
      </c>
      <c r="L495" s="54"/>
      <c r="N495" s="71"/>
      <c r="O495" s="72" t="s">
        <v>50</v>
      </c>
      <c r="P495" s="72">
        <v>31</v>
      </c>
      <c r="Q495" s="72">
        <v>0</v>
      </c>
      <c r="R495" s="72">
        <f t="shared" si="123"/>
        <v>0</v>
      </c>
      <c r="S495" s="63"/>
      <c r="T495" s="72" t="s">
        <v>50</v>
      </c>
      <c r="U495" s="102"/>
      <c r="V495" s="74"/>
      <c r="W495" s="102" t="str">
        <f t="shared" si="124"/>
        <v/>
      </c>
      <c r="X495" s="74"/>
      <c r="Y495" s="102" t="str">
        <f t="shared" si="125"/>
        <v/>
      </c>
      <c r="Z495" s="76"/>
    </row>
    <row r="496" spans="1:27" s="29" customFormat="1" ht="27.75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21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7"/>
      <c r="I496" s="387" t="s">
        <v>70</v>
      </c>
      <c r="J496" s="388"/>
      <c r="K496" s="43">
        <f>G496</f>
        <v>0</v>
      </c>
      <c r="L496" s="55"/>
      <c r="N496" s="71"/>
      <c r="O496" s="72" t="s">
        <v>51</v>
      </c>
      <c r="P496" s="72">
        <v>31</v>
      </c>
      <c r="Q496" s="72">
        <v>0</v>
      </c>
      <c r="R496" s="72">
        <f t="shared" si="123"/>
        <v>0</v>
      </c>
      <c r="S496" s="63"/>
      <c r="T496" s="72" t="s">
        <v>51</v>
      </c>
      <c r="U496" s="102">
        <v>0</v>
      </c>
      <c r="V496" s="74"/>
      <c r="W496" s="102">
        <f t="shared" si="124"/>
        <v>0</v>
      </c>
      <c r="X496" s="74"/>
      <c r="Y496" s="102">
        <f t="shared" si="125"/>
        <v>0</v>
      </c>
      <c r="Z496" s="76"/>
    </row>
    <row r="497" spans="1:26" s="29" customFormat="1" ht="27.75" customHeight="1" x14ac:dyDescent="0.2">
      <c r="A497" s="30"/>
      <c r="B497" s="318" t="s">
        <v>68</v>
      </c>
      <c r="C497" s="39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F497" s="318" t="s">
        <v>210</v>
      </c>
      <c r="G497" s="43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I497" s="382" t="s">
        <v>63</v>
      </c>
      <c r="J497" s="384"/>
      <c r="K497" s="57">
        <f>K495-K496</f>
        <v>30000</v>
      </c>
      <c r="L497" s="58"/>
      <c r="N497" s="71"/>
      <c r="O497" s="72" t="s">
        <v>56</v>
      </c>
      <c r="P497" s="72"/>
      <c r="Q497" s="72"/>
      <c r="R497" s="72">
        <v>0</v>
      </c>
      <c r="S497" s="63"/>
      <c r="T497" s="72" t="s">
        <v>56</v>
      </c>
      <c r="U497" s="102" t="str">
        <f>IF($J$1="September",Y496,"")</f>
        <v/>
      </c>
      <c r="V497" s="74"/>
      <c r="W497" s="102" t="str">
        <f t="shared" si="124"/>
        <v/>
      </c>
      <c r="X497" s="74"/>
      <c r="Y497" s="102" t="str">
        <f t="shared" si="125"/>
        <v/>
      </c>
      <c r="Z497" s="76"/>
    </row>
    <row r="498" spans="1:26" s="29" customFormat="1" ht="27.75" customHeight="1" x14ac:dyDescent="0.2">
      <c r="A498" s="30"/>
      <c r="L498" s="46"/>
      <c r="N498" s="71"/>
      <c r="O498" s="72" t="s">
        <v>52</v>
      </c>
      <c r="P498" s="72"/>
      <c r="Q498" s="72"/>
      <c r="R498" s="72">
        <v>0</v>
      </c>
      <c r="S498" s="63"/>
      <c r="T498" s="72" t="s">
        <v>52</v>
      </c>
      <c r="U498" s="102" t="str">
        <f>IF($J$1="October",Y497,"")</f>
        <v/>
      </c>
      <c r="V498" s="74"/>
      <c r="W498" s="102" t="str">
        <f t="shared" si="124"/>
        <v/>
      </c>
      <c r="X498" s="74"/>
      <c r="Y498" s="102" t="str">
        <f t="shared" si="125"/>
        <v/>
      </c>
      <c r="Z498" s="76"/>
    </row>
    <row r="499" spans="1:26" s="29" customFormat="1" ht="27.75" customHeight="1" x14ac:dyDescent="0.35">
      <c r="A499" s="30"/>
      <c r="B499" s="319"/>
      <c r="C499" s="319"/>
      <c r="D499" s="319"/>
      <c r="E499" s="319"/>
      <c r="F499" s="319"/>
      <c r="G499" s="319"/>
      <c r="H499" s="319"/>
      <c r="I499" s="319"/>
      <c r="J499" s="319"/>
      <c r="K499" s="319"/>
      <c r="L499" s="46"/>
      <c r="N499" s="71"/>
      <c r="O499" s="72" t="s">
        <v>57</v>
      </c>
      <c r="P499" s="72"/>
      <c r="Q499" s="72"/>
      <c r="R499" s="72" t="str">
        <f t="shared" si="123"/>
        <v/>
      </c>
      <c r="S499" s="63"/>
      <c r="T499" s="72" t="s">
        <v>57</v>
      </c>
      <c r="U499" s="102"/>
      <c r="V499" s="74"/>
      <c r="W499" s="102" t="str">
        <f t="shared" si="124"/>
        <v/>
      </c>
      <c r="X499" s="74"/>
      <c r="Y499" s="102" t="str">
        <f t="shared" si="125"/>
        <v/>
      </c>
      <c r="Z499" s="76"/>
    </row>
    <row r="500" spans="1:26" s="29" customFormat="1" ht="27.75" customHeight="1" thickBot="1" x14ac:dyDescent="0.4">
      <c r="A500" s="59"/>
      <c r="B500" s="320"/>
      <c r="C500" s="320"/>
      <c r="D500" s="320"/>
      <c r="E500" s="320"/>
      <c r="F500" s="320"/>
      <c r="G500" s="320"/>
      <c r="H500" s="320"/>
      <c r="I500" s="320"/>
      <c r="J500" s="320"/>
      <c r="K500" s="320"/>
      <c r="L500" s="61"/>
      <c r="N500" s="71"/>
      <c r="O500" s="72" t="s">
        <v>58</v>
      </c>
      <c r="P500" s="72"/>
      <c r="Q500" s="72"/>
      <c r="R500" s="72" t="str">
        <f t="shared" si="123"/>
        <v/>
      </c>
      <c r="S500" s="63"/>
      <c r="T500" s="72" t="s">
        <v>58</v>
      </c>
      <c r="U500" s="102"/>
      <c r="V500" s="74"/>
      <c r="W500" s="102" t="str">
        <f t="shared" si="124"/>
        <v/>
      </c>
      <c r="X500" s="74"/>
      <c r="Y500" s="102" t="str">
        <f t="shared" si="125"/>
        <v/>
      </c>
      <c r="Z500" s="76"/>
    </row>
    <row r="501" spans="1:26" s="94" customFormat="1" ht="27.75" customHeight="1" thickBot="1" x14ac:dyDescent="0.25"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s="29" customFormat="1" ht="27.75" customHeight="1" thickBot="1" x14ac:dyDescent="0.25">
      <c r="A502" s="389" t="s">
        <v>40</v>
      </c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1"/>
      <c r="M502" s="28"/>
      <c r="N502" s="64"/>
      <c r="O502" s="377" t="s">
        <v>42</v>
      </c>
      <c r="P502" s="378"/>
      <c r="Q502" s="378"/>
      <c r="R502" s="379"/>
      <c r="S502" s="65"/>
      <c r="T502" s="377" t="s">
        <v>43</v>
      </c>
      <c r="U502" s="378"/>
      <c r="V502" s="378"/>
      <c r="W502" s="378"/>
      <c r="X502" s="378"/>
      <c r="Y502" s="379"/>
      <c r="Z502" s="66"/>
    </row>
    <row r="503" spans="1:26" s="29" customFormat="1" ht="27.75" customHeight="1" x14ac:dyDescent="0.2">
      <c r="A503" s="30"/>
      <c r="C503" s="386" t="s">
        <v>83</v>
      </c>
      <c r="D503" s="386"/>
      <c r="E503" s="386"/>
      <c r="F503" s="386"/>
      <c r="G503" s="31" t="str">
        <f>$J$1</f>
        <v>August</v>
      </c>
      <c r="H503" s="385">
        <f>$K$1</f>
        <v>2023</v>
      </c>
      <c r="I503" s="385"/>
      <c r="K503" s="32"/>
      <c r="L503" s="33"/>
      <c r="M503" s="32"/>
      <c r="N503" s="67"/>
      <c r="O503" s="68" t="s">
        <v>53</v>
      </c>
      <c r="P503" s="68" t="s">
        <v>7</v>
      </c>
      <c r="Q503" s="68" t="s">
        <v>6</v>
      </c>
      <c r="R503" s="68" t="s">
        <v>54</v>
      </c>
      <c r="S503" s="69"/>
      <c r="T503" s="68" t="s">
        <v>53</v>
      </c>
      <c r="U503" s="68" t="s">
        <v>55</v>
      </c>
      <c r="V503" s="68" t="s">
        <v>20</v>
      </c>
      <c r="W503" s="68" t="s">
        <v>19</v>
      </c>
      <c r="X503" s="68" t="s">
        <v>21</v>
      </c>
      <c r="Y503" s="68" t="s">
        <v>59</v>
      </c>
      <c r="Z503" s="70"/>
    </row>
    <row r="504" spans="1:26" s="29" customFormat="1" ht="27.75" customHeight="1" x14ac:dyDescent="0.2">
      <c r="A504" s="30"/>
      <c r="D504" s="35"/>
      <c r="E504" s="35"/>
      <c r="F504" s="35"/>
      <c r="G504" s="35"/>
      <c r="H504" s="35"/>
      <c r="J504" s="36" t="s">
        <v>1</v>
      </c>
      <c r="K504" s="37">
        <f>25000+2500+2000</f>
        <v>29500</v>
      </c>
      <c r="L504" s="38"/>
      <c r="N504" s="71"/>
      <c r="O504" s="72" t="s">
        <v>45</v>
      </c>
      <c r="P504" s="72">
        <v>31</v>
      </c>
      <c r="Q504" s="72">
        <v>0</v>
      </c>
      <c r="R504" s="72">
        <v>0</v>
      </c>
      <c r="S504" s="73"/>
      <c r="T504" s="72" t="s">
        <v>45</v>
      </c>
      <c r="U504" s="74"/>
      <c r="V504" s="74"/>
      <c r="W504" s="74">
        <f>V504+U504</f>
        <v>0</v>
      </c>
      <c r="X504" s="74"/>
      <c r="Y504" s="74">
        <f>W504-X504</f>
        <v>0</v>
      </c>
      <c r="Z504" s="70"/>
    </row>
    <row r="505" spans="1:26" s="29" customFormat="1" ht="27.75" customHeight="1" x14ac:dyDescent="0.2">
      <c r="A505" s="30"/>
      <c r="B505" s="29" t="s">
        <v>0</v>
      </c>
      <c r="C505" s="40" t="s">
        <v>106</v>
      </c>
      <c r="H505" s="41"/>
      <c r="I505" s="35"/>
      <c r="L505" s="42"/>
      <c r="M505" s="28"/>
      <c r="N505" s="75"/>
      <c r="O505" s="72" t="s">
        <v>71</v>
      </c>
      <c r="P505" s="72">
        <v>28</v>
      </c>
      <c r="Q505" s="72">
        <v>0</v>
      </c>
      <c r="R505" s="72">
        <v>0</v>
      </c>
      <c r="S505" s="63"/>
      <c r="T505" s="72" t="s">
        <v>71</v>
      </c>
      <c r="U505" s="102">
        <f>IF($J$1="January","",Y504)</f>
        <v>0</v>
      </c>
      <c r="V505" s="74"/>
      <c r="W505" s="102">
        <f>IF(U505="","",U505+V505)</f>
        <v>0</v>
      </c>
      <c r="X505" s="74"/>
      <c r="Y505" s="102">
        <f>IF(W505="","",W505-X505)</f>
        <v>0</v>
      </c>
      <c r="Z505" s="76"/>
    </row>
    <row r="506" spans="1:26" s="29" customFormat="1" ht="27.75" customHeight="1" x14ac:dyDescent="0.2">
      <c r="A506" s="30"/>
      <c r="B506" s="44" t="s">
        <v>41</v>
      </c>
      <c r="C506" s="45"/>
      <c r="F506" s="382" t="s">
        <v>43</v>
      </c>
      <c r="G506" s="384"/>
      <c r="I506" s="382" t="s">
        <v>44</v>
      </c>
      <c r="J506" s="383"/>
      <c r="K506" s="384"/>
      <c r="L506" s="46"/>
      <c r="N506" s="71"/>
      <c r="O506" s="72" t="s">
        <v>46</v>
      </c>
      <c r="P506" s="72">
        <v>31</v>
      </c>
      <c r="Q506" s="72">
        <v>0</v>
      </c>
      <c r="R506" s="72">
        <v>0</v>
      </c>
      <c r="S506" s="63"/>
      <c r="T506" s="72" t="s">
        <v>46</v>
      </c>
      <c r="U506" s="102">
        <f>IF($J$1="February","",Y505)</f>
        <v>0</v>
      </c>
      <c r="V506" s="74"/>
      <c r="W506" s="102">
        <f t="shared" ref="W506:W515" si="126">IF(U506="","",U506+V506)</f>
        <v>0</v>
      </c>
      <c r="X506" s="74"/>
      <c r="Y506" s="102">
        <f t="shared" ref="Y506:Y515" si="127">IF(W506="","",W506-X506)</f>
        <v>0</v>
      </c>
      <c r="Z506" s="76"/>
    </row>
    <row r="507" spans="1:26" s="29" customFormat="1" ht="27.75" customHeight="1" x14ac:dyDescent="0.2">
      <c r="A507" s="30"/>
      <c r="H507" s="47"/>
      <c r="L507" s="34"/>
      <c r="N507" s="71"/>
      <c r="O507" s="72" t="s">
        <v>47</v>
      </c>
      <c r="P507" s="72">
        <v>30</v>
      </c>
      <c r="Q507" s="72">
        <v>0</v>
      </c>
      <c r="R507" s="72">
        <v>0</v>
      </c>
      <c r="S507" s="63"/>
      <c r="T507" s="72" t="s">
        <v>47</v>
      </c>
      <c r="U507" s="102">
        <f>IF($J$1="March","",Y506)</f>
        <v>0</v>
      </c>
      <c r="V507" s="74"/>
      <c r="W507" s="102">
        <f t="shared" si="126"/>
        <v>0</v>
      </c>
      <c r="X507" s="74"/>
      <c r="Y507" s="102">
        <f t="shared" si="127"/>
        <v>0</v>
      </c>
      <c r="Z507" s="76"/>
    </row>
    <row r="508" spans="1:26" s="29" customFormat="1" ht="27.75" customHeight="1" x14ac:dyDescent="0.2">
      <c r="A508" s="30"/>
      <c r="B508" s="380" t="s">
        <v>42</v>
      </c>
      <c r="C508" s="381"/>
      <c r="F508" s="48" t="s">
        <v>64</v>
      </c>
      <c r="G508" s="43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7"/>
      <c r="I508" s="49">
        <f>IF(C512&gt;0,$K$2,C510)</f>
        <v>31</v>
      </c>
      <c r="J508" s="50" t="s">
        <v>61</v>
      </c>
      <c r="K508" s="51">
        <f>K504/$K$2*I508</f>
        <v>29500</v>
      </c>
      <c r="L508" s="52"/>
      <c r="N508" s="71"/>
      <c r="O508" s="72" t="s">
        <v>48</v>
      </c>
      <c r="P508" s="72">
        <v>31</v>
      </c>
      <c r="Q508" s="72">
        <v>0</v>
      </c>
      <c r="R508" s="72">
        <v>0</v>
      </c>
      <c r="S508" s="63"/>
      <c r="T508" s="72" t="s">
        <v>48</v>
      </c>
      <c r="U508" s="102">
        <f>IF($J$1="April","",Y507)</f>
        <v>0</v>
      </c>
      <c r="V508" s="74"/>
      <c r="W508" s="102">
        <f t="shared" si="126"/>
        <v>0</v>
      </c>
      <c r="X508" s="74"/>
      <c r="Y508" s="102">
        <f t="shared" si="127"/>
        <v>0</v>
      </c>
      <c r="Z508" s="76"/>
    </row>
    <row r="509" spans="1:26" s="29" customFormat="1" ht="27.75" customHeight="1" x14ac:dyDescent="0.2">
      <c r="A509" s="30"/>
      <c r="B509" s="39"/>
      <c r="C509" s="39"/>
      <c r="F509" s="48" t="s">
        <v>20</v>
      </c>
      <c r="G509" s="43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7"/>
      <c r="I509" s="49">
        <v>35</v>
      </c>
      <c r="J509" s="50" t="s">
        <v>62</v>
      </c>
      <c r="K509" s="53">
        <f>K504/$K$2/8*I509</f>
        <v>4163.3064516129034</v>
      </c>
      <c r="L509" s="54"/>
      <c r="N509" s="71"/>
      <c r="O509" s="72" t="s">
        <v>49</v>
      </c>
      <c r="P509" s="72">
        <v>30</v>
      </c>
      <c r="Q509" s="72">
        <v>0</v>
      </c>
      <c r="R509" s="72">
        <v>0</v>
      </c>
      <c r="S509" s="63"/>
      <c r="T509" s="72" t="s">
        <v>49</v>
      </c>
      <c r="U509" s="102">
        <f>IF($J$1="May","",Y508)</f>
        <v>0</v>
      </c>
      <c r="V509" s="74"/>
      <c r="W509" s="102">
        <f t="shared" si="126"/>
        <v>0</v>
      </c>
      <c r="X509" s="74"/>
      <c r="Y509" s="102">
        <f t="shared" si="127"/>
        <v>0</v>
      </c>
      <c r="Z509" s="76"/>
    </row>
    <row r="510" spans="1:26" s="29" customFormat="1" ht="27.75" customHeight="1" x14ac:dyDescent="0.2">
      <c r="A510" s="30"/>
      <c r="B510" s="48" t="s">
        <v>7</v>
      </c>
      <c r="C510" s="39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F510" s="48" t="s">
        <v>65</v>
      </c>
      <c r="G510" s="43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47"/>
      <c r="I510" s="387" t="s">
        <v>69</v>
      </c>
      <c r="J510" s="388"/>
      <c r="K510" s="53">
        <f>K508+K509</f>
        <v>33663.306451612902</v>
      </c>
      <c r="L510" s="54"/>
      <c r="N510" s="71"/>
      <c r="O510" s="72" t="s">
        <v>50</v>
      </c>
      <c r="P510" s="72">
        <v>31</v>
      </c>
      <c r="Q510" s="72">
        <v>0</v>
      </c>
      <c r="R510" s="72">
        <v>0</v>
      </c>
      <c r="S510" s="63"/>
      <c r="T510" s="72" t="s">
        <v>50</v>
      </c>
      <c r="U510" s="102">
        <f>IF($J$1="June","",Y509)</f>
        <v>0</v>
      </c>
      <c r="V510" s="74"/>
      <c r="W510" s="102">
        <f t="shared" si="126"/>
        <v>0</v>
      </c>
      <c r="X510" s="74"/>
      <c r="Y510" s="102">
        <f t="shared" si="127"/>
        <v>0</v>
      </c>
      <c r="Z510" s="76"/>
    </row>
    <row r="511" spans="1:26" s="29" customFormat="1" ht="27.75" customHeight="1" x14ac:dyDescent="0.2">
      <c r="A511" s="30"/>
      <c r="B511" s="48" t="s">
        <v>6</v>
      </c>
      <c r="C511" s="39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F511" s="48" t="s">
        <v>21</v>
      </c>
      <c r="G511" s="43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7"/>
      <c r="I511" s="387" t="s">
        <v>70</v>
      </c>
      <c r="J511" s="388"/>
      <c r="K511" s="43">
        <f>G511</f>
        <v>0</v>
      </c>
      <c r="L511" s="55"/>
      <c r="N511" s="71"/>
      <c r="O511" s="72" t="s">
        <v>51</v>
      </c>
      <c r="P511" s="72">
        <v>31</v>
      </c>
      <c r="Q511" s="72">
        <v>0</v>
      </c>
      <c r="R511" s="72">
        <v>0</v>
      </c>
      <c r="S511" s="63"/>
      <c r="T511" s="72" t="s">
        <v>51</v>
      </c>
      <c r="U511" s="102">
        <f>IF($J$1="July","",Y510)</f>
        <v>0</v>
      </c>
      <c r="V511" s="74"/>
      <c r="W511" s="102">
        <f t="shared" si="126"/>
        <v>0</v>
      </c>
      <c r="X511" s="74"/>
      <c r="Y511" s="102">
        <f t="shared" si="127"/>
        <v>0</v>
      </c>
      <c r="Z511" s="76"/>
    </row>
    <row r="512" spans="1:26" s="29" customFormat="1" ht="27.75" customHeight="1" x14ac:dyDescent="0.2">
      <c r="A512" s="30"/>
      <c r="B512" s="318" t="s">
        <v>68</v>
      </c>
      <c r="C512" s="39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F512" s="318" t="s">
        <v>210</v>
      </c>
      <c r="G512" s="43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I512" s="382" t="s">
        <v>63</v>
      </c>
      <c r="J512" s="384"/>
      <c r="K512" s="57">
        <f>K510-K511</f>
        <v>33663.306451612902</v>
      </c>
      <c r="L512" s="58"/>
      <c r="N512" s="71"/>
      <c r="O512" s="72" t="s">
        <v>56</v>
      </c>
      <c r="P512" s="72"/>
      <c r="Q512" s="72"/>
      <c r="R512" s="72">
        <v>0</v>
      </c>
      <c r="S512" s="63"/>
      <c r="T512" s="72" t="s">
        <v>56</v>
      </c>
      <c r="U512" s="102" t="str">
        <f>IF($J$1="September",Y511,"")</f>
        <v/>
      </c>
      <c r="V512" s="74"/>
      <c r="W512" s="102" t="str">
        <f t="shared" si="126"/>
        <v/>
      </c>
      <c r="X512" s="74"/>
      <c r="Y512" s="102" t="str">
        <f t="shared" si="127"/>
        <v/>
      </c>
      <c r="Z512" s="76"/>
    </row>
    <row r="513" spans="1:27" s="29" customFormat="1" ht="27.75" customHeight="1" x14ac:dyDescent="0.2">
      <c r="A513" s="30"/>
      <c r="L513" s="46"/>
      <c r="N513" s="71"/>
      <c r="O513" s="72" t="s">
        <v>52</v>
      </c>
      <c r="P513" s="72"/>
      <c r="Q513" s="72"/>
      <c r="R513" s="72">
        <v>0</v>
      </c>
      <c r="S513" s="63"/>
      <c r="T513" s="72" t="s">
        <v>52</v>
      </c>
      <c r="U513" s="102" t="str">
        <f>IF($J$1="October",Y512,"")</f>
        <v/>
      </c>
      <c r="V513" s="74"/>
      <c r="W513" s="102" t="str">
        <f t="shared" si="126"/>
        <v/>
      </c>
      <c r="X513" s="74"/>
      <c r="Y513" s="102" t="str">
        <f t="shared" si="127"/>
        <v/>
      </c>
      <c r="Z513" s="76"/>
    </row>
    <row r="514" spans="1:27" s="29" customFormat="1" ht="27.75" customHeight="1" x14ac:dyDescent="0.35">
      <c r="A514" s="30"/>
      <c r="B514" s="319"/>
      <c r="C514" s="319"/>
      <c r="D514" s="319"/>
      <c r="E514" s="319"/>
      <c r="F514" s="319"/>
      <c r="G514" s="319"/>
      <c r="H514" s="319"/>
      <c r="I514" s="319"/>
      <c r="J514" s="319"/>
      <c r="K514" s="319"/>
      <c r="L514" s="46"/>
      <c r="N514" s="71"/>
      <c r="O514" s="72" t="s">
        <v>57</v>
      </c>
      <c r="P514" s="72"/>
      <c r="Q514" s="72"/>
      <c r="R514" s="72">
        <v>0</v>
      </c>
      <c r="S514" s="63"/>
      <c r="T514" s="72" t="s">
        <v>57</v>
      </c>
      <c r="U514" s="102"/>
      <c r="V514" s="74"/>
      <c r="W514" s="102" t="str">
        <f t="shared" si="126"/>
        <v/>
      </c>
      <c r="X514" s="74"/>
      <c r="Y514" s="102" t="str">
        <f t="shared" si="127"/>
        <v/>
      </c>
      <c r="Z514" s="76"/>
    </row>
    <row r="515" spans="1:27" s="29" customFormat="1" ht="27.75" customHeight="1" thickBot="1" x14ac:dyDescent="0.4">
      <c r="A515" s="59"/>
      <c r="B515" s="320"/>
      <c r="C515" s="320"/>
      <c r="D515" s="320"/>
      <c r="E515" s="320"/>
      <c r="F515" s="320"/>
      <c r="G515" s="320"/>
      <c r="H515" s="320"/>
      <c r="I515" s="320"/>
      <c r="J515" s="320"/>
      <c r="K515" s="320"/>
      <c r="L515" s="61"/>
      <c r="N515" s="71"/>
      <c r="O515" s="72" t="s">
        <v>58</v>
      </c>
      <c r="P515" s="72"/>
      <c r="Q515" s="72"/>
      <c r="R515" s="72">
        <v>0</v>
      </c>
      <c r="S515" s="63"/>
      <c r="T515" s="72" t="s">
        <v>58</v>
      </c>
      <c r="U515" s="102"/>
      <c r="V515" s="74"/>
      <c r="W515" s="102" t="str">
        <f t="shared" si="126"/>
        <v/>
      </c>
      <c r="X515" s="74"/>
      <c r="Y515" s="102" t="str">
        <f t="shared" si="127"/>
        <v/>
      </c>
      <c r="Z515" s="76"/>
    </row>
    <row r="516" spans="1:27" s="94" customFormat="1" ht="27.75" customHeight="1" thickBot="1" x14ac:dyDescent="0.25"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7" s="29" customFormat="1" ht="27.75" customHeight="1" thickBot="1" x14ac:dyDescent="0.25">
      <c r="A517" s="389" t="s">
        <v>40</v>
      </c>
      <c r="B517" s="390"/>
      <c r="C517" s="390"/>
      <c r="D517" s="390"/>
      <c r="E517" s="390"/>
      <c r="F517" s="390"/>
      <c r="G517" s="390"/>
      <c r="H517" s="390"/>
      <c r="I517" s="390"/>
      <c r="J517" s="390"/>
      <c r="K517" s="390"/>
      <c r="L517" s="391"/>
      <c r="M517" s="28"/>
      <c r="N517" s="64"/>
      <c r="O517" s="377" t="s">
        <v>42</v>
      </c>
      <c r="P517" s="378"/>
      <c r="Q517" s="378"/>
      <c r="R517" s="379"/>
      <c r="S517" s="65"/>
      <c r="T517" s="377" t="s">
        <v>43</v>
      </c>
      <c r="U517" s="378"/>
      <c r="V517" s="378"/>
      <c r="W517" s="378"/>
      <c r="X517" s="378"/>
      <c r="Y517" s="379"/>
      <c r="Z517" s="66"/>
      <c r="AA517" s="28"/>
    </row>
    <row r="518" spans="1:27" s="29" customFormat="1" ht="27.75" customHeight="1" x14ac:dyDescent="0.2">
      <c r="A518" s="30"/>
      <c r="C518" s="386" t="s">
        <v>83</v>
      </c>
      <c r="D518" s="386"/>
      <c r="E518" s="386"/>
      <c r="F518" s="386"/>
      <c r="G518" s="31" t="str">
        <f>$J$1</f>
        <v>August</v>
      </c>
      <c r="H518" s="385">
        <f>$K$1</f>
        <v>2023</v>
      </c>
      <c r="I518" s="385"/>
      <c r="K518" s="32"/>
      <c r="L518" s="33"/>
      <c r="M518" s="32"/>
      <c r="N518" s="67"/>
      <c r="O518" s="68" t="s">
        <v>53</v>
      </c>
      <c r="P518" s="68" t="s">
        <v>7</v>
      </c>
      <c r="Q518" s="68" t="s">
        <v>6</v>
      </c>
      <c r="R518" s="68" t="s">
        <v>54</v>
      </c>
      <c r="S518" s="69"/>
      <c r="T518" s="68" t="s">
        <v>53</v>
      </c>
      <c r="U518" s="68" t="s">
        <v>55</v>
      </c>
      <c r="V518" s="68" t="s">
        <v>20</v>
      </c>
      <c r="W518" s="68" t="s">
        <v>19</v>
      </c>
      <c r="X518" s="68" t="s">
        <v>21</v>
      </c>
      <c r="Y518" s="68" t="s">
        <v>59</v>
      </c>
      <c r="Z518" s="70"/>
      <c r="AA518" s="32"/>
    </row>
    <row r="519" spans="1:27" s="29" customFormat="1" ht="27.75" customHeight="1" x14ac:dyDescent="0.2">
      <c r="A519" s="30"/>
      <c r="D519" s="35"/>
      <c r="E519" s="35"/>
      <c r="F519" s="35"/>
      <c r="G519" s="35"/>
      <c r="H519" s="35"/>
      <c r="J519" s="36" t="s">
        <v>1</v>
      </c>
      <c r="K519" s="37">
        <f>22500+2500+2000+3000</f>
        <v>30000</v>
      </c>
      <c r="L519" s="38"/>
      <c r="N519" s="71"/>
      <c r="O519" s="72" t="s">
        <v>45</v>
      </c>
      <c r="P519" s="72">
        <v>31</v>
      </c>
      <c r="Q519" s="72">
        <v>0</v>
      </c>
      <c r="R519" s="72">
        <v>0</v>
      </c>
      <c r="S519" s="73"/>
      <c r="T519" s="72" t="s">
        <v>45</v>
      </c>
      <c r="U519" s="74">
        <v>15000</v>
      </c>
      <c r="V519" s="74"/>
      <c r="W519" s="74">
        <f>V519+U519</f>
        <v>15000</v>
      </c>
      <c r="X519" s="74">
        <v>5000</v>
      </c>
      <c r="Y519" s="74">
        <f>W519-X519</f>
        <v>10000</v>
      </c>
      <c r="Z519" s="70"/>
    </row>
    <row r="520" spans="1:27" s="29" customFormat="1" ht="27.75" customHeight="1" x14ac:dyDescent="0.2">
      <c r="A520" s="30"/>
      <c r="B520" s="29" t="s">
        <v>0</v>
      </c>
      <c r="C520" s="40" t="s">
        <v>144</v>
      </c>
      <c r="H520" s="41"/>
      <c r="I520" s="35"/>
      <c r="L520" s="42"/>
      <c r="M520" s="28"/>
      <c r="N520" s="75"/>
      <c r="O520" s="72" t="s">
        <v>71</v>
      </c>
      <c r="P520" s="72">
        <v>28</v>
      </c>
      <c r="Q520" s="72">
        <v>0</v>
      </c>
      <c r="R520" s="72">
        <v>0</v>
      </c>
      <c r="S520" s="63"/>
      <c r="T520" s="72" t="s">
        <v>71</v>
      </c>
      <c r="U520" s="102">
        <f>IF($J$1="January","",Y519)</f>
        <v>10000</v>
      </c>
      <c r="V520" s="74"/>
      <c r="W520" s="102">
        <f>IF(U520="","",U520+V520)</f>
        <v>10000</v>
      </c>
      <c r="X520" s="74"/>
      <c r="Y520" s="102">
        <f>IF(W520="","",W520-X520)</f>
        <v>10000</v>
      </c>
      <c r="Z520" s="76"/>
      <c r="AA520" s="28"/>
    </row>
    <row r="521" spans="1:27" s="29" customFormat="1" ht="27.75" customHeight="1" x14ac:dyDescent="0.2">
      <c r="A521" s="30"/>
      <c r="B521" s="44" t="s">
        <v>41</v>
      </c>
      <c r="C521" s="45"/>
      <c r="F521" s="382" t="s">
        <v>43</v>
      </c>
      <c r="G521" s="384"/>
      <c r="I521" s="382" t="s">
        <v>44</v>
      </c>
      <c r="J521" s="383"/>
      <c r="K521" s="384"/>
      <c r="L521" s="46"/>
      <c r="N521" s="71"/>
      <c r="O521" s="72" t="s">
        <v>46</v>
      </c>
      <c r="P521" s="72">
        <v>31</v>
      </c>
      <c r="Q521" s="72">
        <v>0</v>
      </c>
      <c r="R521" s="72">
        <v>0</v>
      </c>
      <c r="S521" s="63"/>
      <c r="T521" s="72" t="s">
        <v>46</v>
      </c>
      <c r="U521" s="102">
        <f>IF($J$1="February","",Y520)</f>
        <v>10000</v>
      </c>
      <c r="V521" s="74"/>
      <c r="W521" s="102">
        <f t="shared" ref="W521:W530" si="128">IF(U521="","",U521+V521)</f>
        <v>10000</v>
      </c>
      <c r="X521" s="74">
        <v>5000</v>
      </c>
      <c r="Y521" s="102">
        <f t="shared" ref="Y521:Y530" si="129">IF(W521="","",W521-X521)</f>
        <v>5000</v>
      </c>
      <c r="Z521" s="76"/>
    </row>
    <row r="522" spans="1:27" s="29" customFormat="1" ht="27.75" customHeight="1" x14ac:dyDescent="0.2">
      <c r="A522" s="30"/>
      <c r="H522" s="47"/>
      <c r="L522" s="34"/>
      <c r="N522" s="71"/>
      <c r="O522" s="72" t="s">
        <v>47</v>
      </c>
      <c r="P522" s="72">
        <v>30</v>
      </c>
      <c r="Q522" s="72">
        <v>0</v>
      </c>
      <c r="R522" s="72">
        <v>0</v>
      </c>
      <c r="S522" s="63"/>
      <c r="T522" s="72" t="s">
        <v>47</v>
      </c>
      <c r="U522" s="102">
        <f>IF($J$1="March","",Y521)</f>
        <v>5000</v>
      </c>
      <c r="V522" s="74"/>
      <c r="W522" s="102">
        <f t="shared" si="128"/>
        <v>5000</v>
      </c>
      <c r="X522" s="74">
        <v>5000</v>
      </c>
      <c r="Y522" s="102">
        <f t="shared" si="129"/>
        <v>0</v>
      </c>
      <c r="Z522" s="76"/>
    </row>
    <row r="523" spans="1:27" s="29" customFormat="1" ht="27.75" customHeight="1" x14ac:dyDescent="0.2">
      <c r="A523" s="30"/>
      <c r="B523" s="380" t="s">
        <v>42</v>
      </c>
      <c r="C523" s="381"/>
      <c r="F523" s="48" t="s">
        <v>64</v>
      </c>
      <c r="G523" s="43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47"/>
      <c r="I523" s="49">
        <f>IF(C527&gt;0,$K$2,C525)</f>
        <v>31</v>
      </c>
      <c r="J523" s="50" t="s">
        <v>61</v>
      </c>
      <c r="K523" s="51">
        <f>K519/$K$2*I523</f>
        <v>30000</v>
      </c>
      <c r="L523" s="52"/>
      <c r="N523" s="71"/>
      <c r="O523" s="72" t="s">
        <v>48</v>
      </c>
      <c r="P523" s="72">
        <v>30</v>
      </c>
      <c r="Q523" s="72">
        <v>1</v>
      </c>
      <c r="R523" s="72">
        <v>0</v>
      </c>
      <c r="S523" s="63"/>
      <c r="T523" s="72" t="s">
        <v>48</v>
      </c>
      <c r="U523" s="102">
        <f>Y522</f>
        <v>0</v>
      </c>
      <c r="V523" s="74"/>
      <c r="W523" s="102">
        <f t="shared" si="128"/>
        <v>0</v>
      </c>
      <c r="X523" s="74"/>
      <c r="Y523" s="102">
        <f t="shared" si="129"/>
        <v>0</v>
      </c>
      <c r="Z523" s="76"/>
    </row>
    <row r="524" spans="1:27" s="29" customFormat="1" ht="27.75" customHeight="1" x14ac:dyDescent="0.2">
      <c r="A524" s="30"/>
      <c r="B524" s="39"/>
      <c r="C524" s="39"/>
      <c r="F524" s="48" t="s">
        <v>20</v>
      </c>
      <c r="G524" s="43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30000</v>
      </c>
      <c r="H524" s="47"/>
      <c r="I524" s="49">
        <v>43</v>
      </c>
      <c r="J524" s="50" t="s">
        <v>62</v>
      </c>
      <c r="K524" s="53">
        <f>K519/$K$2/8*I524</f>
        <v>5201.6129032258068</v>
      </c>
      <c r="L524" s="54"/>
      <c r="N524" s="71"/>
      <c r="O524" s="72" t="s">
        <v>49</v>
      </c>
      <c r="P524" s="72">
        <v>30</v>
      </c>
      <c r="Q524" s="72">
        <v>0</v>
      </c>
      <c r="R524" s="72">
        <v>0</v>
      </c>
      <c r="S524" s="63"/>
      <c r="T524" s="72" t="s">
        <v>49</v>
      </c>
      <c r="U524" s="102">
        <f>Y523</f>
        <v>0</v>
      </c>
      <c r="V524" s="74">
        <f>2000+25000</f>
        <v>27000</v>
      </c>
      <c r="W524" s="102">
        <f t="shared" si="128"/>
        <v>27000</v>
      </c>
      <c r="X524" s="74">
        <v>27000</v>
      </c>
      <c r="Y524" s="102">
        <f t="shared" si="129"/>
        <v>0</v>
      </c>
      <c r="Z524" s="76"/>
    </row>
    <row r="525" spans="1:27" s="29" customFormat="1" ht="27.75" customHeight="1" x14ac:dyDescent="0.2">
      <c r="A525" s="30"/>
      <c r="B525" s="48" t="s">
        <v>7</v>
      </c>
      <c r="C525" s="39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F525" s="48" t="s">
        <v>65</v>
      </c>
      <c r="G525" s="43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30000</v>
      </c>
      <c r="H525" s="47"/>
      <c r="I525" s="387" t="s">
        <v>69</v>
      </c>
      <c r="J525" s="388"/>
      <c r="K525" s="53">
        <f>K523+K524</f>
        <v>35201.612903225803</v>
      </c>
      <c r="L525" s="54"/>
      <c r="N525" s="71"/>
      <c r="O525" s="72" t="s">
        <v>50</v>
      </c>
      <c r="P525" s="72">
        <v>31</v>
      </c>
      <c r="Q525" s="72">
        <v>0</v>
      </c>
      <c r="R525" s="72">
        <v>0</v>
      </c>
      <c r="S525" s="63"/>
      <c r="T525" s="72" t="s">
        <v>50</v>
      </c>
      <c r="U525" s="102">
        <f>Y524</f>
        <v>0</v>
      </c>
      <c r="V525" s="74">
        <v>3000</v>
      </c>
      <c r="W525" s="102">
        <f t="shared" si="128"/>
        <v>3000</v>
      </c>
      <c r="X525" s="74">
        <v>3000</v>
      </c>
      <c r="Y525" s="102">
        <f t="shared" si="129"/>
        <v>0</v>
      </c>
      <c r="Z525" s="76"/>
    </row>
    <row r="526" spans="1:27" s="29" customFormat="1" ht="27.75" customHeight="1" x14ac:dyDescent="0.2">
      <c r="A526" s="30"/>
      <c r="B526" s="48" t="s">
        <v>6</v>
      </c>
      <c r="C526" s="39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F526" s="48" t="s">
        <v>21</v>
      </c>
      <c r="G526" s="43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47"/>
      <c r="I526" s="387" t="s">
        <v>70</v>
      </c>
      <c r="J526" s="388"/>
      <c r="K526" s="43">
        <f>G526</f>
        <v>5000</v>
      </c>
      <c r="L526" s="55"/>
      <c r="N526" s="71"/>
      <c r="O526" s="72" t="s">
        <v>51</v>
      </c>
      <c r="P526" s="72">
        <v>31</v>
      </c>
      <c r="Q526" s="72">
        <v>0</v>
      </c>
      <c r="R526" s="72">
        <v>0</v>
      </c>
      <c r="S526" s="63"/>
      <c r="T526" s="72" t="s">
        <v>51</v>
      </c>
      <c r="U526" s="102">
        <f>Y525</f>
        <v>0</v>
      </c>
      <c r="V526" s="74">
        <v>30000</v>
      </c>
      <c r="W526" s="102">
        <f t="shared" si="128"/>
        <v>30000</v>
      </c>
      <c r="X526" s="74">
        <v>5000</v>
      </c>
      <c r="Y526" s="102">
        <f t="shared" si="129"/>
        <v>25000</v>
      </c>
      <c r="Z526" s="76"/>
    </row>
    <row r="527" spans="1:27" s="29" customFormat="1" ht="27.75" customHeight="1" x14ac:dyDescent="0.2">
      <c r="A527" s="30"/>
      <c r="B527" s="318" t="s">
        <v>68</v>
      </c>
      <c r="C527" s="39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F527" s="318" t="s">
        <v>210</v>
      </c>
      <c r="G527" s="43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25000</v>
      </c>
      <c r="I527" s="382" t="s">
        <v>63</v>
      </c>
      <c r="J527" s="384"/>
      <c r="K527" s="57">
        <f>K525-K526</f>
        <v>30201.612903225803</v>
      </c>
      <c r="L527" s="58"/>
      <c r="N527" s="71"/>
      <c r="O527" s="72" t="s">
        <v>56</v>
      </c>
      <c r="P527" s="72"/>
      <c r="Q527" s="72"/>
      <c r="R527" s="72">
        <v>0</v>
      </c>
      <c r="S527" s="63"/>
      <c r="T527" s="72" t="s">
        <v>56</v>
      </c>
      <c r="U527" s="102" t="str">
        <f>IF($J$1="September",Y526,"")</f>
        <v/>
      </c>
      <c r="V527" s="74"/>
      <c r="W527" s="102" t="str">
        <f t="shared" si="128"/>
        <v/>
      </c>
      <c r="X527" s="74"/>
      <c r="Y527" s="102" t="str">
        <f t="shared" si="129"/>
        <v/>
      </c>
      <c r="Z527" s="76"/>
    </row>
    <row r="528" spans="1:27" s="29" customFormat="1" ht="27.75" customHeight="1" x14ac:dyDescent="0.2">
      <c r="A528" s="30"/>
      <c r="L528" s="46"/>
      <c r="N528" s="71"/>
      <c r="O528" s="72" t="s">
        <v>52</v>
      </c>
      <c r="P528" s="72"/>
      <c r="Q528" s="72"/>
      <c r="R528" s="72">
        <v>0</v>
      </c>
      <c r="S528" s="63"/>
      <c r="T528" s="72" t="s">
        <v>52</v>
      </c>
      <c r="U528" s="102" t="str">
        <f>IF($J$1="October",Y527,"")</f>
        <v/>
      </c>
      <c r="V528" s="74"/>
      <c r="W528" s="102" t="str">
        <f t="shared" si="128"/>
        <v/>
      </c>
      <c r="X528" s="74"/>
      <c r="Y528" s="102" t="str">
        <f t="shared" si="129"/>
        <v/>
      </c>
      <c r="Z528" s="76"/>
    </row>
    <row r="529" spans="1:27" s="29" customFormat="1" ht="27.75" customHeight="1" x14ac:dyDescent="0.35">
      <c r="A529" s="30"/>
      <c r="B529" s="319"/>
      <c r="C529" s="319"/>
      <c r="D529" s="319"/>
      <c r="E529" s="319"/>
      <c r="F529" s="319"/>
      <c r="G529" s="319"/>
      <c r="H529" s="319"/>
      <c r="I529" s="319"/>
      <c r="J529" s="319"/>
      <c r="K529" s="319"/>
      <c r="L529" s="46"/>
      <c r="N529" s="71"/>
      <c r="O529" s="72" t="s">
        <v>57</v>
      </c>
      <c r="P529" s="72"/>
      <c r="Q529" s="72"/>
      <c r="R529" s="72">
        <v>0</v>
      </c>
      <c r="S529" s="63"/>
      <c r="T529" s="72" t="s">
        <v>57</v>
      </c>
      <c r="U529" s="102" t="str">
        <f>Y528</f>
        <v/>
      </c>
      <c r="V529" s="74"/>
      <c r="W529" s="102" t="str">
        <f t="shared" si="128"/>
        <v/>
      </c>
      <c r="X529" s="74"/>
      <c r="Y529" s="102" t="str">
        <f t="shared" si="129"/>
        <v/>
      </c>
      <c r="Z529" s="76"/>
    </row>
    <row r="530" spans="1:27" s="29" customFormat="1" ht="27.75" customHeight="1" thickBot="1" x14ac:dyDescent="0.4">
      <c r="A530" s="59"/>
      <c r="B530" s="320"/>
      <c r="C530" s="320"/>
      <c r="D530" s="320"/>
      <c r="E530" s="320"/>
      <c r="F530" s="320"/>
      <c r="G530" s="320"/>
      <c r="H530" s="320"/>
      <c r="I530" s="320"/>
      <c r="J530" s="320"/>
      <c r="K530" s="320"/>
      <c r="L530" s="61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2" t="str">
        <f>Y529</f>
        <v/>
      </c>
      <c r="V530" s="74"/>
      <c r="W530" s="102" t="str">
        <f t="shared" si="128"/>
        <v/>
      </c>
      <c r="X530" s="74"/>
      <c r="Y530" s="102" t="str">
        <f t="shared" si="129"/>
        <v/>
      </c>
      <c r="Z530" s="76"/>
    </row>
    <row r="531" spans="1:27" s="94" customFormat="1" ht="27.75" customHeight="1" thickBot="1" x14ac:dyDescent="0.25"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7" s="29" customFormat="1" ht="27.75" customHeight="1" thickBot="1" x14ac:dyDescent="0.25">
      <c r="A532" s="389" t="s">
        <v>40</v>
      </c>
      <c r="B532" s="390"/>
      <c r="C532" s="390"/>
      <c r="D532" s="390"/>
      <c r="E532" s="390"/>
      <c r="F532" s="390"/>
      <c r="G532" s="390"/>
      <c r="H532" s="390"/>
      <c r="I532" s="390"/>
      <c r="J532" s="390"/>
      <c r="K532" s="390"/>
      <c r="L532" s="391"/>
      <c r="M532" s="28"/>
      <c r="N532" s="64"/>
      <c r="O532" s="377" t="s">
        <v>42</v>
      </c>
      <c r="P532" s="378"/>
      <c r="Q532" s="378"/>
      <c r="R532" s="379"/>
      <c r="S532" s="65"/>
      <c r="T532" s="377" t="s">
        <v>43</v>
      </c>
      <c r="U532" s="378"/>
      <c r="V532" s="378"/>
      <c r="W532" s="378"/>
      <c r="X532" s="378"/>
      <c r="Y532" s="379"/>
      <c r="Z532" s="66"/>
      <c r="AA532" s="28"/>
    </row>
    <row r="533" spans="1:27" s="29" customFormat="1" ht="27.75" customHeight="1" x14ac:dyDescent="0.2">
      <c r="A533" s="30"/>
      <c r="C533" s="386" t="s">
        <v>83</v>
      </c>
      <c r="D533" s="386"/>
      <c r="E533" s="386"/>
      <c r="F533" s="386"/>
      <c r="G533" s="31" t="str">
        <f>$J$1</f>
        <v>August</v>
      </c>
      <c r="H533" s="385">
        <f>$K$1</f>
        <v>2023</v>
      </c>
      <c r="I533" s="385"/>
      <c r="K533" s="32"/>
      <c r="L533" s="33"/>
      <c r="M533" s="32"/>
      <c r="N533" s="67"/>
      <c r="O533" s="68" t="s">
        <v>53</v>
      </c>
      <c r="P533" s="68" t="s">
        <v>7</v>
      </c>
      <c r="Q533" s="68" t="s">
        <v>6</v>
      </c>
      <c r="R533" s="68" t="s">
        <v>54</v>
      </c>
      <c r="S533" s="69"/>
      <c r="T533" s="68" t="s">
        <v>53</v>
      </c>
      <c r="U533" s="68" t="s">
        <v>55</v>
      </c>
      <c r="V533" s="68" t="s">
        <v>20</v>
      </c>
      <c r="W533" s="68" t="s">
        <v>19</v>
      </c>
      <c r="X533" s="68" t="s">
        <v>21</v>
      </c>
      <c r="Y533" s="68" t="s">
        <v>59</v>
      </c>
      <c r="Z533" s="70"/>
      <c r="AA533" s="32"/>
    </row>
    <row r="534" spans="1:27" s="29" customFormat="1" ht="27.75" customHeight="1" x14ac:dyDescent="0.2">
      <c r="A534" s="30"/>
      <c r="D534" s="35"/>
      <c r="E534" s="35"/>
      <c r="F534" s="35"/>
      <c r="G534" s="35"/>
      <c r="H534" s="35"/>
      <c r="J534" s="36" t="s">
        <v>1</v>
      </c>
      <c r="K534" s="37">
        <f>32500+2000+3000</f>
        <v>37500</v>
      </c>
      <c r="L534" s="38"/>
      <c r="N534" s="71"/>
      <c r="O534" s="72" t="s">
        <v>45</v>
      </c>
      <c r="P534" s="72">
        <v>31</v>
      </c>
      <c r="Q534" s="72">
        <v>0</v>
      </c>
      <c r="R534" s="72">
        <v>0</v>
      </c>
      <c r="S534" s="73"/>
      <c r="T534" s="72" t="s">
        <v>45</v>
      </c>
      <c r="U534" s="74"/>
      <c r="V534" s="74"/>
      <c r="W534" s="74">
        <f>V534+U534</f>
        <v>0</v>
      </c>
      <c r="X534" s="74"/>
      <c r="Y534" s="74">
        <f>W534-X534</f>
        <v>0</v>
      </c>
      <c r="Z534" s="70"/>
    </row>
    <row r="535" spans="1:27" s="29" customFormat="1" ht="27.75" customHeight="1" x14ac:dyDescent="0.2">
      <c r="A535" s="30"/>
      <c r="B535" s="29" t="s">
        <v>0</v>
      </c>
      <c r="C535" s="40" t="s">
        <v>158</v>
      </c>
      <c r="H535" s="41"/>
      <c r="I535" s="35"/>
      <c r="L535" s="42"/>
      <c r="M535" s="28"/>
      <c r="N535" s="75"/>
      <c r="O535" s="72" t="s">
        <v>71</v>
      </c>
      <c r="P535" s="72">
        <v>28</v>
      </c>
      <c r="Q535" s="72">
        <v>0</v>
      </c>
      <c r="R535" s="72">
        <v>0</v>
      </c>
      <c r="S535" s="63"/>
      <c r="T535" s="72" t="s">
        <v>71</v>
      </c>
      <c r="U535" s="102">
        <f>IF($J$1="January","",Y534)</f>
        <v>0</v>
      </c>
      <c r="V535" s="74"/>
      <c r="W535" s="102">
        <f>IF(U535="","",U535+V535)</f>
        <v>0</v>
      </c>
      <c r="X535" s="74"/>
      <c r="Y535" s="102">
        <f>IF(W535="","",W535-X535)</f>
        <v>0</v>
      </c>
      <c r="Z535" s="76"/>
      <c r="AA535" s="28"/>
    </row>
    <row r="536" spans="1:27" s="29" customFormat="1" ht="27.75" customHeight="1" x14ac:dyDescent="0.2">
      <c r="A536" s="30"/>
      <c r="B536" s="44" t="s">
        <v>41</v>
      </c>
      <c r="C536" s="45"/>
      <c r="F536" s="382" t="s">
        <v>43</v>
      </c>
      <c r="G536" s="384"/>
      <c r="I536" s="382" t="s">
        <v>44</v>
      </c>
      <c r="J536" s="383"/>
      <c r="K536" s="384"/>
      <c r="L536" s="46"/>
      <c r="N536" s="71"/>
      <c r="O536" s="72" t="s">
        <v>46</v>
      </c>
      <c r="P536" s="72">
        <v>31</v>
      </c>
      <c r="Q536" s="72">
        <v>0</v>
      </c>
      <c r="R536" s="72">
        <v>0</v>
      </c>
      <c r="S536" s="63"/>
      <c r="T536" s="72" t="s">
        <v>46</v>
      </c>
      <c r="U536" s="102">
        <f>IF($J$1="February","",Y535)</f>
        <v>0</v>
      </c>
      <c r="V536" s="74"/>
      <c r="W536" s="102">
        <f t="shared" ref="W536:W545" si="130">IF(U536="","",U536+V536)</f>
        <v>0</v>
      </c>
      <c r="X536" s="74"/>
      <c r="Y536" s="102">
        <f t="shared" ref="Y536:Y545" si="131">IF(W536="","",W536-X536)</f>
        <v>0</v>
      </c>
      <c r="Z536" s="76"/>
    </row>
    <row r="537" spans="1:27" s="29" customFormat="1" ht="27.75" customHeight="1" x14ac:dyDescent="0.2">
      <c r="A537" s="30"/>
      <c r="H537" s="47"/>
      <c r="L537" s="34"/>
      <c r="N537" s="71"/>
      <c r="O537" s="72" t="s">
        <v>47</v>
      </c>
      <c r="P537" s="72">
        <v>30</v>
      </c>
      <c r="Q537" s="72">
        <v>0</v>
      </c>
      <c r="R537" s="72">
        <v>0</v>
      </c>
      <c r="S537" s="63"/>
      <c r="T537" s="72" t="s">
        <v>47</v>
      </c>
      <c r="U537" s="102">
        <f>IF($J$1="March","",Y536)</f>
        <v>0</v>
      </c>
      <c r="V537" s="74"/>
      <c r="W537" s="102">
        <f t="shared" si="130"/>
        <v>0</v>
      </c>
      <c r="X537" s="74"/>
      <c r="Y537" s="102">
        <f t="shared" si="131"/>
        <v>0</v>
      </c>
      <c r="Z537" s="76"/>
    </row>
    <row r="538" spans="1:27" s="29" customFormat="1" ht="27.75" customHeight="1" x14ac:dyDescent="0.2">
      <c r="A538" s="30"/>
      <c r="B538" s="380" t="s">
        <v>42</v>
      </c>
      <c r="C538" s="381"/>
      <c r="F538" s="48" t="s">
        <v>64</v>
      </c>
      <c r="G538" s="43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0</v>
      </c>
      <c r="H538" s="47"/>
      <c r="I538" s="49">
        <f>IF(C542&gt;0,$K$2,C540)</f>
        <v>31</v>
      </c>
      <c r="J538" s="50" t="s">
        <v>61</v>
      </c>
      <c r="K538" s="51">
        <f>K534/$K$2*I538</f>
        <v>37500</v>
      </c>
      <c r="L538" s="52"/>
      <c r="N538" s="71"/>
      <c r="O538" s="72" t="s">
        <v>48</v>
      </c>
      <c r="P538" s="72">
        <v>31</v>
      </c>
      <c r="Q538" s="72">
        <v>0</v>
      </c>
      <c r="R538" s="72">
        <v>0</v>
      </c>
      <c r="S538" s="63"/>
      <c r="T538" s="72" t="s">
        <v>48</v>
      </c>
      <c r="U538" s="102">
        <f>IF($J$1="April","",Y537)</f>
        <v>0</v>
      </c>
      <c r="V538" s="74"/>
      <c r="W538" s="102">
        <f t="shared" si="130"/>
        <v>0</v>
      </c>
      <c r="X538" s="74"/>
      <c r="Y538" s="102">
        <f t="shared" si="131"/>
        <v>0</v>
      </c>
      <c r="Z538" s="76"/>
    </row>
    <row r="539" spans="1:27" s="29" customFormat="1" ht="27.75" customHeight="1" x14ac:dyDescent="0.2">
      <c r="A539" s="30"/>
      <c r="B539" s="39"/>
      <c r="C539" s="39"/>
      <c r="F539" s="48" t="s">
        <v>20</v>
      </c>
      <c r="G539" s="43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47"/>
      <c r="I539" s="49">
        <v>11</v>
      </c>
      <c r="J539" s="50" t="s">
        <v>62</v>
      </c>
      <c r="K539" s="53">
        <f>K534/$K$2/8*I539</f>
        <v>1663.3064516129034</v>
      </c>
      <c r="L539" s="54"/>
      <c r="N539" s="71"/>
      <c r="O539" s="72" t="s">
        <v>49</v>
      </c>
      <c r="P539" s="72">
        <v>30</v>
      </c>
      <c r="Q539" s="72">
        <v>0</v>
      </c>
      <c r="R539" s="72">
        <v>0</v>
      </c>
      <c r="S539" s="63"/>
      <c r="T539" s="72" t="s">
        <v>49</v>
      </c>
      <c r="U539" s="102">
        <f>IF($J$1="May","",Y538)</f>
        <v>0</v>
      </c>
      <c r="V539" s="74">
        <v>34500</v>
      </c>
      <c r="W539" s="102">
        <f t="shared" si="130"/>
        <v>34500</v>
      </c>
      <c r="X539" s="74">
        <v>34500</v>
      </c>
      <c r="Y539" s="102">
        <f t="shared" si="131"/>
        <v>0</v>
      </c>
      <c r="Z539" s="76"/>
    </row>
    <row r="540" spans="1:27" s="29" customFormat="1" ht="27.75" customHeight="1" x14ac:dyDescent="0.2">
      <c r="A540" s="30"/>
      <c r="B540" s="48" t="s">
        <v>7</v>
      </c>
      <c r="C540" s="39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F540" s="48" t="s">
        <v>65</v>
      </c>
      <c r="G540" s="43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0</v>
      </c>
      <c r="H540" s="47"/>
      <c r="I540" s="387" t="s">
        <v>69</v>
      </c>
      <c r="J540" s="388"/>
      <c r="K540" s="53">
        <f>K538+K539</f>
        <v>39163.306451612902</v>
      </c>
      <c r="L540" s="54"/>
      <c r="N540" s="71"/>
      <c r="O540" s="72" t="s">
        <v>50</v>
      </c>
      <c r="P540" s="72">
        <v>31</v>
      </c>
      <c r="Q540" s="72">
        <v>0</v>
      </c>
      <c r="R540" s="72">
        <v>0</v>
      </c>
      <c r="S540" s="63"/>
      <c r="T540" s="72" t="s">
        <v>50</v>
      </c>
      <c r="U540" s="102">
        <f>IF($J$1="June","",Y539)</f>
        <v>0</v>
      </c>
      <c r="V540" s="74"/>
      <c r="W540" s="102">
        <f t="shared" si="130"/>
        <v>0</v>
      </c>
      <c r="X540" s="74"/>
      <c r="Y540" s="102">
        <f t="shared" si="131"/>
        <v>0</v>
      </c>
      <c r="Z540" s="76"/>
    </row>
    <row r="541" spans="1:27" s="29" customFormat="1" ht="27.75" customHeight="1" x14ac:dyDescent="0.2">
      <c r="A541" s="30"/>
      <c r="B541" s="48" t="s">
        <v>6</v>
      </c>
      <c r="C541" s="39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F541" s="48" t="s">
        <v>21</v>
      </c>
      <c r="G541" s="43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47"/>
      <c r="I541" s="387" t="s">
        <v>70</v>
      </c>
      <c r="J541" s="388"/>
      <c r="K541" s="43">
        <f>G541</f>
        <v>0</v>
      </c>
      <c r="L541" s="55"/>
      <c r="N541" s="71"/>
      <c r="O541" s="72" t="s">
        <v>51</v>
      </c>
      <c r="P541" s="72">
        <v>31</v>
      </c>
      <c r="Q541" s="72">
        <v>0</v>
      </c>
      <c r="R541" s="72">
        <v>0</v>
      </c>
      <c r="S541" s="63"/>
      <c r="T541" s="72" t="s">
        <v>51</v>
      </c>
      <c r="U541" s="102">
        <f>IF($J$1="July","",Y540)</f>
        <v>0</v>
      </c>
      <c r="V541" s="74"/>
      <c r="W541" s="102">
        <f t="shared" si="130"/>
        <v>0</v>
      </c>
      <c r="X541" s="74"/>
      <c r="Y541" s="102">
        <f t="shared" si="131"/>
        <v>0</v>
      </c>
      <c r="Z541" s="76"/>
    </row>
    <row r="542" spans="1:27" s="29" customFormat="1" ht="27.75" customHeight="1" x14ac:dyDescent="0.2">
      <c r="A542" s="30"/>
      <c r="B542" s="318" t="s">
        <v>68</v>
      </c>
      <c r="C542" s="39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F542" s="318" t="s">
        <v>210</v>
      </c>
      <c r="G542" s="43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0</v>
      </c>
      <c r="I542" s="382" t="s">
        <v>63</v>
      </c>
      <c r="J542" s="384"/>
      <c r="K542" s="57">
        <f>K540-K541</f>
        <v>39163.306451612902</v>
      </c>
      <c r="L542" s="58"/>
      <c r="N542" s="71"/>
      <c r="O542" s="72" t="s">
        <v>56</v>
      </c>
      <c r="P542" s="72"/>
      <c r="Q542" s="72"/>
      <c r="R542" s="72">
        <v>0</v>
      </c>
      <c r="S542" s="63"/>
      <c r="T542" s="72" t="s">
        <v>56</v>
      </c>
      <c r="U542" s="102" t="str">
        <f>IF($J$1="September",Y541,"")</f>
        <v/>
      </c>
      <c r="V542" s="74"/>
      <c r="W542" s="102" t="str">
        <f t="shared" si="130"/>
        <v/>
      </c>
      <c r="X542" s="74"/>
      <c r="Y542" s="102" t="str">
        <f t="shared" si="131"/>
        <v/>
      </c>
      <c r="Z542" s="76"/>
    </row>
    <row r="543" spans="1:27" s="29" customFormat="1" ht="27.75" customHeight="1" x14ac:dyDescent="0.2">
      <c r="A543" s="30"/>
      <c r="L543" s="46"/>
      <c r="N543" s="71"/>
      <c r="O543" s="72" t="s">
        <v>52</v>
      </c>
      <c r="P543" s="72"/>
      <c r="Q543" s="72"/>
      <c r="R543" s="72">
        <v>0</v>
      </c>
      <c r="S543" s="63"/>
      <c r="T543" s="72" t="s">
        <v>52</v>
      </c>
      <c r="U543" s="102" t="str">
        <f>IF($J$1="October",Y542,"")</f>
        <v/>
      </c>
      <c r="V543" s="74"/>
      <c r="W543" s="102" t="str">
        <f t="shared" si="130"/>
        <v/>
      </c>
      <c r="X543" s="74"/>
      <c r="Y543" s="102" t="str">
        <f t="shared" si="131"/>
        <v/>
      </c>
      <c r="Z543" s="76"/>
    </row>
    <row r="544" spans="1:27" s="29" customFormat="1" ht="27.75" customHeight="1" x14ac:dyDescent="0.35">
      <c r="A544" s="30"/>
      <c r="B544" s="319"/>
      <c r="C544" s="319"/>
      <c r="D544" s="319"/>
      <c r="E544" s="319"/>
      <c r="F544" s="319"/>
      <c r="G544" s="319"/>
      <c r="H544" s="319"/>
      <c r="I544" s="319"/>
      <c r="J544" s="319"/>
      <c r="K544" s="319"/>
      <c r="L544" s="46"/>
      <c r="N544" s="71"/>
      <c r="O544" s="72" t="s">
        <v>57</v>
      </c>
      <c r="P544" s="72"/>
      <c r="Q544" s="72"/>
      <c r="R544" s="72">
        <v>0</v>
      </c>
      <c r="S544" s="63"/>
      <c r="T544" s="72" t="s">
        <v>57</v>
      </c>
      <c r="U544" s="102" t="str">
        <f>IF($J$1="October","",Y543)</f>
        <v/>
      </c>
      <c r="V544" s="74"/>
      <c r="W544" s="102" t="str">
        <f t="shared" si="130"/>
        <v/>
      </c>
      <c r="X544" s="74"/>
      <c r="Y544" s="102" t="str">
        <f t="shared" si="131"/>
        <v/>
      </c>
      <c r="Z544" s="76"/>
    </row>
    <row r="545" spans="1:26" s="29" customFormat="1" ht="27.75" customHeight="1" thickBot="1" x14ac:dyDescent="0.4">
      <c r="A545" s="59"/>
      <c r="B545" s="320"/>
      <c r="C545" s="320"/>
      <c r="D545" s="320"/>
      <c r="E545" s="320"/>
      <c r="F545" s="320"/>
      <c r="G545" s="320"/>
      <c r="H545" s="320"/>
      <c r="I545" s="320"/>
      <c r="J545" s="320"/>
      <c r="K545" s="320"/>
      <c r="L545" s="61"/>
      <c r="N545" s="71"/>
      <c r="O545" s="72" t="s">
        <v>58</v>
      </c>
      <c r="P545" s="72"/>
      <c r="Q545" s="72"/>
      <c r="R545" s="72">
        <v>0</v>
      </c>
      <c r="S545" s="63"/>
      <c r="T545" s="72" t="s">
        <v>58</v>
      </c>
      <c r="U545" s="102" t="str">
        <f>IF($J$1="November","",Y544)</f>
        <v/>
      </c>
      <c r="V545" s="74"/>
      <c r="W545" s="102" t="str">
        <f t="shared" si="130"/>
        <v/>
      </c>
      <c r="X545" s="74"/>
      <c r="Y545" s="102" t="str">
        <f t="shared" si="131"/>
        <v/>
      </c>
      <c r="Z545" s="76"/>
    </row>
    <row r="546" spans="1:26" s="94" customFormat="1" ht="27.75" customHeight="1" thickBot="1" x14ac:dyDescent="0.25"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s="29" customFormat="1" ht="27.75" customHeight="1" thickBot="1" x14ac:dyDescent="0.25">
      <c r="A547" s="389" t="s">
        <v>40</v>
      </c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1"/>
      <c r="M547" s="28"/>
      <c r="N547" s="64"/>
      <c r="O547" s="377" t="s">
        <v>42</v>
      </c>
      <c r="P547" s="378"/>
      <c r="Q547" s="378"/>
      <c r="R547" s="379"/>
      <c r="S547" s="65"/>
      <c r="T547" s="377" t="s">
        <v>43</v>
      </c>
      <c r="U547" s="378"/>
      <c r="V547" s="378"/>
      <c r="W547" s="378"/>
      <c r="X547" s="378"/>
      <c r="Y547" s="379"/>
      <c r="Z547" s="66"/>
    </row>
    <row r="548" spans="1:26" s="29" customFormat="1" ht="27.75" customHeight="1" x14ac:dyDescent="0.2">
      <c r="A548" s="30"/>
      <c r="C548" s="386" t="s">
        <v>83</v>
      </c>
      <c r="D548" s="386"/>
      <c r="E548" s="386"/>
      <c r="F548" s="386"/>
      <c r="G548" s="31" t="str">
        <f>$J$1</f>
        <v>August</v>
      </c>
      <c r="H548" s="385">
        <f>$K$1</f>
        <v>2023</v>
      </c>
      <c r="I548" s="385"/>
      <c r="K548" s="32"/>
      <c r="L548" s="33"/>
      <c r="M548" s="32"/>
      <c r="N548" s="67"/>
      <c r="O548" s="68" t="s">
        <v>53</v>
      </c>
      <c r="P548" s="68" t="s">
        <v>7</v>
      </c>
      <c r="Q548" s="68" t="s">
        <v>6</v>
      </c>
      <c r="R548" s="68" t="s">
        <v>54</v>
      </c>
      <c r="S548" s="69"/>
      <c r="T548" s="68" t="s">
        <v>53</v>
      </c>
      <c r="U548" s="68" t="s">
        <v>55</v>
      </c>
      <c r="V548" s="68" t="s">
        <v>20</v>
      </c>
      <c r="W548" s="68" t="s">
        <v>19</v>
      </c>
      <c r="X548" s="68" t="s">
        <v>21</v>
      </c>
      <c r="Y548" s="68" t="s">
        <v>59</v>
      </c>
      <c r="Z548" s="70"/>
    </row>
    <row r="549" spans="1:26" s="29" customFormat="1" ht="27.75" customHeight="1" x14ac:dyDescent="0.2">
      <c r="A549" s="30"/>
      <c r="D549" s="35"/>
      <c r="E549" s="35"/>
      <c r="F549" s="35"/>
      <c r="G549" s="35"/>
      <c r="H549" s="35"/>
      <c r="J549" s="36" t="s">
        <v>1</v>
      </c>
      <c r="K549" s="37">
        <f>24500+2000+3000</f>
        <v>29500</v>
      </c>
      <c r="L549" s="38"/>
      <c r="N549" s="71"/>
      <c r="O549" s="72" t="s">
        <v>45</v>
      </c>
      <c r="P549" s="72">
        <v>31</v>
      </c>
      <c r="Q549" s="72">
        <v>0</v>
      </c>
      <c r="R549" s="72"/>
      <c r="S549" s="73"/>
      <c r="T549" s="72" t="s">
        <v>45</v>
      </c>
      <c r="U549" s="74"/>
      <c r="V549" s="74"/>
      <c r="W549" s="74">
        <f>V549+U549</f>
        <v>0</v>
      </c>
      <c r="X549" s="74"/>
      <c r="Y549" s="74">
        <f>W549-X549</f>
        <v>0</v>
      </c>
      <c r="Z549" s="70"/>
    </row>
    <row r="550" spans="1:26" s="29" customFormat="1" ht="27.75" customHeight="1" x14ac:dyDescent="0.2">
      <c r="A550" s="30"/>
      <c r="B550" s="29" t="s">
        <v>0</v>
      </c>
      <c r="C550" s="40" t="s">
        <v>129</v>
      </c>
      <c r="H550" s="41"/>
      <c r="I550" s="35"/>
      <c r="L550" s="42"/>
      <c r="M550" s="28"/>
      <c r="N550" s="75"/>
      <c r="O550" s="72" t="s">
        <v>71</v>
      </c>
      <c r="P550" s="72">
        <v>28</v>
      </c>
      <c r="Q550" s="72">
        <v>0</v>
      </c>
      <c r="R550" s="72"/>
      <c r="S550" s="63"/>
      <c r="T550" s="72" t="s">
        <v>71</v>
      </c>
      <c r="U550" s="102">
        <f>Y549</f>
        <v>0</v>
      </c>
      <c r="V550" s="74">
        <v>15000</v>
      </c>
      <c r="W550" s="102">
        <f>IF(U550="","",U550+V550)</f>
        <v>15000</v>
      </c>
      <c r="X550" s="74">
        <v>5000</v>
      </c>
      <c r="Y550" s="102">
        <f>IF(W550="","",W550-X550)</f>
        <v>10000</v>
      </c>
      <c r="Z550" s="76"/>
    </row>
    <row r="551" spans="1:26" s="29" customFormat="1" ht="27.75" customHeight="1" x14ac:dyDescent="0.2">
      <c r="A551" s="30"/>
      <c r="B551" s="44" t="s">
        <v>41</v>
      </c>
      <c r="C551" s="45"/>
      <c r="F551" s="382" t="s">
        <v>43</v>
      </c>
      <c r="G551" s="384"/>
      <c r="I551" s="382" t="s">
        <v>44</v>
      </c>
      <c r="J551" s="383"/>
      <c r="K551" s="384"/>
      <c r="L551" s="46"/>
      <c r="N551" s="71"/>
      <c r="O551" s="72" t="s">
        <v>46</v>
      </c>
      <c r="P551" s="72">
        <v>31</v>
      </c>
      <c r="Q551" s="72">
        <v>0</v>
      </c>
      <c r="R551" s="72">
        <v>0</v>
      </c>
      <c r="S551" s="63"/>
      <c r="T551" s="72" t="s">
        <v>46</v>
      </c>
      <c r="U551" s="102">
        <f>IF($J$1="February","",Y550)</f>
        <v>10000</v>
      </c>
      <c r="V551" s="74"/>
      <c r="W551" s="102">
        <f t="shared" ref="W551:W560" si="132">IF(U551="","",U551+V551)</f>
        <v>10000</v>
      </c>
      <c r="X551" s="74"/>
      <c r="Y551" s="102">
        <f t="shared" ref="Y551:Y560" si="133">IF(W551="","",W551-X551)</f>
        <v>10000</v>
      </c>
      <c r="Z551" s="76"/>
    </row>
    <row r="552" spans="1:26" s="29" customFormat="1" ht="27.75" customHeight="1" x14ac:dyDescent="0.2">
      <c r="A552" s="30"/>
      <c r="H552" s="47"/>
      <c r="L552" s="34"/>
      <c r="N552" s="71"/>
      <c r="O552" s="72" t="s">
        <v>47</v>
      </c>
      <c r="P552" s="72">
        <v>30</v>
      </c>
      <c r="Q552" s="72">
        <v>0</v>
      </c>
      <c r="R552" s="72">
        <v>0</v>
      </c>
      <c r="S552" s="63"/>
      <c r="T552" s="72" t="s">
        <v>47</v>
      </c>
      <c r="U552" s="102">
        <f>IF($J$1="March","",Y551)</f>
        <v>10000</v>
      </c>
      <c r="V552" s="74"/>
      <c r="W552" s="102">
        <f t="shared" si="132"/>
        <v>10000</v>
      </c>
      <c r="X552" s="74">
        <v>5000</v>
      </c>
      <c r="Y552" s="102">
        <f t="shared" si="133"/>
        <v>5000</v>
      </c>
      <c r="Z552" s="76"/>
    </row>
    <row r="553" spans="1:26" s="29" customFormat="1" ht="27.75" customHeight="1" x14ac:dyDescent="0.2">
      <c r="A553" s="30"/>
      <c r="B553" s="380" t="s">
        <v>42</v>
      </c>
      <c r="C553" s="381"/>
      <c r="F553" s="48" t="s">
        <v>64</v>
      </c>
      <c r="G553" s="43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15000</v>
      </c>
      <c r="H553" s="47"/>
      <c r="I553" s="49">
        <f>IF(C557&gt;0,$K$2,C555)</f>
        <v>31</v>
      </c>
      <c r="J553" s="50" t="s">
        <v>61</v>
      </c>
      <c r="K553" s="51">
        <f>K549/$K$2*I553</f>
        <v>29500</v>
      </c>
      <c r="L553" s="52"/>
      <c r="N553" s="71"/>
      <c r="O553" s="72" t="s">
        <v>48</v>
      </c>
      <c r="P553" s="72">
        <v>31</v>
      </c>
      <c r="Q553" s="72">
        <v>0</v>
      </c>
      <c r="R553" s="72">
        <v>0</v>
      </c>
      <c r="S553" s="63"/>
      <c r="T553" s="72" t="s">
        <v>48</v>
      </c>
      <c r="U553" s="102">
        <f>Y552</f>
        <v>5000</v>
      </c>
      <c r="V553" s="74"/>
      <c r="W553" s="102">
        <f t="shared" si="132"/>
        <v>5000</v>
      </c>
      <c r="X553" s="74">
        <v>5000</v>
      </c>
      <c r="Y553" s="102">
        <f t="shared" si="133"/>
        <v>0</v>
      </c>
      <c r="Z553" s="76"/>
    </row>
    <row r="554" spans="1:26" s="29" customFormat="1" ht="27.75" customHeight="1" x14ac:dyDescent="0.2">
      <c r="A554" s="30"/>
      <c r="B554" s="39"/>
      <c r="C554" s="39"/>
      <c r="F554" s="48" t="s">
        <v>20</v>
      </c>
      <c r="G554" s="43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47"/>
      <c r="I554" s="49">
        <v>69</v>
      </c>
      <c r="J554" s="50" t="s">
        <v>62</v>
      </c>
      <c r="K554" s="53">
        <f>K549/$K$2/8*I554</f>
        <v>8207.6612903225814</v>
      </c>
      <c r="L554" s="54"/>
      <c r="N554" s="71"/>
      <c r="O554" s="72" t="s">
        <v>49</v>
      </c>
      <c r="P554" s="72">
        <v>30</v>
      </c>
      <c r="Q554" s="72">
        <v>0</v>
      </c>
      <c r="R554" s="72">
        <v>0</v>
      </c>
      <c r="S554" s="63"/>
      <c r="T554" s="72" t="s">
        <v>49</v>
      </c>
      <c r="U554" s="102">
        <f>Y553</f>
        <v>0</v>
      </c>
      <c r="V554" s="74">
        <f>25000+20000</f>
        <v>45000</v>
      </c>
      <c r="W554" s="102">
        <f t="shared" si="132"/>
        <v>45000</v>
      </c>
      <c r="X554" s="74">
        <v>25000</v>
      </c>
      <c r="Y554" s="102">
        <f t="shared" si="133"/>
        <v>20000</v>
      </c>
      <c r="Z554" s="76"/>
    </row>
    <row r="555" spans="1:26" s="29" customFormat="1" ht="27.75" customHeight="1" x14ac:dyDescent="0.2">
      <c r="A555" s="30"/>
      <c r="B555" s="48" t="s">
        <v>7</v>
      </c>
      <c r="C555" s="39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F555" s="48" t="s">
        <v>65</v>
      </c>
      <c r="G555" s="43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15000</v>
      </c>
      <c r="H555" s="47"/>
      <c r="I555" s="387" t="s">
        <v>69</v>
      </c>
      <c r="J555" s="388"/>
      <c r="K555" s="53">
        <f>K553+K554</f>
        <v>37707.661290322583</v>
      </c>
      <c r="L555" s="54"/>
      <c r="N555" s="71"/>
      <c r="O555" s="72" t="s">
        <v>50</v>
      </c>
      <c r="P555" s="72">
        <v>31</v>
      </c>
      <c r="Q555" s="72">
        <v>0</v>
      </c>
      <c r="R555" s="72">
        <v>0</v>
      </c>
      <c r="S555" s="63"/>
      <c r="T555" s="72" t="s">
        <v>50</v>
      </c>
      <c r="U555" s="102">
        <f>Y554</f>
        <v>20000</v>
      </c>
      <c r="V555" s="74"/>
      <c r="W555" s="102">
        <f t="shared" si="132"/>
        <v>20000</v>
      </c>
      <c r="X555" s="74">
        <v>5000</v>
      </c>
      <c r="Y555" s="102">
        <f t="shared" si="133"/>
        <v>15000</v>
      </c>
      <c r="Z555" s="76"/>
    </row>
    <row r="556" spans="1:26" s="29" customFormat="1" ht="27.75" customHeight="1" x14ac:dyDescent="0.2">
      <c r="A556" s="30"/>
      <c r="B556" s="48" t="s">
        <v>6</v>
      </c>
      <c r="C556" s="39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F556" s="48" t="s">
        <v>21</v>
      </c>
      <c r="G556" s="43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5000</v>
      </c>
      <c r="H556" s="47"/>
      <c r="I556" s="387" t="s">
        <v>70</v>
      </c>
      <c r="J556" s="388"/>
      <c r="K556" s="43">
        <f>G556</f>
        <v>5000</v>
      </c>
      <c r="L556" s="55"/>
      <c r="N556" s="71"/>
      <c r="O556" s="72" t="s">
        <v>51</v>
      </c>
      <c r="P556" s="72">
        <v>31</v>
      </c>
      <c r="Q556" s="72">
        <v>0</v>
      </c>
      <c r="R556" s="72">
        <v>0</v>
      </c>
      <c r="S556" s="63"/>
      <c r="T556" s="72" t="s">
        <v>51</v>
      </c>
      <c r="U556" s="102">
        <f>Y555</f>
        <v>15000</v>
      </c>
      <c r="V556" s="74"/>
      <c r="W556" s="102">
        <f t="shared" si="132"/>
        <v>15000</v>
      </c>
      <c r="X556" s="74">
        <v>5000</v>
      </c>
      <c r="Y556" s="102">
        <f t="shared" si="133"/>
        <v>10000</v>
      </c>
      <c r="Z556" s="76"/>
    </row>
    <row r="557" spans="1:26" s="29" customFormat="1" ht="27.75" customHeight="1" x14ac:dyDescent="0.2">
      <c r="A557" s="30"/>
      <c r="B557" s="318" t="s">
        <v>68</v>
      </c>
      <c r="C557" s="39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F557" s="318" t="s">
        <v>210</v>
      </c>
      <c r="G557" s="43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10000</v>
      </c>
      <c r="I557" s="382" t="s">
        <v>63</v>
      </c>
      <c r="J557" s="384"/>
      <c r="K557" s="57">
        <f>K555-K556</f>
        <v>32707.661290322583</v>
      </c>
      <c r="L557" s="58"/>
      <c r="N557" s="71"/>
      <c r="O557" s="72" t="s">
        <v>56</v>
      </c>
      <c r="P557" s="72"/>
      <c r="Q557" s="72"/>
      <c r="R557" s="72">
        <v>0</v>
      </c>
      <c r="S557" s="63"/>
      <c r="T557" s="72" t="s">
        <v>56</v>
      </c>
      <c r="U557" s="102">
        <v>0</v>
      </c>
      <c r="V557" s="74"/>
      <c r="W557" s="102">
        <f t="shared" si="132"/>
        <v>0</v>
      </c>
      <c r="X557" s="74"/>
      <c r="Y557" s="102">
        <f t="shared" si="133"/>
        <v>0</v>
      </c>
      <c r="Z557" s="76"/>
    </row>
    <row r="558" spans="1:26" s="29" customFormat="1" ht="27.75" customHeight="1" x14ac:dyDescent="0.2">
      <c r="A558" s="30"/>
      <c r="L558" s="46"/>
      <c r="N558" s="71"/>
      <c r="O558" s="72" t="s">
        <v>52</v>
      </c>
      <c r="P558" s="72"/>
      <c r="Q558" s="72"/>
      <c r="R558" s="72">
        <v>0</v>
      </c>
      <c r="S558" s="63"/>
      <c r="T558" s="72" t="s">
        <v>52</v>
      </c>
      <c r="U558" s="102" t="str">
        <f>IF($J$1="October",Y557,"")</f>
        <v/>
      </c>
      <c r="V558" s="74"/>
      <c r="W558" s="102" t="str">
        <f t="shared" si="132"/>
        <v/>
      </c>
      <c r="X558" s="74"/>
      <c r="Y558" s="102" t="str">
        <f t="shared" si="133"/>
        <v/>
      </c>
      <c r="Z558" s="76"/>
    </row>
    <row r="559" spans="1:26" s="29" customFormat="1" ht="27.75" customHeight="1" x14ac:dyDescent="0.35">
      <c r="A559" s="30"/>
      <c r="B559" s="319"/>
      <c r="C559" s="319"/>
      <c r="D559" s="319"/>
      <c r="E559" s="319"/>
      <c r="F559" s="319"/>
      <c r="G559" s="319"/>
      <c r="H559" s="319"/>
      <c r="I559" s="319"/>
      <c r="J559" s="319"/>
      <c r="K559" s="319"/>
      <c r="L559" s="46"/>
      <c r="N559" s="71"/>
      <c r="O559" s="72" t="s">
        <v>57</v>
      </c>
      <c r="P559" s="72"/>
      <c r="Q559" s="72"/>
      <c r="R559" s="72">
        <v>0</v>
      </c>
      <c r="S559" s="63"/>
      <c r="T559" s="72" t="s">
        <v>57</v>
      </c>
      <c r="U559" s="102"/>
      <c r="V559" s="74"/>
      <c r="W559" s="102" t="str">
        <f t="shared" si="132"/>
        <v/>
      </c>
      <c r="X559" s="74"/>
      <c r="Y559" s="102" t="str">
        <f t="shared" si="133"/>
        <v/>
      </c>
      <c r="Z559" s="76"/>
    </row>
    <row r="560" spans="1:26" s="29" customFormat="1" ht="27.75" customHeight="1" thickBot="1" x14ac:dyDescent="0.4">
      <c r="A560" s="59"/>
      <c r="B560" s="320"/>
      <c r="C560" s="320"/>
      <c r="D560" s="320"/>
      <c r="E560" s="320"/>
      <c r="F560" s="320"/>
      <c r="G560" s="320"/>
      <c r="H560" s="320"/>
      <c r="I560" s="320"/>
      <c r="J560" s="320"/>
      <c r="K560" s="320"/>
      <c r="L560" s="61"/>
      <c r="N560" s="71"/>
      <c r="O560" s="72" t="s">
        <v>58</v>
      </c>
      <c r="P560" s="72"/>
      <c r="Q560" s="72"/>
      <c r="R560" s="72">
        <v>0</v>
      </c>
      <c r="S560" s="63"/>
      <c r="T560" s="72" t="s">
        <v>58</v>
      </c>
      <c r="U560" s="102">
        <v>0</v>
      </c>
      <c r="V560" s="74"/>
      <c r="W560" s="102">
        <f t="shared" si="132"/>
        <v>0</v>
      </c>
      <c r="X560" s="74"/>
      <c r="Y560" s="102">
        <f t="shared" si="133"/>
        <v>0</v>
      </c>
      <c r="Z560" s="76"/>
    </row>
    <row r="561" spans="1:27" s="94" customFormat="1" ht="27.75" customHeight="1" thickBot="1" x14ac:dyDescent="0.25"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7" s="29" customFormat="1" ht="27.75" customHeight="1" thickBot="1" x14ac:dyDescent="0.25">
      <c r="A562" s="389" t="s">
        <v>40</v>
      </c>
      <c r="B562" s="390"/>
      <c r="C562" s="390"/>
      <c r="D562" s="390"/>
      <c r="E562" s="390"/>
      <c r="F562" s="390"/>
      <c r="G562" s="390"/>
      <c r="H562" s="390"/>
      <c r="I562" s="390"/>
      <c r="J562" s="390"/>
      <c r="K562" s="390"/>
      <c r="L562" s="391"/>
      <c r="M562" s="28"/>
      <c r="N562" s="64"/>
      <c r="O562" s="377" t="s">
        <v>42</v>
      </c>
      <c r="P562" s="378"/>
      <c r="Q562" s="378"/>
      <c r="R562" s="379"/>
      <c r="S562" s="65"/>
      <c r="T562" s="377" t="s">
        <v>43</v>
      </c>
      <c r="U562" s="378"/>
      <c r="V562" s="378"/>
      <c r="W562" s="378"/>
      <c r="X562" s="378"/>
      <c r="Y562" s="379"/>
      <c r="Z562" s="66"/>
      <c r="AA562" s="28"/>
    </row>
    <row r="563" spans="1:27" s="29" customFormat="1" ht="27.75" customHeight="1" x14ac:dyDescent="0.2">
      <c r="A563" s="30"/>
      <c r="C563" s="386" t="s">
        <v>83</v>
      </c>
      <c r="D563" s="386"/>
      <c r="E563" s="386"/>
      <c r="F563" s="386"/>
      <c r="G563" s="31" t="str">
        <f>$J$1</f>
        <v>August</v>
      </c>
      <c r="H563" s="385">
        <f>$K$1</f>
        <v>2023</v>
      </c>
      <c r="I563" s="385"/>
      <c r="K563" s="32"/>
      <c r="L563" s="33"/>
      <c r="M563" s="32"/>
      <c r="N563" s="67"/>
      <c r="O563" s="68" t="s">
        <v>53</v>
      </c>
      <c r="P563" s="68" t="s">
        <v>7</v>
      </c>
      <c r="Q563" s="68" t="s">
        <v>6</v>
      </c>
      <c r="R563" s="68" t="s">
        <v>54</v>
      </c>
      <c r="S563" s="69"/>
      <c r="T563" s="68" t="s">
        <v>53</v>
      </c>
      <c r="U563" s="68" t="s">
        <v>55</v>
      </c>
      <c r="V563" s="68" t="s">
        <v>20</v>
      </c>
      <c r="W563" s="68" t="s">
        <v>19</v>
      </c>
      <c r="X563" s="68" t="s">
        <v>21</v>
      </c>
      <c r="Y563" s="68" t="s">
        <v>59</v>
      </c>
      <c r="Z563" s="70"/>
      <c r="AA563" s="32"/>
    </row>
    <row r="564" spans="1:27" s="29" customFormat="1" ht="27.75" customHeight="1" x14ac:dyDescent="0.2">
      <c r="A564" s="30"/>
      <c r="D564" s="35"/>
      <c r="E564" s="35"/>
      <c r="F564" s="35"/>
      <c r="G564" s="35"/>
      <c r="H564" s="35"/>
      <c r="J564" s="36" t="s">
        <v>1</v>
      </c>
      <c r="K564" s="37">
        <f>18000+3000+1000+3000</f>
        <v>25000</v>
      </c>
      <c r="L564" s="38"/>
      <c r="N564" s="71"/>
      <c r="O564" s="72" t="s">
        <v>45</v>
      </c>
      <c r="P564" s="72">
        <v>31</v>
      </c>
      <c r="Q564" s="72">
        <v>0</v>
      </c>
      <c r="R564" s="72">
        <v>0</v>
      </c>
      <c r="S564" s="73"/>
      <c r="T564" s="72" t="s">
        <v>45</v>
      </c>
      <c r="U564" s="74"/>
      <c r="V564" s="74"/>
      <c r="W564" s="74">
        <f>V564+U564</f>
        <v>0</v>
      </c>
      <c r="X564" s="74"/>
      <c r="Y564" s="74">
        <f>W564-X564</f>
        <v>0</v>
      </c>
      <c r="Z564" s="70"/>
    </row>
    <row r="565" spans="1:27" s="29" customFormat="1" ht="27.75" customHeight="1" x14ac:dyDescent="0.2">
      <c r="A565" s="30"/>
      <c r="B565" s="29" t="s">
        <v>0</v>
      </c>
      <c r="C565" s="40" t="s">
        <v>176</v>
      </c>
      <c r="H565" s="41"/>
      <c r="I565" s="35"/>
      <c r="L565" s="42"/>
      <c r="M565" s="28"/>
      <c r="N565" s="75"/>
      <c r="O565" s="72" t="s">
        <v>71</v>
      </c>
      <c r="P565" s="72">
        <v>27</v>
      </c>
      <c r="Q565" s="72">
        <v>1</v>
      </c>
      <c r="R565" s="72">
        <v>0</v>
      </c>
      <c r="S565" s="63"/>
      <c r="T565" s="72" t="s">
        <v>71</v>
      </c>
      <c r="U565" s="102">
        <f>IF($J$1="January","",Y564)</f>
        <v>0</v>
      </c>
      <c r="V565" s="74"/>
      <c r="W565" s="102">
        <f>IF(U565="","",U565+V565)</f>
        <v>0</v>
      </c>
      <c r="X565" s="74"/>
      <c r="Y565" s="102">
        <f>IF(W565="","",W565-X565)</f>
        <v>0</v>
      </c>
      <c r="Z565" s="76"/>
      <c r="AA565" s="28"/>
    </row>
    <row r="566" spans="1:27" s="29" customFormat="1" ht="27.75" customHeight="1" x14ac:dyDescent="0.2">
      <c r="A566" s="30"/>
      <c r="B566" s="44" t="s">
        <v>41</v>
      </c>
      <c r="C566" s="45"/>
      <c r="F566" s="382" t="s">
        <v>43</v>
      </c>
      <c r="G566" s="384"/>
      <c r="I566" s="382" t="s">
        <v>44</v>
      </c>
      <c r="J566" s="383"/>
      <c r="K566" s="384"/>
      <c r="L566" s="46"/>
      <c r="N566" s="71"/>
      <c r="O566" s="72" t="s">
        <v>46</v>
      </c>
      <c r="P566" s="72">
        <v>31</v>
      </c>
      <c r="Q566" s="72">
        <v>0</v>
      </c>
      <c r="R566" s="72">
        <f t="shared" ref="R566" si="134">IF(Q566="","",R565-Q566)</f>
        <v>0</v>
      </c>
      <c r="S566" s="63"/>
      <c r="T566" s="72" t="s">
        <v>46</v>
      </c>
      <c r="U566" s="102">
        <f>IF($J$1="February","",Y565)</f>
        <v>0</v>
      </c>
      <c r="V566" s="74"/>
      <c r="W566" s="102">
        <f t="shared" ref="W566:W575" si="135">IF(U566="","",U566+V566)</f>
        <v>0</v>
      </c>
      <c r="X566" s="74"/>
      <c r="Y566" s="102">
        <f t="shared" ref="Y566:Y575" si="136">IF(W566="","",W566-X566)</f>
        <v>0</v>
      </c>
      <c r="Z566" s="76"/>
    </row>
    <row r="567" spans="1:27" s="29" customFormat="1" ht="27.75" customHeight="1" x14ac:dyDescent="0.2">
      <c r="A567" s="30"/>
      <c r="H567" s="47"/>
      <c r="L567" s="34"/>
      <c r="N567" s="71"/>
      <c r="O567" s="72" t="s">
        <v>47</v>
      </c>
      <c r="P567" s="72">
        <v>30</v>
      </c>
      <c r="Q567" s="72">
        <v>0</v>
      </c>
      <c r="R567" s="72">
        <v>0</v>
      </c>
      <c r="S567" s="63"/>
      <c r="T567" s="72" t="s">
        <v>47</v>
      </c>
      <c r="U567" s="102">
        <f>IF($J$1="March","",Y566)</f>
        <v>0</v>
      </c>
      <c r="V567" s="74">
        <v>50000</v>
      </c>
      <c r="W567" s="102">
        <f t="shared" si="135"/>
        <v>50000</v>
      </c>
      <c r="X567" s="74">
        <v>5000</v>
      </c>
      <c r="Y567" s="102">
        <f t="shared" si="136"/>
        <v>45000</v>
      </c>
      <c r="Z567" s="76"/>
    </row>
    <row r="568" spans="1:27" s="29" customFormat="1" ht="27.75" customHeight="1" x14ac:dyDescent="0.2">
      <c r="A568" s="30"/>
      <c r="B568" s="380" t="s">
        <v>42</v>
      </c>
      <c r="C568" s="381"/>
      <c r="F568" s="48" t="s">
        <v>64</v>
      </c>
      <c r="G568" s="43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35000</v>
      </c>
      <c r="H568" s="47"/>
      <c r="I568" s="49">
        <f>IF(C572&gt;0,$K$2,C570)</f>
        <v>30</v>
      </c>
      <c r="J568" s="50" t="s">
        <v>61</v>
      </c>
      <c r="K568" s="51">
        <f>K564/$K$2*I568</f>
        <v>24193.548387096776</v>
      </c>
      <c r="L568" s="52"/>
      <c r="N568" s="71"/>
      <c r="O568" s="72" t="s">
        <v>48</v>
      </c>
      <c r="P568" s="72">
        <v>27</v>
      </c>
      <c r="Q568" s="72">
        <v>4</v>
      </c>
      <c r="R568" s="72">
        <v>0</v>
      </c>
      <c r="S568" s="63"/>
      <c r="T568" s="72" t="s">
        <v>48</v>
      </c>
      <c r="U568" s="102">
        <f>Y567</f>
        <v>45000</v>
      </c>
      <c r="V568" s="74"/>
      <c r="W568" s="102">
        <f t="shared" si="135"/>
        <v>45000</v>
      </c>
      <c r="X568" s="74">
        <v>5000</v>
      </c>
      <c r="Y568" s="102">
        <f t="shared" si="136"/>
        <v>40000</v>
      </c>
      <c r="Z568" s="76"/>
    </row>
    <row r="569" spans="1:27" s="29" customFormat="1" ht="27.75" customHeight="1" x14ac:dyDescent="0.2">
      <c r="A569" s="30"/>
      <c r="B569" s="39"/>
      <c r="C569" s="39"/>
      <c r="F569" s="48" t="s">
        <v>20</v>
      </c>
      <c r="G569" s="43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47"/>
      <c r="I569" s="49">
        <v>35</v>
      </c>
      <c r="J569" s="50" t="s">
        <v>62</v>
      </c>
      <c r="K569" s="53">
        <f>K564/$K$2/8*I569</f>
        <v>3528.2258064516132</v>
      </c>
      <c r="L569" s="54"/>
      <c r="N569" s="71"/>
      <c r="O569" s="72" t="s">
        <v>49</v>
      </c>
      <c r="P569" s="72">
        <v>30</v>
      </c>
      <c r="Q569" s="72">
        <v>0</v>
      </c>
      <c r="R569" s="72">
        <v>0</v>
      </c>
      <c r="S569" s="63"/>
      <c r="T569" s="72" t="s">
        <v>49</v>
      </c>
      <c r="U569" s="102">
        <f>Y568</f>
        <v>40000</v>
      </c>
      <c r="V569" s="74">
        <v>15500</v>
      </c>
      <c r="W569" s="102">
        <f t="shared" si="135"/>
        <v>55500</v>
      </c>
      <c r="X569" s="74">
        <v>15500</v>
      </c>
      <c r="Y569" s="102">
        <f t="shared" si="136"/>
        <v>40000</v>
      </c>
      <c r="Z569" s="76"/>
    </row>
    <row r="570" spans="1:27" s="29" customFormat="1" ht="27.75" customHeight="1" x14ac:dyDescent="0.2">
      <c r="A570" s="30"/>
      <c r="B570" s="48" t="s">
        <v>7</v>
      </c>
      <c r="C570" s="39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F570" s="48" t="s">
        <v>65</v>
      </c>
      <c r="G570" s="43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35000</v>
      </c>
      <c r="H570" s="47"/>
      <c r="I570" s="387" t="s">
        <v>69</v>
      </c>
      <c r="J570" s="388"/>
      <c r="K570" s="53">
        <f>K568+K569</f>
        <v>27721.77419354839</v>
      </c>
      <c r="L570" s="54"/>
      <c r="N570" s="71"/>
      <c r="O570" s="72" t="s">
        <v>50</v>
      </c>
      <c r="P570" s="72">
        <v>31</v>
      </c>
      <c r="Q570" s="72">
        <v>0</v>
      </c>
      <c r="R570" s="72">
        <v>0</v>
      </c>
      <c r="S570" s="63"/>
      <c r="T570" s="72" t="s">
        <v>50</v>
      </c>
      <c r="U570" s="102">
        <f>Y569</f>
        <v>40000</v>
      </c>
      <c r="V570" s="74"/>
      <c r="W570" s="102">
        <f t="shared" si="135"/>
        <v>40000</v>
      </c>
      <c r="X570" s="74">
        <v>5000</v>
      </c>
      <c r="Y570" s="102">
        <f t="shared" si="136"/>
        <v>35000</v>
      </c>
      <c r="Z570" s="76"/>
    </row>
    <row r="571" spans="1:27" s="29" customFormat="1" ht="27.75" customHeight="1" x14ac:dyDescent="0.2">
      <c r="A571" s="30"/>
      <c r="B571" s="48" t="s">
        <v>6</v>
      </c>
      <c r="C571" s="39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1</v>
      </c>
      <c r="F571" s="48" t="s">
        <v>21</v>
      </c>
      <c r="G571" s="43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0</v>
      </c>
      <c r="H571" s="47"/>
      <c r="I571" s="387" t="s">
        <v>70</v>
      </c>
      <c r="J571" s="388"/>
      <c r="K571" s="43">
        <f>G571</f>
        <v>0</v>
      </c>
      <c r="L571" s="55"/>
      <c r="N571" s="71"/>
      <c r="O571" s="72" t="s">
        <v>51</v>
      </c>
      <c r="P571" s="72">
        <v>30</v>
      </c>
      <c r="Q571" s="72">
        <v>1</v>
      </c>
      <c r="R571" s="72">
        <v>0</v>
      </c>
      <c r="S571" s="63"/>
      <c r="T571" s="72" t="s">
        <v>51</v>
      </c>
      <c r="U571" s="102">
        <f>Y570</f>
        <v>35000</v>
      </c>
      <c r="V571" s="74"/>
      <c r="W571" s="102">
        <f t="shared" si="135"/>
        <v>35000</v>
      </c>
      <c r="X571" s="74"/>
      <c r="Y571" s="102">
        <f t="shared" si="136"/>
        <v>35000</v>
      </c>
      <c r="Z571" s="76"/>
    </row>
    <row r="572" spans="1:27" s="29" customFormat="1" ht="27.75" customHeight="1" x14ac:dyDescent="0.2">
      <c r="A572" s="30"/>
      <c r="B572" s="318" t="s">
        <v>68</v>
      </c>
      <c r="C572" s="39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F572" s="318" t="s">
        <v>210</v>
      </c>
      <c r="G572" s="43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35000</v>
      </c>
      <c r="I572" s="382" t="s">
        <v>63</v>
      </c>
      <c r="J572" s="384"/>
      <c r="K572" s="57">
        <f>K570-K571</f>
        <v>27721.77419354839</v>
      </c>
      <c r="L572" s="58"/>
      <c r="N572" s="71"/>
      <c r="O572" s="72" t="s">
        <v>56</v>
      </c>
      <c r="P572" s="72"/>
      <c r="Q572" s="72"/>
      <c r="R572" s="72">
        <v>0</v>
      </c>
      <c r="S572" s="63"/>
      <c r="T572" s="72" t="s">
        <v>56</v>
      </c>
      <c r="U572" s="102">
        <v>0</v>
      </c>
      <c r="V572" s="74"/>
      <c r="W572" s="102">
        <f t="shared" si="135"/>
        <v>0</v>
      </c>
      <c r="X572" s="74"/>
      <c r="Y572" s="102">
        <f t="shared" si="136"/>
        <v>0</v>
      </c>
      <c r="Z572" s="76"/>
    </row>
    <row r="573" spans="1:27" s="29" customFormat="1" ht="27.75" customHeight="1" x14ac:dyDescent="0.2">
      <c r="A573" s="30"/>
      <c r="L573" s="46"/>
      <c r="N573" s="71"/>
      <c r="O573" s="72" t="s">
        <v>52</v>
      </c>
      <c r="P573" s="72"/>
      <c r="Q573" s="72"/>
      <c r="R573" s="72">
        <v>0</v>
      </c>
      <c r="S573" s="63"/>
      <c r="T573" s="72" t="s">
        <v>52</v>
      </c>
      <c r="U573" s="102" t="str">
        <f>IF($J$1="October",Y572,"")</f>
        <v/>
      </c>
      <c r="V573" s="74"/>
      <c r="W573" s="102" t="str">
        <f t="shared" si="135"/>
        <v/>
      </c>
      <c r="X573" s="74"/>
      <c r="Y573" s="102" t="str">
        <f t="shared" si="136"/>
        <v/>
      </c>
      <c r="Z573" s="76"/>
    </row>
    <row r="574" spans="1:27" s="29" customFormat="1" ht="27.75" customHeight="1" x14ac:dyDescent="0.35">
      <c r="A574" s="30"/>
      <c r="B574" s="319"/>
      <c r="C574" s="319"/>
      <c r="D574" s="319"/>
      <c r="E574" s="319"/>
      <c r="F574" s="319"/>
      <c r="G574" s="319"/>
      <c r="H574" s="319"/>
      <c r="I574" s="319"/>
      <c r="J574" s="319"/>
      <c r="K574" s="319"/>
      <c r="L574" s="46"/>
      <c r="N574" s="71"/>
      <c r="O574" s="72" t="s">
        <v>57</v>
      </c>
      <c r="P574" s="72"/>
      <c r="Q574" s="72"/>
      <c r="R574" s="72">
        <v>0</v>
      </c>
      <c r="S574" s="63"/>
      <c r="T574" s="72" t="s">
        <v>57</v>
      </c>
      <c r="U574" s="102" t="str">
        <f>IF($J$1="October","",Y573)</f>
        <v/>
      </c>
      <c r="V574" s="74"/>
      <c r="W574" s="102" t="str">
        <f t="shared" si="135"/>
        <v/>
      </c>
      <c r="X574" s="74"/>
      <c r="Y574" s="102" t="str">
        <f t="shared" si="136"/>
        <v/>
      </c>
      <c r="Z574" s="76"/>
    </row>
    <row r="575" spans="1:27" s="29" customFormat="1" ht="27.75" customHeight="1" thickBot="1" x14ac:dyDescent="0.4">
      <c r="A575" s="59"/>
      <c r="B575" s="320"/>
      <c r="C575" s="320"/>
      <c r="D575" s="320"/>
      <c r="E575" s="320"/>
      <c r="F575" s="320"/>
      <c r="G575" s="320"/>
      <c r="H575" s="320"/>
      <c r="I575" s="320"/>
      <c r="J575" s="320"/>
      <c r="K575" s="320"/>
      <c r="L575" s="61"/>
      <c r="N575" s="71"/>
      <c r="O575" s="72" t="s">
        <v>58</v>
      </c>
      <c r="P575" s="72"/>
      <c r="Q575" s="72"/>
      <c r="R575" s="72">
        <v>0</v>
      </c>
      <c r="S575" s="63"/>
      <c r="T575" s="72" t="s">
        <v>58</v>
      </c>
      <c r="U575" s="102" t="str">
        <f>IF($J$1="November","",Y574)</f>
        <v/>
      </c>
      <c r="V575" s="74"/>
      <c r="W575" s="102" t="str">
        <f t="shared" si="135"/>
        <v/>
      </c>
      <c r="X575" s="74"/>
      <c r="Y575" s="102" t="str">
        <f t="shared" si="136"/>
        <v/>
      </c>
      <c r="Z575" s="76"/>
    </row>
    <row r="576" spans="1:27" s="94" customFormat="1" ht="27.75" customHeight="1" thickBot="1" x14ac:dyDescent="0.25"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7" s="29" customFormat="1" ht="27.75" customHeight="1" thickBot="1" x14ac:dyDescent="0.25">
      <c r="A577" s="389" t="s">
        <v>40</v>
      </c>
      <c r="B577" s="390"/>
      <c r="C577" s="390"/>
      <c r="D577" s="390"/>
      <c r="E577" s="390"/>
      <c r="F577" s="390"/>
      <c r="G577" s="390"/>
      <c r="H577" s="390"/>
      <c r="I577" s="390"/>
      <c r="J577" s="390"/>
      <c r="K577" s="390"/>
      <c r="L577" s="391"/>
      <c r="M577" s="28"/>
      <c r="N577" s="64"/>
      <c r="O577" s="377" t="s">
        <v>42</v>
      </c>
      <c r="P577" s="378"/>
      <c r="Q577" s="378"/>
      <c r="R577" s="379"/>
      <c r="S577" s="65"/>
      <c r="T577" s="377" t="s">
        <v>43</v>
      </c>
      <c r="U577" s="378"/>
      <c r="V577" s="378"/>
      <c r="W577" s="378"/>
      <c r="X577" s="378"/>
      <c r="Y577" s="379"/>
      <c r="Z577" s="66"/>
      <c r="AA577" s="28"/>
    </row>
    <row r="578" spans="1:27" s="29" customFormat="1" ht="27.75" customHeight="1" x14ac:dyDescent="0.2">
      <c r="A578" s="30"/>
      <c r="C578" s="386" t="s">
        <v>83</v>
      </c>
      <c r="D578" s="386"/>
      <c r="E578" s="386"/>
      <c r="F578" s="386"/>
      <c r="G578" s="31" t="str">
        <f>$J$1</f>
        <v>August</v>
      </c>
      <c r="H578" s="385">
        <f>$K$1</f>
        <v>2023</v>
      </c>
      <c r="I578" s="385"/>
      <c r="K578" s="32"/>
      <c r="L578" s="33"/>
      <c r="M578" s="32"/>
      <c r="N578" s="67"/>
      <c r="O578" s="68" t="s">
        <v>53</v>
      </c>
      <c r="P578" s="68" t="s">
        <v>7</v>
      </c>
      <c r="Q578" s="68" t="s">
        <v>6</v>
      </c>
      <c r="R578" s="68" t="s">
        <v>54</v>
      </c>
      <c r="S578" s="69"/>
      <c r="T578" s="68" t="s">
        <v>53</v>
      </c>
      <c r="U578" s="68" t="s">
        <v>55</v>
      </c>
      <c r="V578" s="68" t="s">
        <v>20</v>
      </c>
      <c r="W578" s="68" t="s">
        <v>19</v>
      </c>
      <c r="X578" s="68" t="s">
        <v>21</v>
      </c>
      <c r="Y578" s="68" t="s">
        <v>59</v>
      </c>
      <c r="Z578" s="70"/>
      <c r="AA578" s="32"/>
    </row>
    <row r="579" spans="1:27" s="29" customFormat="1" ht="27.75" customHeight="1" x14ac:dyDescent="0.2">
      <c r="A579" s="30"/>
      <c r="D579" s="35"/>
      <c r="E579" s="35"/>
      <c r="F579" s="35"/>
      <c r="G579" s="35"/>
      <c r="H579" s="35"/>
      <c r="J579" s="36" t="s">
        <v>1</v>
      </c>
      <c r="K579" s="37">
        <f>30000</f>
        <v>30000</v>
      </c>
      <c r="L579" s="38"/>
      <c r="N579" s="71"/>
      <c r="O579" s="72" t="s">
        <v>45</v>
      </c>
      <c r="P579" s="72">
        <v>31</v>
      </c>
      <c r="Q579" s="72">
        <v>0</v>
      </c>
      <c r="R579" s="72">
        <v>0</v>
      </c>
      <c r="S579" s="73"/>
      <c r="T579" s="72" t="s">
        <v>45</v>
      </c>
      <c r="U579" s="74">
        <v>26000</v>
      </c>
      <c r="V579" s="74"/>
      <c r="W579" s="74">
        <f>V579+U579</f>
        <v>26000</v>
      </c>
      <c r="X579" s="74">
        <v>5000</v>
      </c>
      <c r="Y579" s="74">
        <f>W579-X579</f>
        <v>21000</v>
      </c>
      <c r="Z579" s="70"/>
    </row>
    <row r="580" spans="1:27" s="29" customFormat="1" ht="27.75" customHeight="1" x14ac:dyDescent="0.2">
      <c r="A580" s="30"/>
      <c r="B580" s="29" t="s">
        <v>0</v>
      </c>
      <c r="C580" s="40" t="s">
        <v>178</v>
      </c>
      <c r="H580" s="41"/>
      <c r="I580" s="35"/>
      <c r="L580" s="42"/>
      <c r="M580" s="28"/>
      <c r="N580" s="75"/>
      <c r="O580" s="72" t="s">
        <v>71</v>
      </c>
      <c r="P580" s="72">
        <v>26</v>
      </c>
      <c r="Q580" s="72">
        <v>2</v>
      </c>
      <c r="R580" s="72">
        <v>0</v>
      </c>
      <c r="S580" s="63"/>
      <c r="T580" s="72" t="s">
        <v>71</v>
      </c>
      <c r="U580" s="102">
        <f>IF($J$1="January","",Y579)</f>
        <v>21000</v>
      </c>
      <c r="V580" s="74"/>
      <c r="W580" s="102">
        <f>IF(U580="","",U580+V580)</f>
        <v>21000</v>
      </c>
      <c r="X580" s="74">
        <v>5000</v>
      </c>
      <c r="Y580" s="102">
        <f>IF(W580="","",W580-X580)</f>
        <v>16000</v>
      </c>
      <c r="Z580" s="76"/>
      <c r="AA580" s="28"/>
    </row>
    <row r="581" spans="1:27" s="29" customFormat="1" ht="27.75" customHeight="1" x14ac:dyDescent="0.2">
      <c r="A581" s="30"/>
      <c r="B581" s="44" t="s">
        <v>41</v>
      </c>
      <c r="C581" s="45"/>
      <c r="F581" s="382" t="s">
        <v>43</v>
      </c>
      <c r="G581" s="384"/>
      <c r="I581" s="382" t="s">
        <v>44</v>
      </c>
      <c r="J581" s="383"/>
      <c r="K581" s="384"/>
      <c r="L581" s="46"/>
      <c r="N581" s="71"/>
      <c r="O581" s="72" t="s">
        <v>46</v>
      </c>
      <c r="P581" s="72">
        <v>28</v>
      </c>
      <c r="Q581" s="72">
        <v>3</v>
      </c>
      <c r="R581" s="72">
        <v>0</v>
      </c>
      <c r="S581" s="63"/>
      <c r="T581" s="72" t="s">
        <v>46</v>
      </c>
      <c r="U581" s="102">
        <f>IF($J$1="February","",Y580)</f>
        <v>16000</v>
      </c>
      <c r="V581" s="74">
        <v>40000</v>
      </c>
      <c r="W581" s="102">
        <f t="shared" ref="W581:W590" si="137">IF(U581="","",U581+V581)</f>
        <v>56000</v>
      </c>
      <c r="X581" s="74">
        <v>5000</v>
      </c>
      <c r="Y581" s="102">
        <f t="shared" ref="Y581:Y590" si="138">IF(W581="","",W581-X581)</f>
        <v>51000</v>
      </c>
      <c r="Z581" s="76"/>
    </row>
    <row r="582" spans="1:27" s="29" customFormat="1" ht="27.75" customHeight="1" x14ac:dyDescent="0.2">
      <c r="A582" s="30"/>
      <c r="H582" s="47"/>
      <c r="L582" s="34"/>
      <c r="N582" s="71"/>
      <c r="O582" s="72" t="s">
        <v>47</v>
      </c>
      <c r="P582" s="72">
        <v>29</v>
      </c>
      <c r="Q582" s="72">
        <v>1</v>
      </c>
      <c r="R582" s="72">
        <f t="shared" ref="R582:R590" si="139">IF(Q582="","",R581-Q582)</f>
        <v>-1</v>
      </c>
      <c r="S582" s="63"/>
      <c r="T582" s="72" t="s">
        <v>47</v>
      </c>
      <c r="U582" s="102">
        <f>IF($J$1="March","",Y581)</f>
        <v>51000</v>
      </c>
      <c r="V582" s="74"/>
      <c r="W582" s="102">
        <f t="shared" si="137"/>
        <v>51000</v>
      </c>
      <c r="X582" s="74">
        <v>5000</v>
      </c>
      <c r="Y582" s="102">
        <f t="shared" si="138"/>
        <v>46000</v>
      </c>
      <c r="Z582" s="76"/>
    </row>
    <row r="583" spans="1:27" s="29" customFormat="1" ht="27.75" customHeight="1" x14ac:dyDescent="0.2">
      <c r="A583" s="30"/>
      <c r="B583" s="380" t="s">
        <v>42</v>
      </c>
      <c r="C583" s="381"/>
      <c r="F583" s="48" t="s">
        <v>64</v>
      </c>
      <c r="G583" s="43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45000</v>
      </c>
      <c r="H583" s="47"/>
      <c r="I583" s="49">
        <f>IF(C587&gt;0,$K$2,C585)</f>
        <v>0</v>
      </c>
      <c r="J583" s="50" t="s">
        <v>61</v>
      </c>
      <c r="K583" s="51">
        <f>K579/$K$2*I583</f>
        <v>0</v>
      </c>
      <c r="L583" s="52"/>
      <c r="N583" s="71"/>
      <c r="O583" s="72" t="s">
        <v>48</v>
      </c>
      <c r="P583" s="72">
        <v>29</v>
      </c>
      <c r="Q583" s="72">
        <v>2</v>
      </c>
      <c r="R583" s="72">
        <v>0</v>
      </c>
      <c r="S583" s="63"/>
      <c r="T583" s="72" t="s">
        <v>48</v>
      </c>
      <c r="U583" s="102">
        <f>Y582</f>
        <v>46000</v>
      </c>
      <c r="V583" s="74">
        <v>9000</v>
      </c>
      <c r="W583" s="102">
        <f t="shared" si="137"/>
        <v>55000</v>
      </c>
      <c r="X583" s="74">
        <v>10000</v>
      </c>
      <c r="Y583" s="102">
        <f t="shared" si="138"/>
        <v>45000</v>
      </c>
      <c r="Z583" s="76"/>
    </row>
    <row r="584" spans="1:27" s="29" customFormat="1" ht="27.75" customHeight="1" x14ac:dyDescent="0.2">
      <c r="A584" s="30"/>
      <c r="B584" s="39"/>
      <c r="C584" s="39"/>
      <c r="F584" s="48" t="s">
        <v>20</v>
      </c>
      <c r="G584" s="43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47"/>
      <c r="I584" s="49">
        <v>98</v>
      </c>
      <c r="J584" s="50" t="s">
        <v>62</v>
      </c>
      <c r="K584" s="53">
        <f>K579/$K$2/8*I584</f>
        <v>11854.838709677419</v>
      </c>
      <c r="L584" s="54"/>
      <c r="N584" s="71"/>
      <c r="O584" s="72" t="s">
        <v>49</v>
      </c>
      <c r="P584" s="72"/>
      <c r="Q584" s="72"/>
      <c r="R584" s="72">
        <v>0</v>
      </c>
      <c r="S584" s="63"/>
      <c r="T584" s="72" t="s">
        <v>49</v>
      </c>
      <c r="U584" s="102">
        <f>Y583</f>
        <v>45000</v>
      </c>
      <c r="V584" s="74"/>
      <c r="W584" s="102">
        <f t="shared" si="137"/>
        <v>45000</v>
      </c>
      <c r="X584" s="74"/>
      <c r="Y584" s="102">
        <f t="shared" si="138"/>
        <v>45000</v>
      </c>
      <c r="Z584" s="76"/>
    </row>
    <row r="585" spans="1:27" s="29" customFormat="1" ht="27.75" customHeight="1" x14ac:dyDescent="0.2">
      <c r="A585" s="30"/>
      <c r="B585" s="48" t="s">
        <v>7</v>
      </c>
      <c r="C585" s="39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F585" s="48" t="s">
        <v>65</v>
      </c>
      <c r="G585" s="43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45000</v>
      </c>
      <c r="H585" s="47"/>
      <c r="I585" s="387" t="s">
        <v>69</v>
      </c>
      <c r="J585" s="388"/>
      <c r="K585" s="53">
        <f>K583+K584</f>
        <v>11854.838709677419</v>
      </c>
      <c r="L585" s="54"/>
      <c r="N585" s="71"/>
      <c r="O585" s="72" t="s">
        <v>50</v>
      </c>
      <c r="P585" s="72"/>
      <c r="Q585" s="72"/>
      <c r="R585" s="72" t="str">
        <f t="shared" si="139"/>
        <v/>
      </c>
      <c r="S585" s="63"/>
      <c r="T585" s="72" t="s">
        <v>50</v>
      </c>
      <c r="U585" s="102">
        <f>Y584</f>
        <v>45000</v>
      </c>
      <c r="V585" s="74"/>
      <c r="W585" s="102">
        <f t="shared" si="137"/>
        <v>45000</v>
      </c>
      <c r="X585" s="74"/>
      <c r="Y585" s="102">
        <f t="shared" si="138"/>
        <v>45000</v>
      </c>
      <c r="Z585" s="76"/>
    </row>
    <row r="586" spans="1:27" s="29" customFormat="1" ht="27.75" customHeight="1" x14ac:dyDescent="0.2">
      <c r="A586" s="30"/>
      <c r="B586" s="48" t="s">
        <v>6</v>
      </c>
      <c r="C586" s="39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F586" s="48" t="s">
        <v>21</v>
      </c>
      <c r="G586" s="43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47"/>
      <c r="I586" s="387" t="s">
        <v>70</v>
      </c>
      <c r="J586" s="388"/>
      <c r="K586" s="43">
        <f>G586</f>
        <v>0</v>
      </c>
      <c r="L586" s="55"/>
      <c r="N586" s="71"/>
      <c r="O586" s="72" t="s">
        <v>51</v>
      </c>
      <c r="P586" s="72"/>
      <c r="Q586" s="72"/>
      <c r="R586" s="72">
        <v>0</v>
      </c>
      <c r="S586" s="63"/>
      <c r="T586" s="72" t="s">
        <v>51</v>
      </c>
      <c r="U586" s="102">
        <f>Y585</f>
        <v>45000</v>
      </c>
      <c r="V586" s="74"/>
      <c r="W586" s="102">
        <f t="shared" si="137"/>
        <v>45000</v>
      </c>
      <c r="X586" s="74"/>
      <c r="Y586" s="102">
        <f t="shared" si="138"/>
        <v>45000</v>
      </c>
      <c r="Z586" s="76"/>
    </row>
    <row r="587" spans="1:27" s="29" customFormat="1" ht="27.75" customHeight="1" x14ac:dyDescent="0.2">
      <c r="A587" s="30"/>
      <c r="B587" s="318" t="s">
        <v>68</v>
      </c>
      <c r="C587" s="39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F587" s="318" t="s">
        <v>210</v>
      </c>
      <c r="G587" s="43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45000</v>
      </c>
      <c r="I587" s="382" t="s">
        <v>63</v>
      </c>
      <c r="J587" s="384"/>
      <c r="K587" s="57"/>
      <c r="L587" s="58"/>
      <c r="N587" s="71"/>
      <c r="O587" s="72" t="s">
        <v>56</v>
      </c>
      <c r="P587" s="72"/>
      <c r="Q587" s="72"/>
      <c r="R587" s="72">
        <v>0</v>
      </c>
      <c r="S587" s="63"/>
      <c r="T587" s="72" t="s">
        <v>56</v>
      </c>
      <c r="U587" s="102">
        <v>0</v>
      </c>
      <c r="V587" s="74"/>
      <c r="W587" s="102">
        <f t="shared" si="137"/>
        <v>0</v>
      </c>
      <c r="X587" s="74"/>
      <c r="Y587" s="102">
        <f t="shared" si="138"/>
        <v>0</v>
      </c>
      <c r="Z587" s="76"/>
    </row>
    <row r="588" spans="1:27" s="29" customFormat="1" ht="27.75" customHeight="1" x14ac:dyDescent="0.2">
      <c r="A588" s="30"/>
      <c r="L588" s="46"/>
      <c r="N588" s="71"/>
      <c r="O588" s="72" t="s">
        <v>52</v>
      </c>
      <c r="P588" s="72"/>
      <c r="Q588" s="72"/>
      <c r="R588" s="72">
        <v>0</v>
      </c>
      <c r="S588" s="63"/>
      <c r="T588" s="72" t="s">
        <v>52</v>
      </c>
      <c r="U588" s="102" t="str">
        <f>IF($J$1="October",Y587,"")</f>
        <v/>
      </c>
      <c r="V588" s="74"/>
      <c r="W588" s="102" t="str">
        <f t="shared" si="137"/>
        <v/>
      </c>
      <c r="X588" s="74"/>
      <c r="Y588" s="102" t="str">
        <f t="shared" si="138"/>
        <v/>
      </c>
      <c r="Z588" s="76"/>
    </row>
    <row r="589" spans="1:27" s="29" customFormat="1" ht="27.75" customHeight="1" x14ac:dyDescent="0.35">
      <c r="A589" s="30"/>
      <c r="B589" s="319"/>
      <c r="C589" s="319"/>
      <c r="D589" s="319"/>
      <c r="E589" s="319"/>
      <c r="F589" s="319"/>
      <c r="G589" s="319"/>
      <c r="H589" s="319"/>
      <c r="I589" s="319"/>
      <c r="J589" s="319"/>
      <c r="K589" s="319"/>
      <c r="L589" s="46"/>
      <c r="N589" s="71"/>
      <c r="O589" s="72" t="s">
        <v>57</v>
      </c>
      <c r="P589" s="72"/>
      <c r="Q589" s="72"/>
      <c r="R589" s="72">
        <v>0</v>
      </c>
      <c r="S589" s="63"/>
      <c r="T589" s="72" t="s">
        <v>57</v>
      </c>
      <c r="U589" s="102" t="str">
        <f>IF($J$1="October","",Y588)</f>
        <v/>
      </c>
      <c r="V589" s="74"/>
      <c r="W589" s="102" t="str">
        <f t="shared" si="137"/>
        <v/>
      </c>
      <c r="X589" s="74"/>
      <c r="Y589" s="102" t="str">
        <f t="shared" si="138"/>
        <v/>
      </c>
      <c r="Z589" s="76"/>
    </row>
    <row r="590" spans="1:27" s="29" customFormat="1" ht="27.75" customHeight="1" thickBot="1" x14ac:dyDescent="0.4">
      <c r="A590" s="59"/>
      <c r="B590" s="320"/>
      <c r="C590" s="320"/>
      <c r="D590" s="320"/>
      <c r="E590" s="320"/>
      <c r="F590" s="320"/>
      <c r="G590" s="320"/>
      <c r="H590" s="320"/>
      <c r="I590" s="320"/>
      <c r="J590" s="320"/>
      <c r="K590" s="320"/>
      <c r="L590" s="61"/>
      <c r="N590" s="71"/>
      <c r="O590" s="72" t="s">
        <v>58</v>
      </c>
      <c r="P590" s="72"/>
      <c r="Q590" s="72"/>
      <c r="R590" s="72" t="str">
        <f t="shared" si="139"/>
        <v/>
      </c>
      <c r="S590" s="63"/>
      <c r="T590" s="72" t="s">
        <v>58</v>
      </c>
      <c r="U590" s="102" t="str">
        <f>IF($J$1="November","",Y589)</f>
        <v/>
      </c>
      <c r="V590" s="74"/>
      <c r="W590" s="102" t="str">
        <f t="shared" si="137"/>
        <v/>
      </c>
      <c r="X590" s="74"/>
      <c r="Y590" s="102" t="str">
        <f t="shared" si="138"/>
        <v/>
      </c>
      <c r="Z590" s="76"/>
    </row>
    <row r="591" spans="1:27" s="94" customFormat="1" ht="27.75" customHeight="1" thickBot="1" x14ac:dyDescent="0.25"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7" s="29" customFormat="1" ht="27.75" customHeight="1" thickBot="1" x14ac:dyDescent="0.25">
      <c r="A592" s="389" t="s">
        <v>40</v>
      </c>
      <c r="B592" s="390"/>
      <c r="C592" s="390"/>
      <c r="D592" s="390"/>
      <c r="E592" s="390"/>
      <c r="F592" s="390"/>
      <c r="G592" s="390"/>
      <c r="H592" s="390"/>
      <c r="I592" s="390"/>
      <c r="J592" s="390"/>
      <c r="K592" s="390"/>
      <c r="L592" s="391"/>
      <c r="M592" s="28"/>
      <c r="N592" s="64"/>
      <c r="O592" s="377" t="s">
        <v>42</v>
      </c>
      <c r="P592" s="378"/>
      <c r="Q592" s="378"/>
      <c r="R592" s="379"/>
      <c r="S592" s="65"/>
      <c r="T592" s="377" t="s">
        <v>43</v>
      </c>
      <c r="U592" s="378"/>
      <c r="V592" s="378"/>
      <c r="W592" s="378"/>
      <c r="X592" s="378"/>
      <c r="Y592" s="379"/>
      <c r="Z592" s="66"/>
      <c r="AA592" s="28"/>
    </row>
    <row r="593" spans="1:27" s="29" customFormat="1" ht="27.75" customHeight="1" x14ac:dyDescent="0.2">
      <c r="A593" s="30"/>
      <c r="C593" s="386" t="s">
        <v>83</v>
      </c>
      <c r="D593" s="386"/>
      <c r="E593" s="386"/>
      <c r="F593" s="386"/>
      <c r="G593" s="31" t="str">
        <f>$J$1</f>
        <v>August</v>
      </c>
      <c r="H593" s="385">
        <f>$K$1</f>
        <v>2023</v>
      </c>
      <c r="I593" s="385"/>
      <c r="K593" s="32"/>
      <c r="L593" s="33"/>
      <c r="M593" s="32"/>
      <c r="N593" s="67"/>
      <c r="O593" s="68" t="s">
        <v>53</v>
      </c>
      <c r="P593" s="68" t="s">
        <v>7</v>
      </c>
      <c r="Q593" s="68" t="s">
        <v>6</v>
      </c>
      <c r="R593" s="68" t="s">
        <v>54</v>
      </c>
      <c r="S593" s="69"/>
      <c r="T593" s="68" t="s">
        <v>53</v>
      </c>
      <c r="U593" s="68" t="s">
        <v>55</v>
      </c>
      <c r="V593" s="68" t="s">
        <v>20</v>
      </c>
      <c r="W593" s="68" t="s">
        <v>19</v>
      </c>
      <c r="X593" s="68" t="s">
        <v>21</v>
      </c>
      <c r="Y593" s="68" t="s">
        <v>59</v>
      </c>
      <c r="Z593" s="70"/>
      <c r="AA593" s="32"/>
    </row>
    <row r="594" spans="1:27" s="29" customFormat="1" ht="27.75" customHeight="1" x14ac:dyDescent="0.2">
      <c r="A594" s="30"/>
      <c r="D594" s="35"/>
      <c r="E594" s="35"/>
      <c r="F594" s="35"/>
      <c r="G594" s="35"/>
      <c r="H594" s="35"/>
      <c r="J594" s="36" t="s">
        <v>1</v>
      </c>
      <c r="K594" s="37">
        <v>45000</v>
      </c>
      <c r="L594" s="38"/>
      <c r="N594" s="71"/>
      <c r="O594" s="72" t="s">
        <v>45</v>
      </c>
      <c r="P594" s="72"/>
      <c r="Q594" s="72"/>
      <c r="R594" s="72"/>
      <c r="S594" s="73"/>
      <c r="T594" s="72" t="s">
        <v>45</v>
      </c>
      <c r="U594" s="74"/>
      <c r="V594" s="74"/>
      <c r="W594" s="74">
        <f>V594+U594</f>
        <v>0</v>
      </c>
      <c r="X594" s="74"/>
      <c r="Y594" s="74">
        <f>W594-X594</f>
        <v>0</v>
      </c>
      <c r="Z594" s="70"/>
    </row>
    <row r="595" spans="1:27" s="29" customFormat="1" ht="27.75" customHeight="1" x14ac:dyDescent="0.2">
      <c r="A595" s="30"/>
      <c r="B595" s="29" t="s">
        <v>0</v>
      </c>
      <c r="C595" s="40" t="s">
        <v>216</v>
      </c>
      <c r="H595" s="41"/>
      <c r="I595" s="35"/>
      <c r="L595" s="42"/>
      <c r="M595" s="28"/>
      <c r="N595" s="75"/>
      <c r="O595" s="72" t="s">
        <v>71</v>
      </c>
      <c r="P595" s="72"/>
      <c r="Q595" s="72"/>
      <c r="R595" s="72" t="str">
        <f t="shared" ref="R595:R605" si="140">IF(Q595="","",R594-Q595)</f>
        <v/>
      </c>
      <c r="S595" s="63"/>
      <c r="T595" s="72" t="s">
        <v>71</v>
      </c>
      <c r="U595" s="102"/>
      <c r="V595" s="74"/>
      <c r="W595" s="102" t="str">
        <f>IF(U595="","",U595+V595)</f>
        <v/>
      </c>
      <c r="X595" s="74"/>
      <c r="Y595" s="102" t="str">
        <f>IF(W595="","",W595-X595)</f>
        <v/>
      </c>
      <c r="Z595" s="76"/>
      <c r="AA595" s="28"/>
    </row>
    <row r="596" spans="1:27" s="29" customFormat="1" ht="27.75" customHeight="1" x14ac:dyDescent="0.2">
      <c r="A596" s="30"/>
      <c r="B596" s="44" t="s">
        <v>41</v>
      </c>
      <c r="C596" s="342">
        <v>45140</v>
      </c>
      <c r="F596" s="382" t="s">
        <v>43</v>
      </c>
      <c r="G596" s="384"/>
      <c r="I596" s="382" t="s">
        <v>44</v>
      </c>
      <c r="J596" s="383"/>
      <c r="K596" s="384"/>
      <c r="L596" s="46"/>
      <c r="N596" s="71"/>
      <c r="O596" s="72" t="s">
        <v>46</v>
      </c>
      <c r="P596" s="72"/>
      <c r="Q596" s="72"/>
      <c r="R596" s="72" t="str">
        <f t="shared" si="140"/>
        <v/>
      </c>
      <c r="S596" s="63"/>
      <c r="T596" s="72" t="s">
        <v>46</v>
      </c>
      <c r="U596" s="102"/>
      <c r="V596" s="74"/>
      <c r="W596" s="102" t="str">
        <f t="shared" ref="W596:W605" si="141">IF(U596="","",U596+V596)</f>
        <v/>
      </c>
      <c r="X596" s="74"/>
      <c r="Y596" s="102" t="str">
        <f t="shared" ref="Y596:Y605" si="142">IF(W596="","",W596-X596)</f>
        <v/>
      </c>
      <c r="Z596" s="76"/>
    </row>
    <row r="597" spans="1:27" s="29" customFormat="1" ht="27.75" customHeight="1" x14ac:dyDescent="0.2">
      <c r="A597" s="30"/>
      <c r="H597" s="47"/>
      <c r="L597" s="34"/>
      <c r="N597" s="71"/>
      <c r="O597" s="72" t="s">
        <v>47</v>
      </c>
      <c r="P597" s="72"/>
      <c r="Q597" s="72"/>
      <c r="R597" s="72"/>
      <c r="S597" s="63"/>
      <c r="T597" s="72" t="s">
        <v>47</v>
      </c>
      <c r="U597" s="102"/>
      <c r="V597" s="74"/>
      <c r="W597" s="102" t="str">
        <f t="shared" si="141"/>
        <v/>
      </c>
      <c r="X597" s="74"/>
      <c r="Y597" s="102" t="str">
        <f t="shared" si="142"/>
        <v/>
      </c>
      <c r="Z597" s="76"/>
    </row>
    <row r="598" spans="1:27" s="29" customFormat="1" ht="27.75" customHeight="1" x14ac:dyDescent="0.2">
      <c r="A598" s="30"/>
      <c r="B598" s="380" t="s">
        <v>42</v>
      </c>
      <c r="C598" s="381"/>
      <c r="F598" s="48" t="s">
        <v>64</v>
      </c>
      <c r="G598" s="43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47"/>
      <c r="I598" s="49">
        <f>IF(C602&gt;0,$K$2,C600)</f>
        <v>29</v>
      </c>
      <c r="J598" s="50" t="s">
        <v>61</v>
      </c>
      <c r="K598" s="51">
        <f>K594/$K$2*I598</f>
        <v>42096.774193548386</v>
      </c>
      <c r="L598" s="52"/>
      <c r="N598" s="71"/>
      <c r="O598" s="72" t="s">
        <v>48</v>
      </c>
      <c r="P598" s="72"/>
      <c r="Q598" s="72"/>
      <c r="R598" s="72" t="str">
        <f t="shared" si="140"/>
        <v/>
      </c>
      <c r="S598" s="63"/>
      <c r="T598" s="72" t="s">
        <v>48</v>
      </c>
      <c r="U598" s="102"/>
      <c r="V598" s="74"/>
      <c r="W598" s="102" t="str">
        <f t="shared" si="141"/>
        <v/>
      </c>
      <c r="X598" s="74"/>
      <c r="Y598" s="102" t="str">
        <f t="shared" si="142"/>
        <v/>
      </c>
      <c r="Z598" s="76"/>
    </row>
    <row r="599" spans="1:27" s="29" customFormat="1" ht="27.75" customHeight="1" x14ac:dyDescent="0.2">
      <c r="A599" s="30"/>
      <c r="B599" s="39"/>
      <c r="C599" s="39"/>
      <c r="F599" s="48" t="s">
        <v>20</v>
      </c>
      <c r="G599" s="43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7"/>
      <c r="I599" s="49"/>
      <c r="J599" s="50" t="s">
        <v>62</v>
      </c>
      <c r="K599" s="53">
        <f>K594/$K$2/8*I599</f>
        <v>0</v>
      </c>
      <c r="L599" s="54"/>
      <c r="N599" s="71"/>
      <c r="O599" s="72" t="s">
        <v>49</v>
      </c>
      <c r="P599" s="72"/>
      <c r="Q599" s="72"/>
      <c r="R599" s="72" t="str">
        <f t="shared" si="140"/>
        <v/>
      </c>
      <c r="S599" s="63"/>
      <c r="T599" s="72" t="s">
        <v>49</v>
      </c>
      <c r="U599" s="102"/>
      <c r="V599" s="74"/>
      <c r="W599" s="102" t="str">
        <f t="shared" si="141"/>
        <v/>
      </c>
      <c r="X599" s="74"/>
      <c r="Y599" s="102" t="str">
        <f t="shared" si="142"/>
        <v/>
      </c>
      <c r="Z599" s="76"/>
    </row>
    <row r="600" spans="1:27" s="29" customFormat="1" ht="27.75" customHeight="1" x14ac:dyDescent="0.2">
      <c r="A600" s="30"/>
      <c r="B600" s="48" t="s">
        <v>7</v>
      </c>
      <c r="C600" s="39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29</v>
      </c>
      <c r="F600" s="48" t="s">
        <v>65</v>
      </c>
      <c r="G600" s="43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47"/>
      <c r="I600" s="387" t="s">
        <v>69</v>
      </c>
      <c r="J600" s="388"/>
      <c r="K600" s="53">
        <f>K598+K599</f>
        <v>42096.774193548386</v>
      </c>
      <c r="L600" s="54"/>
      <c r="N600" s="71"/>
      <c r="O600" s="72" t="s">
        <v>50</v>
      </c>
      <c r="P600" s="72"/>
      <c r="Q600" s="72"/>
      <c r="R600" s="72" t="str">
        <f t="shared" si="140"/>
        <v/>
      </c>
      <c r="S600" s="63"/>
      <c r="T600" s="72" t="s">
        <v>50</v>
      </c>
      <c r="U600" s="102"/>
      <c r="V600" s="74"/>
      <c r="W600" s="102">
        <f>V600+U600</f>
        <v>0</v>
      </c>
      <c r="X600" s="74"/>
      <c r="Y600" s="102">
        <f t="shared" si="142"/>
        <v>0</v>
      </c>
      <c r="Z600" s="76"/>
    </row>
    <row r="601" spans="1:27" s="29" customFormat="1" ht="27.75" customHeight="1" x14ac:dyDescent="0.2">
      <c r="A601" s="30"/>
      <c r="B601" s="48" t="s">
        <v>6</v>
      </c>
      <c r="C601" s="39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2</v>
      </c>
      <c r="F601" s="48" t="s">
        <v>21</v>
      </c>
      <c r="G601" s="43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47"/>
      <c r="I601" s="387" t="s">
        <v>70</v>
      </c>
      <c r="J601" s="388"/>
      <c r="K601" s="43">
        <f>G601</f>
        <v>0</v>
      </c>
      <c r="L601" s="55"/>
      <c r="N601" s="71"/>
      <c r="O601" s="72" t="s">
        <v>51</v>
      </c>
      <c r="P601" s="72">
        <v>29</v>
      </c>
      <c r="Q601" s="72">
        <v>2</v>
      </c>
      <c r="R601" s="72">
        <v>0</v>
      </c>
      <c r="S601" s="63"/>
      <c r="T601" s="72" t="s">
        <v>51</v>
      </c>
      <c r="U601" s="102">
        <f>Y600</f>
        <v>0</v>
      </c>
      <c r="V601" s="74"/>
      <c r="W601" s="102">
        <f t="shared" si="141"/>
        <v>0</v>
      </c>
      <c r="X601" s="74"/>
      <c r="Y601" s="102">
        <f t="shared" si="142"/>
        <v>0</v>
      </c>
      <c r="Z601" s="76"/>
    </row>
    <row r="602" spans="1:27" s="29" customFormat="1" ht="27.75" customHeight="1" x14ac:dyDescent="0.2">
      <c r="A602" s="30"/>
      <c r="B602" s="318" t="s">
        <v>68</v>
      </c>
      <c r="C602" s="39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F602" s="318" t="s">
        <v>210</v>
      </c>
      <c r="G602" s="43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I602" s="382" t="s">
        <v>63</v>
      </c>
      <c r="J602" s="384"/>
      <c r="K602" s="57">
        <f>K600-K601</f>
        <v>42096.774193548386</v>
      </c>
      <c r="L602" s="58"/>
      <c r="N602" s="71"/>
      <c r="O602" s="72" t="s">
        <v>56</v>
      </c>
      <c r="P602" s="72"/>
      <c r="Q602" s="72"/>
      <c r="R602" s="72">
        <v>0</v>
      </c>
      <c r="S602" s="63"/>
      <c r="T602" s="72" t="s">
        <v>56</v>
      </c>
      <c r="U602" s="102" t="str">
        <f>IF($J$1="September",Y601,"")</f>
        <v/>
      </c>
      <c r="V602" s="74"/>
      <c r="W602" s="102" t="str">
        <f t="shared" si="141"/>
        <v/>
      </c>
      <c r="X602" s="74"/>
      <c r="Y602" s="102" t="str">
        <f t="shared" si="142"/>
        <v/>
      </c>
      <c r="Z602" s="76"/>
    </row>
    <row r="603" spans="1:27" s="29" customFormat="1" ht="27.75" customHeight="1" x14ac:dyDescent="0.2">
      <c r="A603" s="30"/>
      <c r="L603" s="46"/>
      <c r="N603" s="71"/>
      <c r="O603" s="72" t="s">
        <v>52</v>
      </c>
      <c r="P603" s="72"/>
      <c r="Q603" s="72"/>
      <c r="R603" s="72">
        <v>0</v>
      </c>
      <c r="S603" s="63"/>
      <c r="T603" s="72" t="s">
        <v>52</v>
      </c>
      <c r="U603" s="102" t="str">
        <f>IF($J$1="October",Y602,"")</f>
        <v/>
      </c>
      <c r="V603" s="74"/>
      <c r="W603" s="102" t="str">
        <f t="shared" si="141"/>
        <v/>
      </c>
      <c r="X603" s="74"/>
      <c r="Y603" s="102" t="str">
        <f t="shared" si="142"/>
        <v/>
      </c>
      <c r="Z603" s="76"/>
    </row>
    <row r="604" spans="1:27" s="29" customFormat="1" ht="27.75" customHeight="1" x14ac:dyDescent="0.35">
      <c r="A604" s="30"/>
      <c r="B604" s="319"/>
      <c r="C604" s="319"/>
      <c r="D604" s="319"/>
      <c r="E604" s="319"/>
      <c r="F604" s="319"/>
      <c r="G604" s="319"/>
      <c r="H604" s="319"/>
      <c r="I604" s="319"/>
      <c r="J604" s="319"/>
      <c r="K604" s="319"/>
      <c r="L604" s="46"/>
      <c r="N604" s="71"/>
      <c r="O604" s="72" t="s">
        <v>57</v>
      </c>
      <c r="P604" s="72"/>
      <c r="Q604" s="72"/>
      <c r="R604" s="72" t="str">
        <f t="shared" si="140"/>
        <v/>
      </c>
      <c r="S604" s="63"/>
      <c r="T604" s="72" t="s">
        <v>57</v>
      </c>
      <c r="U604" s="102" t="str">
        <f>Y603</f>
        <v/>
      </c>
      <c r="V604" s="74"/>
      <c r="W604" s="102" t="str">
        <f t="shared" si="141"/>
        <v/>
      </c>
      <c r="X604" s="74"/>
      <c r="Y604" s="102" t="str">
        <f t="shared" si="142"/>
        <v/>
      </c>
      <c r="Z604" s="76"/>
    </row>
    <row r="605" spans="1:27" s="29" customFormat="1" ht="27.75" customHeight="1" thickBot="1" x14ac:dyDescent="0.4">
      <c r="A605" s="59"/>
      <c r="B605" s="320"/>
      <c r="C605" s="320"/>
      <c r="D605" s="320"/>
      <c r="E605" s="320"/>
      <c r="F605" s="320"/>
      <c r="G605" s="320"/>
      <c r="H605" s="320"/>
      <c r="I605" s="320"/>
      <c r="J605" s="320"/>
      <c r="K605" s="320"/>
      <c r="L605" s="61"/>
      <c r="N605" s="71"/>
      <c r="O605" s="72" t="s">
        <v>58</v>
      </c>
      <c r="P605" s="72"/>
      <c r="Q605" s="72"/>
      <c r="R605" s="72" t="str">
        <f t="shared" si="140"/>
        <v/>
      </c>
      <c r="S605" s="63"/>
      <c r="T605" s="72" t="s">
        <v>58</v>
      </c>
      <c r="U605" s="102" t="str">
        <f>Y604</f>
        <v/>
      </c>
      <c r="V605" s="74"/>
      <c r="W605" s="102" t="str">
        <f t="shared" si="141"/>
        <v/>
      </c>
      <c r="X605" s="74"/>
      <c r="Y605" s="102" t="str">
        <f t="shared" si="142"/>
        <v/>
      </c>
      <c r="Z605" s="76"/>
    </row>
    <row r="606" spans="1:27" s="94" customFormat="1" ht="27.75" customHeight="1" thickBot="1" x14ac:dyDescent="0.25"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7" s="29" customFormat="1" ht="27.75" customHeight="1" thickBot="1" x14ac:dyDescent="0.25">
      <c r="A607" s="389" t="s">
        <v>40</v>
      </c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391"/>
      <c r="M607" s="28"/>
      <c r="N607" s="64"/>
      <c r="O607" s="377" t="s">
        <v>42</v>
      </c>
      <c r="P607" s="378"/>
      <c r="Q607" s="378"/>
      <c r="R607" s="379"/>
      <c r="S607" s="65"/>
      <c r="T607" s="377" t="s">
        <v>43</v>
      </c>
      <c r="U607" s="378"/>
      <c r="V607" s="378"/>
      <c r="W607" s="378"/>
      <c r="X607" s="378"/>
      <c r="Y607" s="379"/>
      <c r="Z607" s="66"/>
      <c r="AA607" s="28"/>
    </row>
    <row r="608" spans="1:27" s="29" customFormat="1" ht="27.75" customHeight="1" x14ac:dyDescent="0.2">
      <c r="A608" s="30"/>
      <c r="C608" s="386" t="s">
        <v>83</v>
      </c>
      <c r="D608" s="386"/>
      <c r="E608" s="386"/>
      <c r="F608" s="386"/>
      <c r="G608" s="31" t="str">
        <f>$J$1</f>
        <v>August</v>
      </c>
      <c r="H608" s="385">
        <f>$K$1</f>
        <v>2023</v>
      </c>
      <c r="I608" s="385"/>
      <c r="K608" s="32"/>
      <c r="L608" s="33"/>
      <c r="M608" s="32"/>
      <c r="N608" s="67"/>
      <c r="O608" s="68" t="s">
        <v>53</v>
      </c>
      <c r="P608" s="68" t="s">
        <v>7</v>
      </c>
      <c r="Q608" s="68" t="s">
        <v>6</v>
      </c>
      <c r="R608" s="68" t="s">
        <v>54</v>
      </c>
      <c r="S608" s="69"/>
      <c r="T608" s="68" t="s">
        <v>53</v>
      </c>
      <c r="U608" s="68" t="s">
        <v>55</v>
      </c>
      <c r="V608" s="68" t="s">
        <v>20</v>
      </c>
      <c r="W608" s="68" t="s">
        <v>19</v>
      </c>
      <c r="X608" s="68" t="s">
        <v>21</v>
      </c>
      <c r="Y608" s="68" t="s">
        <v>59</v>
      </c>
      <c r="Z608" s="70"/>
      <c r="AA608" s="32"/>
    </row>
    <row r="609" spans="1:27" s="29" customFormat="1" ht="27.75" customHeight="1" x14ac:dyDescent="0.2">
      <c r="A609" s="30"/>
      <c r="D609" s="35"/>
      <c r="E609" s="35"/>
      <c r="F609" s="35"/>
      <c r="G609" s="35"/>
      <c r="H609" s="35"/>
      <c r="J609" s="36" t="s">
        <v>1</v>
      </c>
      <c r="K609" s="37">
        <f>30000+5000</f>
        <v>35000</v>
      </c>
      <c r="L609" s="38"/>
      <c r="N609" s="71"/>
      <c r="O609" s="72" t="s">
        <v>45</v>
      </c>
      <c r="P609" s="72">
        <v>31</v>
      </c>
      <c r="Q609" s="72">
        <v>0</v>
      </c>
      <c r="R609" s="72">
        <f>15-Q609+5</f>
        <v>20</v>
      </c>
      <c r="S609" s="73"/>
      <c r="T609" s="72" t="s">
        <v>45</v>
      </c>
      <c r="U609" s="74">
        <v>20000</v>
      </c>
      <c r="V609" s="74">
        <v>10000</v>
      </c>
      <c r="W609" s="74">
        <f>V609+U609</f>
        <v>30000</v>
      </c>
      <c r="X609" s="74">
        <v>5000</v>
      </c>
      <c r="Y609" s="74">
        <f>W609-X609</f>
        <v>25000</v>
      </c>
      <c r="Z609" s="70"/>
    </row>
    <row r="610" spans="1:27" s="29" customFormat="1" ht="27.75" customHeight="1" x14ac:dyDescent="0.2">
      <c r="A610" s="30"/>
      <c r="B610" s="29" t="s">
        <v>0</v>
      </c>
      <c r="C610" s="40" t="s">
        <v>78</v>
      </c>
      <c r="H610" s="41"/>
      <c r="I610" s="35"/>
      <c r="L610" s="42"/>
      <c r="M610" s="28"/>
      <c r="N610" s="75"/>
      <c r="O610" s="72" t="s">
        <v>71</v>
      </c>
      <c r="P610" s="72">
        <v>28</v>
      </c>
      <c r="Q610" s="72">
        <v>0</v>
      </c>
      <c r="R610" s="72">
        <f t="shared" ref="R610:R620" si="143">IF(Q610="","",R609-Q610)</f>
        <v>20</v>
      </c>
      <c r="S610" s="63"/>
      <c r="T610" s="72" t="s">
        <v>71</v>
      </c>
      <c r="U610" s="102">
        <f t="shared" ref="U610:U615" si="144">Y609</f>
        <v>25000</v>
      </c>
      <c r="V610" s="74">
        <v>5000</v>
      </c>
      <c r="W610" s="102">
        <f>IF(U610="","",U610+V610)</f>
        <v>30000</v>
      </c>
      <c r="X610" s="74">
        <v>5000</v>
      </c>
      <c r="Y610" s="102">
        <f>IF(W610="","",W610-X610)</f>
        <v>25000</v>
      </c>
      <c r="Z610" s="76"/>
      <c r="AA610" s="28"/>
    </row>
    <row r="611" spans="1:27" s="29" customFormat="1" ht="27.75" customHeight="1" x14ac:dyDescent="0.2">
      <c r="A611" s="30"/>
      <c r="B611" s="44" t="s">
        <v>41</v>
      </c>
      <c r="C611" s="45"/>
      <c r="F611" s="382" t="s">
        <v>43</v>
      </c>
      <c r="G611" s="384"/>
      <c r="I611" s="382" t="s">
        <v>44</v>
      </c>
      <c r="J611" s="383"/>
      <c r="K611" s="384"/>
      <c r="L611" s="46"/>
      <c r="N611" s="71"/>
      <c r="O611" s="72" t="s">
        <v>46</v>
      </c>
      <c r="P611" s="72">
        <v>31</v>
      </c>
      <c r="Q611" s="72">
        <v>0</v>
      </c>
      <c r="R611" s="72">
        <f t="shared" si="143"/>
        <v>20</v>
      </c>
      <c r="S611" s="63"/>
      <c r="T611" s="72" t="s">
        <v>46</v>
      </c>
      <c r="U611" s="102">
        <f t="shared" si="144"/>
        <v>25000</v>
      </c>
      <c r="V611" s="74"/>
      <c r="W611" s="102">
        <f t="shared" ref="W611:W620" si="145">IF(U611="","",U611+V611)</f>
        <v>25000</v>
      </c>
      <c r="X611" s="74"/>
      <c r="Y611" s="102">
        <f t="shared" ref="Y611:Y620" si="146">IF(W611="","",W611-X611)</f>
        <v>25000</v>
      </c>
      <c r="Z611" s="76"/>
    </row>
    <row r="612" spans="1:27" s="29" customFormat="1" ht="27.75" customHeight="1" x14ac:dyDescent="0.2">
      <c r="A612" s="30"/>
      <c r="H612" s="47"/>
      <c r="L612" s="34"/>
      <c r="N612" s="71"/>
      <c r="O612" s="72" t="s">
        <v>47</v>
      </c>
      <c r="P612" s="72">
        <v>30</v>
      </c>
      <c r="Q612" s="72">
        <v>0</v>
      </c>
      <c r="R612" s="72">
        <f t="shared" si="143"/>
        <v>20</v>
      </c>
      <c r="S612" s="63"/>
      <c r="T612" s="72" t="s">
        <v>47</v>
      </c>
      <c r="U612" s="102">
        <f t="shared" si="144"/>
        <v>25000</v>
      </c>
      <c r="V612" s="74"/>
      <c r="W612" s="102">
        <f t="shared" si="145"/>
        <v>25000</v>
      </c>
      <c r="X612" s="74">
        <v>5000</v>
      </c>
      <c r="Y612" s="102">
        <f t="shared" si="146"/>
        <v>20000</v>
      </c>
      <c r="Z612" s="76"/>
    </row>
    <row r="613" spans="1:27" s="29" customFormat="1" ht="27.75" customHeight="1" x14ac:dyDescent="0.2">
      <c r="A613" s="30"/>
      <c r="B613" s="380" t="s">
        <v>42</v>
      </c>
      <c r="C613" s="381"/>
      <c r="F613" s="48" t="s">
        <v>64</v>
      </c>
      <c r="G613" s="43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15000</v>
      </c>
      <c r="H613" s="47"/>
      <c r="I613" s="49">
        <f>IF(C617&gt;0,$K$2,C615)</f>
        <v>31</v>
      </c>
      <c r="J613" s="50" t="s">
        <v>61</v>
      </c>
      <c r="K613" s="51">
        <f>K609/$K$2*I613</f>
        <v>35000</v>
      </c>
      <c r="L613" s="52"/>
      <c r="N613" s="71"/>
      <c r="O613" s="72" t="s">
        <v>48</v>
      </c>
      <c r="P613" s="72">
        <v>31</v>
      </c>
      <c r="Q613" s="72">
        <v>0</v>
      </c>
      <c r="R613" s="72">
        <f t="shared" si="143"/>
        <v>20</v>
      </c>
      <c r="S613" s="63"/>
      <c r="T613" s="72" t="s">
        <v>48</v>
      </c>
      <c r="U613" s="102">
        <f t="shared" si="144"/>
        <v>20000</v>
      </c>
      <c r="V613" s="74">
        <v>5000</v>
      </c>
      <c r="W613" s="102">
        <f t="shared" si="145"/>
        <v>25000</v>
      </c>
      <c r="X613" s="74">
        <v>5000</v>
      </c>
      <c r="Y613" s="102">
        <f t="shared" si="146"/>
        <v>20000</v>
      </c>
      <c r="Z613" s="76"/>
    </row>
    <row r="614" spans="1:27" s="29" customFormat="1" ht="27.75" customHeight="1" x14ac:dyDescent="0.2">
      <c r="A614" s="30"/>
      <c r="B614" s="39"/>
      <c r="C614" s="39"/>
      <c r="F614" s="48" t="s">
        <v>20</v>
      </c>
      <c r="G614" s="43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47"/>
      <c r="I614" s="49">
        <v>49.6</v>
      </c>
      <c r="J614" s="50" t="s">
        <v>62</v>
      </c>
      <c r="K614" s="53">
        <f>K609/$K$2/8*I614</f>
        <v>7000</v>
      </c>
      <c r="L614" s="54"/>
      <c r="N614" s="71"/>
      <c r="O614" s="72" t="s">
        <v>49</v>
      </c>
      <c r="P614" s="72">
        <v>30</v>
      </c>
      <c r="Q614" s="72">
        <v>0</v>
      </c>
      <c r="R614" s="72">
        <f t="shared" si="143"/>
        <v>20</v>
      </c>
      <c r="S614" s="63"/>
      <c r="T614" s="72" t="s">
        <v>49</v>
      </c>
      <c r="U614" s="102">
        <f t="shared" si="144"/>
        <v>20000</v>
      </c>
      <c r="V614" s="74">
        <v>5000</v>
      </c>
      <c r="W614" s="102">
        <f t="shared" si="145"/>
        <v>25000</v>
      </c>
      <c r="X614" s="74">
        <v>5000</v>
      </c>
      <c r="Y614" s="102">
        <f t="shared" si="146"/>
        <v>20000</v>
      </c>
      <c r="Z614" s="76"/>
    </row>
    <row r="615" spans="1:27" s="29" customFormat="1" ht="27.75" customHeight="1" x14ac:dyDescent="0.2">
      <c r="A615" s="30"/>
      <c r="B615" s="48" t="s">
        <v>7</v>
      </c>
      <c r="C615" s="39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31</v>
      </c>
      <c r="F615" s="48" t="s">
        <v>65</v>
      </c>
      <c r="G615" s="43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15000</v>
      </c>
      <c r="H615" s="47"/>
      <c r="I615" s="387" t="s">
        <v>69</v>
      </c>
      <c r="J615" s="388"/>
      <c r="K615" s="53">
        <f>K613+K614</f>
        <v>42000</v>
      </c>
      <c r="L615" s="54"/>
      <c r="N615" s="71"/>
      <c r="O615" s="72" t="s">
        <v>50</v>
      </c>
      <c r="P615" s="72">
        <v>31</v>
      </c>
      <c r="Q615" s="72">
        <v>0</v>
      </c>
      <c r="R615" s="72">
        <f t="shared" si="143"/>
        <v>20</v>
      </c>
      <c r="S615" s="63"/>
      <c r="T615" s="72" t="s">
        <v>50</v>
      </c>
      <c r="U615" s="102">
        <f t="shared" si="144"/>
        <v>20000</v>
      </c>
      <c r="V615" s="74"/>
      <c r="W615" s="102">
        <f t="shared" si="145"/>
        <v>20000</v>
      </c>
      <c r="X615" s="74">
        <v>5000</v>
      </c>
      <c r="Y615" s="102">
        <f t="shared" si="146"/>
        <v>15000</v>
      </c>
      <c r="Z615" s="76"/>
    </row>
    <row r="616" spans="1:27" s="29" customFormat="1" ht="27.75" customHeight="1" x14ac:dyDescent="0.2">
      <c r="A616" s="30"/>
      <c r="B616" s="48" t="s">
        <v>6</v>
      </c>
      <c r="C616" s="39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F616" s="48" t="s">
        <v>21</v>
      </c>
      <c r="G616" s="43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5000</v>
      </c>
      <c r="H616" s="47"/>
      <c r="I616" s="387" t="s">
        <v>70</v>
      </c>
      <c r="J616" s="388"/>
      <c r="K616" s="43">
        <f>G616</f>
        <v>5000</v>
      </c>
      <c r="L616" s="55"/>
      <c r="N616" s="71"/>
      <c r="O616" s="72" t="s">
        <v>51</v>
      </c>
      <c r="P616" s="72">
        <v>31</v>
      </c>
      <c r="Q616" s="72">
        <v>0</v>
      </c>
      <c r="R616" s="72">
        <f t="shared" si="143"/>
        <v>20</v>
      </c>
      <c r="S616" s="63"/>
      <c r="T616" s="72" t="s">
        <v>51</v>
      </c>
      <c r="U616" s="102">
        <f>Y615</f>
        <v>15000</v>
      </c>
      <c r="V616" s="74"/>
      <c r="W616" s="102">
        <f t="shared" si="145"/>
        <v>15000</v>
      </c>
      <c r="X616" s="74">
        <v>5000</v>
      </c>
      <c r="Y616" s="102">
        <f t="shared" si="146"/>
        <v>10000</v>
      </c>
      <c r="Z616" s="76"/>
    </row>
    <row r="617" spans="1:27" s="29" customFormat="1" ht="27.75" customHeight="1" x14ac:dyDescent="0.2">
      <c r="A617" s="30"/>
      <c r="B617" s="318" t="s">
        <v>68</v>
      </c>
      <c r="C617" s="39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20</v>
      </c>
      <c r="F617" s="318" t="s">
        <v>210</v>
      </c>
      <c r="G617" s="43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10000</v>
      </c>
      <c r="I617" s="382" t="s">
        <v>63</v>
      </c>
      <c r="J617" s="384"/>
      <c r="K617" s="57">
        <f>K615-K616</f>
        <v>37000</v>
      </c>
      <c r="L617" s="58"/>
      <c r="N617" s="71"/>
      <c r="O617" s="72" t="s">
        <v>56</v>
      </c>
      <c r="P617" s="72"/>
      <c r="Q617" s="72"/>
      <c r="R617" s="72">
        <v>0</v>
      </c>
      <c r="S617" s="63"/>
      <c r="T617" s="72" t="s">
        <v>56</v>
      </c>
      <c r="U617" s="102">
        <v>0</v>
      </c>
      <c r="V617" s="74"/>
      <c r="W617" s="102">
        <f t="shared" si="145"/>
        <v>0</v>
      </c>
      <c r="X617" s="74"/>
      <c r="Y617" s="102">
        <f t="shared" si="146"/>
        <v>0</v>
      </c>
      <c r="Z617" s="76"/>
    </row>
    <row r="618" spans="1:27" s="29" customFormat="1" ht="27.75" customHeight="1" x14ac:dyDescent="0.2">
      <c r="A618" s="30"/>
      <c r="L618" s="46"/>
      <c r="N618" s="71"/>
      <c r="O618" s="72" t="s">
        <v>52</v>
      </c>
      <c r="P618" s="72"/>
      <c r="Q618" s="72"/>
      <c r="R618" s="72">
        <v>0</v>
      </c>
      <c r="S618" s="63"/>
      <c r="T618" s="72" t="s">
        <v>52</v>
      </c>
      <c r="U618" s="102" t="str">
        <f>IF($J$1="October",Y617,"")</f>
        <v/>
      </c>
      <c r="V618" s="74"/>
      <c r="W618" s="102" t="str">
        <f t="shared" si="145"/>
        <v/>
      </c>
      <c r="X618" s="74"/>
      <c r="Y618" s="102" t="str">
        <f t="shared" si="146"/>
        <v/>
      </c>
      <c r="Z618" s="76"/>
    </row>
    <row r="619" spans="1:27" s="29" customFormat="1" ht="27.75" customHeight="1" x14ac:dyDescent="0.35">
      <c r="A619" s="30"/>
      <c r="B619" s="319"/>
      <c r="C619" s="319"/>
      <c r="D619" s="319"/>
      <c r="E619" s="319"/>
      <c r="F619" s="319"/>
      <c r="G619" s="319"/>
      <c r="H619" s="319"/>
      <c r="I619" s="319"/>
      <c r="J619" s="319"/>
      <c r="K619" s="319"/>
      <c r="L619" s="46"/>
      <c r="N619" s="71"/>
      <c r="O619" s="72" t="s">
        <v>57</v>
      </c>
      <c r="P619" s="72"/>
      <c r="Q619" s="72"/>
      <c r="R619" s="72" t="str">
        <f t="shared" si="143"/>
        <v/>
      </c>
      <c r="S619" s="63"/>
      <c r="T619" s="72" t="s">
        <v>57</v>
      </c>
      <c r="U619" s="102" t="str">
        <f>Y618</f>
        <v/>
      </c>
      <c r="V619" s="74"/>
      <c r="W619" s="102" t="str">
        <f t="shared" si="145"/>
        <v/>
      </c>
      <c r="X619" s="74"/>
      <c r="Y619" s="102" t="str">
        <f t="shared" si="146"/>
        <v/>
      </c>
      <c r="Z619" s="76"/>
    </row>
    <row r="620" spans="1:27" s="29" customFormat="1" ht="27.75" customHeight="1" thickBot="1" x14ac:dyDescent="0.4">
      <c r="A620" s="59"/>
      <c r="B620" s="320"/>
      <c r="C620" s="320"/>
      <c r="D620" s="320"/>
      <c r="E620" s="320"/>
      <c r="F620" s="320"/>
      <c r="G620" s="320"/>
      <c r="H620" s="320"/>
      <c r="I620" s="320"/>
      <c r="J620" s="320"/>
      <c r="K620" s="320"/>
      <c r="L620" s="61"/>
      <c r="N620" s="71"/>
      <c r="O620" s="72" t="s">
        <v>58</v>
      </c>
      <c r="P620" s="72"/>
      <c r="Q620" s="72"/>
      <c r="R620" s="72" t="str">
        <f t="shared" si="143"/>
        <v/>
      </c>
      <c r="S620" s="63"/>
      <c r="T620" s="72" t="s">
        <v>58</v>
      </c>
      <c r="U620" s="102" t="str">
        <f>Y619</f>
        <v/>
      </c>
      <c r="V620" s="74"/>
      <c r="W620" s="102" t="str">
        <f t="shared" si="145"/>
        <v/>
      </c>
      <c r="X620" s="74"/>
      <c r="Y620" s="102" t="str">
        <f t="shared" si="146"/>
        <v/>
      </c>
      <c r="Z620" s="76"/>
    </row>
    <row r="621" spans="1:27" s="94" customFormat="1" ht="27.75" customHeight="1" thickBot="1" x14ac:dyDescent="0.25"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7" s="29" customFormat="1" ht="27.75" customHeight="1" thickBot="1" x14ac:dyDescent="0.25">
      <c r="A622" s="389" t="s">
        <v>40</v>
      </c>
      <c r="B622" s="390"/>
      <c r="C622" s="390"/>
      <c r="D622" s="390"/>
      <c r="E622" s="390"/>
      <c r="F622" s="390"/>
      <c r="G622" s="390"/>
      <c r="H622" s="390"/>
      <c r="I622" s="390"/>
      <c r="J622" s="390"/>
      <c r="K622" s="390"/>
      <c r="L622" s="391"/>
      <c r="M622" s="28"/>
      <c r="N622" s="64"/>
      <c r="O622" s="377" t="s">
        <v>42</v>
      </c>
      <c r="P622" s="378"/>
      <c r="Q622" s="378"/>
      <c r="R622" s="379"/>
      <c r="S622" s="65"/>
      <c r="T622" s="377" t="s">
        <v>43</v>
      </c>
      <c r="U622" s="378"/>
      <c r="V622" s="378"/>
      <c r="W622" s="378"/>
      <c r="X622" s="378"/>
      <c r="Y622" s="379"/>
      <c r="Z622" s="66"/>
      <c r="AA622" s="28"/>
    </row>
    <row r="623" spans="1:27" s="29" customFormat="1" ht="27.75" customHeight="1" x14ac:dyDescent="0.2">
      <c r="A623" s="30"/>
      <c r="C623" s="386" t="s">
        <v>83</v>
      </c>
      <c r="D623" s="386"/>
      <c r="E623" s="386"/>
      <c r="F623" s="386"/>
      <c r="G623" s="31" t="str">
        <f>$J$1</f>
        <v>August</v>
      </c>
      <c r="H623" s="385">
        <f>$K$1</f>
        <v>2023</v>
      </c>
      <c r="I623" s="385"/>
      <c r="K623" s="32"/>
      <c r="L623" s="33"/>
      <c r="M623" s="32"/>
      <c r="N623" s="67"/>
      <c r="O623" s="68" t="s">
        <v>53</v>
      </c>
      <c r="P623" s="68" t="s">
        <v>7</v>
      </c>
      <c r="Q623" s="68" t="s">
        <v>6</v>
      </c>
      <c r="R623" s="68" t="s">
        <v>54</v>
      </c>
      <c r="S623" s="69"/>
      <c r="T623" s="68" t="s">
        <v>53</v>
      </c>
      <c r="U623" s="68" t="s">
        <v>55</v>
      </c>
      <c r="V623" s="68" t="s">
        <v>20</v>
      </c>
      <c r="W623" s="68" t="s">
        <v>19</v>
      </c>
      <c r="X623" s="68" t="s">
        <v>21</v>
      </c>
      <c r="Y623" s="68" t="s">
        <v>59</v>
      </c>
      <c r="Z623" s="70"/>
      <c r="AA623" s="32"/>
    </row>
    <row r="624" spans="1:27" s="29" customFormat="1" ht="27.75" customHeight="1" x14ac:dyDescent="0.2">
      <c r="A624" s="30"/>
      <c r="D624" s="35"/>
      <c r="E624" s="35"/>
      <c r="F624" s="35"/>
      <c r="G624" s="35"/>
      <c r="H624" s="35"/>
      <c r="J624" s="36" t="s">
        <v>1</v>
      </c>
      <c r="K624" s="37">
        <v>35000</v>
      </c>
      <c r="L624" s="38"/>
      <c r="N624" s="71"/>
      <c r="O624" s="72" t="s">
        <v>45</v>
      </c>
      <c r="P624" s="72"/>
      <c r="Q624" s="72"/>
      <c r="R624" s="72"/>
      <c r="S624" s="73"/>
      <c r="T624" s="72" t="s">
        <v>45</v>
      </c>
      <c r="U624" s="74"/>
      <c r="V624" s="74"/>
      <c r="W624" s="74">
        <f>V624+U624</f>
        <v>0</v>
      </c>
      <c r="X624" s="74"/>
      <c r="Y624" s="74">
        <f>W624-X624</f>
        <v>0</v>
      </c>
      <c r="Z624" s="70"/>
    </row>
    <row r="625" spans="1:27" s="29" customFormat="1" ht="27.75" customHeight="1" x14ac:dyDescent="0.2">
      <c r="A625" s="30"/>
      <c r="B625" s="29" t="s">
        <v>0</v>
      </c>
      <c r="C625" s="40" t="s">
        <v>209</v>
      </c>
      <c r="H625" s="41"/>
      <c r="I625" s="35"/>
      <c r="L625" s="42"/>
      <c r="M625" s="28"/>
      <c r="N625" s="75"/>
      <c r="O625" s="72" t="s">
        <v>71</v>
      </c>
      <c r="P625" s="72"/>
      <c r="Q625" s="72"/>
      <c r="R625" s="72" t="str">
        <f t="shared" ref="R625:R629" si="147">IF(Q625="","",R624-Q625)</f>
        <v/>
      </c>
      <c r="S625" s="63"/>
      <c r="T625" s="72" t="s">
        <v>71</v>
      </c>
      <c r="U625" s="102">
        <f t="shared" ref="U625:U630" si="148">Y624</f>
        <v>0</v>
      </c>
      <c r="V625" s="74"/>
      <c r="W625" s="102">
        <f>IF(U625="","",U625+V625)</f>
        <v>0</v>
      </c>
      <c r="X625" s="74"/>
      <c r="Y625" s="102">
        <f>IF(W625="","",W625-X625)</f>
        <v>0</v>
      </c>
      <c r="Z625" s="76"/>
      <c r="AA625" s="28"/>
    </row>
    <row r="626" spans="1:27" s="29" customFormat="1" ht="27.75" customHeight="1" x14ac:dyDescent="0.2">
      <c r="A626" s="30"/>
      <c r="B626" s="44" t="s">
        <v>41</v>
      </c>
      <c r="C626" s="327">
        <v>45150</v>
      </c>
      <c r="F626" s="382" t="s">
        <v>43</v>
      </c>
      <c r="G626" s="384"/>
      <c r="I626" s="382" t="s">
        <v>44</v>
      </c>
      <c r="J626" s="383"/>
      <c r="K626" s="384"/>
      <c r="L626" s="46"/>
      <c r="N626" s="71"/>
      <c r="O626" s="72" t="s">
        <v>46</v>
      </c>
      <c r="P626" s="72"/>
      <c r="Q626" s="72"/>
      <c r="R626" s="72" t="str">
        <f t="shared" si="147"/>
        <v/>
      </c>
      <c r="S626" s="63"/>
      <c r="T626" s="72" t="s">
        <v>46</v>
      </c>
      <c r="U626" s="102">
        <f t="shared" si="148"/>
        <v>0</v>
      </c>
      <c r="V626" s="74"/>
      <c r="W626" s="102">
        <f t="shared" ref="W626:W635" si="149">IF(U626="","",U626+V626)</f>
        <v>0</v>
      </c>
      <c r="X626" s="74"/>
      <c r="Y626" s="102">
        <f t="shared" ref="Y626:Y635" si="150">IF(W626="","",W626-X626)</f>
        <v>0</v>
      </c>
      <c r="Z626" s="76"/>
    </row>
    <row r="627" spans="1:27" s="29" customFormat="1" ht="27.75" customHeight="1" x14ac:dyDescent="0.2">
      <c r="A627" s="30"/>
      <c r="H627" s="47"/>
      <c r="L627" s="34"/>
      <c r="N627" s="71"/>
      <c r="O627" s="72" t="s">
        <v>47</v>
      </c>
      <c r="P627" s="72"/>
      <c r="Q627" s="72"/>
      <c r="R627" s="72" t="str">
        <f t="shared" si="147"/>
        <v/>
      </c>
      <c r="S627" s="63"/>
      <c r="T627" s="72" t="s">
        <v>47</v>
      </c>
      <c r="U627" s="102">
        <f t="shared" si="148"/>
        <v>0</v>
      </c>
      <c r="V627" s="74"/>
      <c r="W627" s="102">
        <f t="shared" si="149"/>
        <v>0</v>
      </c>
      <c r="X627" s="74"/>
      <c r="Y627" s="102">
        <f t="shared" si="150"/>
        <v>0</v>
      </c>
      <c r="Z627" s="76"/>
    </row>
    <row r="628" spans="1:27" s="29" customFormat="1" ht="27.75" customHeight="1" x14ac:dyDescent="0.2">
      <c r="A628" s="30"/>
      <c r="B628" s="380" t="s">
        <v>42</v>
      </c>
      <c r="C628" s="381"/>
      <c r="F628" s="48" t="s">
        <v>64</v>
      </c>
      <c r="G628" s="43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7"/>
      <c r="I628" s="49">
        <f>IF(C632&gt;0,$K$2,C630)</f>
        <v>29</v>
      </c>
      <c r="J628" s="50" t="s">
        <v>61</v>
      </c>
      <c r="K628" s="51">
        <f>K624/$K$2*I628</f>
        <v>32741.935483870966</v>
      </c>
      <c r="L628" s="52"/>
      <c r="N628" s="71"/>
      <c r="O628" s="72" t="s">
        <v>48</v>
      </c>
      <c r="P628" s="72"/>
      <c r="Q628" s="72"/>
      <c r="R628" s="72" t="str">
        <f t="shared" si="147"/>
        <v/>
      </c>
      <c r="S628" s="63"/>
      <c r="T628" s="72" t="s">
        <v>48</v>
      </c>
      <c r="U628" s="102">
        <f t="shared" si="148"/>
        <v>0</v>
      </c>
      <c r="V628" s="74"/>
      <c r="W628" s="102">
        <f t="shared" si="149"/>
        <v>0</v>
      </c>
      <c r="X628" s="74"/>
      <c r="Y628" s="102">
        <f t="shared" si="150"/>
        <v>0</v>
      </c>
      <c r="Z628" s="76"/>
    </row>
    <row r="629" spans="1:27" s="29" customFormat="1" ht="27.75" customHeight="1" x14ac:dyDescent="0.2">
      <c r="A629" s="30"/>
      <c r="B629" s="39"/>
      <c r="C629" s="39"/>
      <c r="F629" s="48" t="s">
        <v>20</v>
      </c>
      <c r="G629" s="43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5000</v>
      </c>
      <c r="H629" s="47"/>
      <c r="I629" s="49">
        <v>13</v>
      </c>
      <c r="J629" s="50" t="s">
        <v>62</v>
      </c>
      <c r="K629" s="53">
        <f>K624/$K$2/8*I629</f>
        <v>1834.6774193548385</v>
      </c>
      <c r="L629" s="54"/>
      <c r="N629" s="71"/>
      <c r="O629" s="72" t="s">
        <v>49</v>
      </c>
      <c r="P629" s="72"/>
      <c r="Q629" s="72"/>
      <c r="R629" s="72" t="str">
        <f t="shared" si="147"/>
        <v/>
      </c>
      <c r="S629" s="63"/>
      <c r="T629" s="72" t="s">
        <v>49</v>
      </c>
      <c r="U629" s="102">
        <f t="shared" si="148"/>
        <v>0</v>
      </c>
      <c r="V629" s="74"/>
      <c r="W629" s="102">
        <f t="shared" si="149"/>
        <v>0</v>
      </c>
      <c r="X629" s="74"/>
      <c r="Y629" s="102">
        <f t="shared" si="150"/>
        <v>0</v>
      </c>
      <c r="Z629" s="76"/>
    </row>
    <row r="630" spans="1:27" s="29" customFormat="1" ht="27.75" customHeight="1" x14ac:dyDescent="0.2">
      <c r="A630" s="30"/>
      <c r="B630" s="48" t="s">
        <v>7</v>
      </c>
      <c r="C630" s="39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29</v>
      </c>
      <c r="F630" s="48" t="s">
        <v>65</v>
      </c>
      <c r="G630" s="43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5000</v>
      </c>
      <c r="H630" s="47"/>
      <c r="I630" s="387" t="s">
        <v>69</v>
      </c>
      <c r="J630" s="388"/>
      <c r="K630" s="53">
        <f>K628+K629</f>
        <v>34576.612903225803</v>
      </c>
      <c r="L630" s="54"/>
      <c r="N630" s="71"/>
      <c r="O630" s="72" t="s">
        <v>50</v>
      </c>
      <c r="P630" s="72">
        <v>20</v>
      </c>
      <c r="Q630" s="72">
        <v>11</v>
      </c>
      <c r="R630" s="72">
        <v>0</v>
      </c>
      <c r="S630" s="63"/>
      <c r="T630" s="72" t="s">
        <v>50</v>
      </c>
      <c r="U630" s="102">
        <f t="shared" si="148"/>
        <v>0</v>
      </c>
      <c r="V630" s="74">
        <v>5000</v>
      </c>
      <c r="W630" s="102">
        <f t="shared" si="149"/>
        <v>5000</v>
      </c>
      <c r="X630" s="74">
        <v>5000</v>
      </c>
      <c r="Y630" s="102">
        <f t="shared" si="150"/>
        <v>0</v>
      </c>
      <c r="Z630" s="76"/>
    </row>
    <row r="631" spans="1:27" s="29" customFormat="1" ht="27.75" customHeight="1" x14ac:dyDescent="0.2">
      <c r="A631" s="30"/>
      <c r="B631" s="48" t="s">
        <v>6</v>
      </c>
      <c r="C631" s="39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2</v>
      </c>
      <c r="F631" s="48" t="s">
        <v>21</v>
      </c>
      <c r="G631" s="43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7"/>
      <c r="I631" s="387" t="s">
        <v>70</v>
      </c>
      <c r="J631" s="388"/>
      <c r="K631" s="43">
        <f>G631</f>
        <v>5000</v>
      </c>
      <c r="L631" s="55"/>
      <c r="N631" s="71"/>
      <c r="O631" s="72" t="s">
        <v>51</v>
      </c>
      <c r="P631" s="72">
        <v>29</v>
      </c>
      <c r="Q631" s="72">
        <v>2</v>
      </c>
      <c r="R631" s="72">
        <v>0</v>
      </c>
      <c r="S631" s="63"/>
      <c r="T631" s="72" t="s">
        <v>51</v>
      </c>
      <c r="U631" s="102">
        <f>Y630</f>
        <v>0</v>
      </c>
      <c r="V631" s="74">
        <v>5000</v>
      </c>
      <c r="W631" s="102">
        <f t="shared" si="149"/>
        <v>5000</v>
      </c>
      <c r="X631" s="74">
        <v>5000</v>
      </c>
      <c r="Y631" s="102">
        <f t="shared" si="150"/>
        <v>0</v>
      </c>
      <c r="Z631" s="76"/>
    </row>
    <row r="632" spans="1:27" s="29" customFormat="1" ht="27.75" customHeight="1" x14ac:dyDescent="0.2">
      <c r="A632" s="30"/>
      <c r="B632" s="318" t="s">
        <v>68</v>
      </c>
      <c r="C632" s="39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F632" s="318" t="s">
        <v>210</v>
      </c>
      <c r="G632" s="43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I632" s="382" t="s">
        <v>63</v>
      </c>
      <c r="J632" s="384"/>
      <c r="K632" s="57">
        <f>K630-K631</f>
        <v>29576.612903225803</v>
      </c>
      <c r="L632" s="58"/>
      <c r="N632" s="71"/>
      <c r="O632" s="72" t="s">
        <v>56</v>
      </c>
      <c r="P632" s="72"/>
      <c r="Q632" s="72"/>
      <c r="R632" s="72">
        <v>0</v>
      </c>
      <c r="S632" s="63"/>
      <c r="T632" s="72" t="s">
        <v>56</v>
      </c>
      <c r="U632" s="102" t="str">
        <f>IF($J$1="September",Y631,"")</f>
        <v/>
      </c>
      <c r="V632" s="74"/>
      <c r="W632" s="102" t="str">
        <f t="shared" si="149"/>
        <v/>
      </c>
      <c r="X632" s="74"/>
      <c r="Y632" s="102" t="str">
        <f t="shared" si="150"/>
        <v/>
      </c>
      <c r="Z632" s="76"/>
    </row>
    <row r="633" spans="1:27" s="29" customFormat="1" ht="27.75" customHeight="1" x14ac:dyDescent="0.2">
      <c r="A633" s="30"/>
      <c r="L633" s="46"/>
      <c r="N633" s="71"/>
      <c r="O633" s="72" t="s">
        <v>52</v>
      </c>
      <c r="P633" s="72"/>
      <c r="Q633" s="72"/>
      <c r="R633" s="72">
        <v>0</v>
      </c>
      <c r="S633" s="63"/>
      <c r="T633" s="72" t="s">
        <v>52</v>
      </c>
      <c r="U633" s="102" t="str">
        <f>IF($J$1="October",Y632,"")</f>
        <v/>
      </c>
      <c r="V633" s="74"/>
      <c r="W633" s="102" t="str">
        <f t="shared" si="149"/>
        <v/>
      </c>
      <c r="X633" s="74"/>
      <c r="Y633" s="102" t="str">
        <f t="shared" si="150"/>
        <v/>
      </c>
      <c r="Z633" s="76"/>
    </row>
    <row r="634" spans="1:27" s="29" customFormat="1" ht="27.75" customHeight="1" x14ac:dyDescent="0.35">
      <c r="A634" s="30"/>
      <c r="B634" s="319"/>
      <c r="C634" s="319"/>
      <c r="D634" s="319"/>
      <c r="E634" s="319"/>
      <c r="F634" s="319"/>
      <c r="G634" s="319"/>
      <c r="H634" s="319"/>
      <c r="I634" s="319"/>
      <c r="J634" s="319"/>
      <c r="K634" s="319"/>
      <c r="L634" s="46"/>
      <c r="N634" s="71"/>
      <c r="O634" s="72" t="s">
        <v>57</v>
      </c>
      <c r="P634" s="72"/>
      <c r="Q634" s="72"/>
      <c r="R634" s="72"/>
      <c r="S634" s="63"/>
      <c r="T634" s="72" t="s">
        <v>57</v>
      </c>
      <c r="U634" s="102" t="str">
        <f>IF($J$1="October","",Y633)</f>
        <v/>
      </c>
      <c r="V634" s="74"/>
      <c r="W634" s="102" t="str">
        <f t="shared" si="149"/>
        <v/>
      </c>
      <c r="X634" s="74"/>
      <c r="Y634" s="102" t="str">
        <f t="shared" si="150"/>
        <v/>
      </c>
      <c r="Z634" s="76"/>
    </row>
    <row r="635" spans="1:27" s="29" customFormat="1" ht="27.75" customHeight="1" thickBot="1" x14ac:dyDescent="0.4">
      <c r="A635" s="59"/>
      <c r="B635" s="320"/>
      <c r="C635" s="320"/>
      <c r="D635" s="320"/>
      <c r="E635" s="320"/>
      <c r="F635" s="320"/>
      <c r="G635" s="320"/>
      <c r="H635" s="320"/>
      <c r="I635" s="320"/>
      <c r="J635" s="320"/>
      <c r="K635" s="320"/>
      <c r="L635" s="61"/>
      <c r="N635" s="71"/>
      <c r="O635" s="72" t="s">
        <v>58</v>
      </c>
      <c r="P635" s="72"/>
      <c r="Q635" s="72"/>
      <c r="R635" s="72" t="str">
        <f t="shared" ref="R635" si="151">IF(Q635="","",R634-Q635)</f>
        <v/>
      </c>
      <c r="S635" s="63"/>
      <c r="T635" s="72" t="s">
        <v>58</v>
      </c>
      <c r="U635" s="102" t="str">
        <f>IF($J$1="November","",Y634)</f>
        <v/>
      </c>
      <c r="V635" s="74"/>
      <c r="W635" s="102" t="str">
        <f t="shared" si="149"/>
        <v/>
      </c>
      <c r="X635" s="74"/>
      <c r="Y635" s="102" t="str">
        <f t="shared" si="150"/>
        <v/>
      </c>
      <c r="Z635" s="76"/>
    </row>
    <row r="636" spans="1:27" s="94" customFormat="1" ht="27.75" customHeight="1" thickBot="1" x14ac:dyDescent="0.25"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7" s="29" customFormat="1" ht="27.75" customHeight="1" thickBot="1" x14ac:dyDescent="0.25">
      <c r="A637" s="389" t="s">
        <v>40</v>
      </c>
      <c r="B637" s="390"/>
      <c r="C637" s="390"/>
      <c r="D637" s="390"/>
      <c r="E637" s="390"/>
      <c r="F637" s="390"/>
      <c r="G637" s="390"/>
      <c r="H637" s="390"/>
      <c r="I637" s="390"/>
      <c r="J637" s="390"/>
      <c r="K637" s="390"/>
      <c r="L637" s="391"/>
      <c r="M637" s="28"/>
      <c r="N637" s="64"/>
      <c r="O637" s="377" t="s">
        <v>42</v>
      </c>
      <c r="P637" s="378"/>
      <c r="Q637" s="378"/>
      <c r="R637" s="379"/>
      <c r="S637" s="65"/>
      <c r="T637" s="377" t="s">
        <v>43</v>
      </c>
      <c r="U637" s="378"/>
      <c r="V637" s="378"/>
      <c r="W637" s="378"/>
      <c r="X637" s="378"/>
      <c r="Y637" s="379"/>
      <c r="Z637" s="66"/>
      <c r="AA637" s="28"/>
    </row>
    <row r="638" spans="1:27" s="29" customFormat="1" ht="27.75" customHeight="1" x14ac:dyDescent="0.2">
      <c r="A638" s="30"/>
      <c r="C638" s="386" t="s">
        <v>83</v>
      </c>
      <c r="D638" s="386"/>
      <c r="E638" s="386"/>
      <c r="F638" s="386"/>
      <c r="G638" s="31" t="str">
        <f>$J$1</f>
        <v>August</v>
      </c>
      <c r="H638" s="385">
        <f>$K$1</f>
        <v>2023</v>
      </c>
      <c r="I638" s="385"/>
      <c r="K638" s="32"/>
      <c r="L638" s="33"/>
      <c r="M638" s="32"/>
      <c r="N638" s="67"/>
      <c r="O638" s="68" t="s">
        <v>53</v>
      </c>
      <c r="P638" s="68" t="s">
        <v>7</v>
      </c>
      <c r="Q638" s="68" t="s">
        <v>6</v>
      </c>
      <c r="R638" s="68" t="s">
        <v>54</v>
      </c>
      <c r="S638" s="69"/>
      <c r="T638" s="68" t="s">
        <v>53</v>
      </c>
      <c r="U638" s="68" t="s">
        <v>55</v>
      </c>
      <c r="V638" s="68" t="s">
        <v>20</v>
      </c>
      <c r="W638" s="68" t="s">
        <v>19</v>
      </c>
      <c r="X638" s="68" t="s">
        <v>21</v>
      </c>
      <c r="Y638" s="68" t="s">
        <v>59</v>
      </c>
      <c r="Z638" s="70"/>
      <c r="AA638" s="32"/>
    </row>
    <row r="639" spans="1:27" s="29" customFormat="1" ht="27.75" customHeight="1" x14ac:dyDescent="0.2">
      <c r="A639" s="30"/>
      <c r="D639" s="35"/>
      <c r="E639" s="35"/>
      <c r="F639" s="35"/>
      <c r="G639" s="35"/>
      <c r="H639" s="35"/>
      <c r="J639" s="36" t="s">
        <v>1</v>
      </c>
      <c r="K639" s="37">
        <v>30000</v>
      </c>
      <c r="L639" s="38"/>
      <c r="N639" s="71"/>
      <c r="O639" s="72" t="s">
        <v>45</v>
      </c>
      <c r="P639" s="72"/>
      <c r="Q639" s="72"/>
      <c r="R639" s="72">
        <v>0</v>
      </c>
      <c r="S639" s="73"/>
      <c r="T639" s="72" t="s">
        <v>45</v>
      </c>
      <c r="U639" s="74"/>
      <c r="V639" s="74"/>
      <c r="W639" s="74">
        <f>V639+U639</f>
        <v>0</v>
      </c>
      <c r="X639" s="74"/>
      <c r="Y639" s="74">
        <f>W639-X639</f>
        <v>0</v>
      </c>
      <c r="Z639" s="70"/>
    </row>
    <row r="640" spans="1:27" s="29" customFormat="1" ht="27.75" customHeight="1" x14ac:dyDescent="0.2">
      <c r="A640" s="30"/>
      <c r="B640" s="29" t="s">
        <v>0</v>
      </c>
      <c r="C640" s="40" t="s">
        <v>202</v>
      </c>
      <c r="H640" s="41"/>
      <c r="I640" s="35"/>
      <c r="L640" s="42"/>
      <c r="M640" s="28"/>
      <c r="N640" s="75"/>
      <c r="O640" s="72" t="s">
        <v>71</v>
      </c>
      <c r="P640" s="72"/>
      <c r="Q640" s="72"/>
      <c r="R640" s="72">
        <v>0</v>
      </c>
      <c r="S640" s="63"/>
      <c r="T640" s="72" t="s">
        <v>71</v>
      </c>
      <c r="U640" s="102">
        <f>Y639</f>
        <v>0</v>
      </c>
      <c r="V640" s="74"/>
      <c r="W640" s="102">
        <f>IF(U640="","",U640+V640)</f>
        <v>0</v>
      </c>
      <c r="X640" s="74"/>
      <c r="Y640" s="102">
        <f>IF(W640="","",W640-X640)</f>
        <v>0</v>
      </c>
      <c r="Z640" s="76"/>
      <c r="AA640" s="28"/>
    </row>
    <row r="641" spans="1:26" s="29" customFormat="1" ht="27.75" customHeight="1" x14ac:dyDescent="0.2">
      <c r="A641" s="30"/>
      <c r="B641" s="44" t="s">
        <v>41</v>
      </c>
      <c r="C641" s="45"/>
      <c r="F641" s="382" t="s">
        <v>43</v>
      </c>
      <c r="G641" s="384"/>
      <c r="I641" s="382" t="s">
        <v>44</v>
      </c>
      <c r="J641" s="383"/>
      <c r="K641" s="384"/>
      <c r="L641" s="46"/>
      <c r="N641" s="71"/>
      <c r="O641" s="72" t="s">
        <v>46</v>
      </c>
      <c r="P641" s="72"/>
      <c r="Q641" s="72"/>
      <c r="R641" s="72">
        <v>0</v>
      </c>
      <c r="S641" s="63"/>
      <c r="T641" s="72" t="s">
        <v>46</v>
      </c>
      <c r="U641" s="102">
        <f>Y640</f>
        <v>0</v>
      </c>
      <c r="V641" s="74"/>
      <c r="W641" s="102">
        <f t="shared" ref="W641:W643" si="152">IF(U641="","",U641+V641)</f>
        <v>0</v>
      </c>
      <c r="X641" s="74"/>
      <c r="Y641" s="102">
        <f t="shared" ref="Y641:Y643" si="153">IF(W641="","",W641-X641)</f>
        <v>0</v>
      </c>
      <c r="Z641" s="76"/>
    </row>
    <row r="642" spans="1:26" s="29" customFormat="1" ht="27.75" customHeight="1" x14ac:dyDescent="0.2">
      <c r="A642" s="30"/>
      <c r="H642" s="47"/>
      <c r="L642" s="34"/>
      <c r="N642" s="71"/>
      <c r="O642" s="72" t="s">
        <v>47</v>
      </c>
      <c r="P642" s="72">
        <v>25</v>
      </c>
      <c r="Q642" s="72">
        <v>5</v>
      </c>
      <c r="R642" s="72">
        <v>0</v>
      </c>
      <c r="S642" s="63"/>
      <c r="T642" s="72" t="s">
        <v>47</v>
      </c>
      <c r="U642" s="102">
        <f>IF($J$1="March","",Y641)</f>
        <v>0</v>
      </c>
      <c r="V642" s="74">
        <v>28000</v>
      </c>
      <c r="W642" s="102">
        <f t="shared" si="152"/>
        <v>28000</v>
      </c>
      <c r="X642" s="74">
        <v>28000</v>
      </c>
      <c r="Y642" s="102">
        <f t="shared" si="153"/>
        <v>0</v>
      </c>
      <c r="Z642" s="76"/>
    </row>
    <row r="643" spans="1:26" s="29" customFormat="1" ht="27.75" customHeight="1" x14ac:dyDescent="0.2">
      <c r="A643" s="30"/>
      <c r="B643" s="380" t="s">
        <v>42</v>
      </c>
      <c r="C643" s="381"/>
      <c r="F643" s="48" t="s">
        <v>64</v>
      </c>
      <c r="G643" s="43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7"/>
      <c r="I643" s="49">
        <f>IF(C647&gt;0,$K$2,C645)</f>
        <v>30</v>
      </c>
      <c r="J643" s="50" t="s">
        <v>61</v>
      </c>
      <c r="K643" s="51">
        <f>K639/$K$2*I643</f>
        <v>29032.258064516129</v>
      </c>
      <c r="L643" s="52"/>
      <c r="N643" s="71"/>
      <c r="O643" s="72" t="s">
        <v>48</v>
      </c>
      <c r="P643" s="72">
        <v>28</v>
      </c>
      <c r="Q643" s="72">
        <v>3</v>
      </c>
      <c r="R643" s="72">
        <v>0</v>
      </c>
      <c r="S643" s="63"/>
      <c r="T643" s="72" t="s">
        <v>48</v>
      </c>
      <c r="U643" s="102">
        <f>Y642</f>
        <v>0</v>
      </c>
      <c r="V643" s="74">
        <v>2500</v>
      </c>
      <c r="W643" s="102">
        <f t="shared" si="152"/>
        <v>2500</v>
      </c>
      <c r="X643" s="74">
        <v>2500</v>
      </c>
      <c r="Y643" s="102">
        <f t="shared" si="153"/>
        <v>0</v>
      </c>
      <c r="Z643" s="76"/>
    </row>
    <row r="644" spans="1:26" s="29" customFormat="1" ht="27.75" customHeight="1" x14ac:dyDescent="0.2">
      <c r="A644" s="30"/>
      <c r="B644" s="39"/>
      <c r="C644" s="39"/>
      <c r="F644" s="48" t="s">
        <v>20</v>
      </c>
      <c r="G644" s="43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7"/>
      <c r="I644" s="49">
        <v>20</v>
      </c>
      <c r="J644" s="50" t="s">
        <v>62</v>
      </c>
      <c r="K644" s="53">
        <f>K639/$K$2/8*I644</f>
        <v>2419.3548387096776</v>
      </c>
      <c r="L644" s="54"/>
      <c r="N644" s="71"/>
      <c r="O644" s="72" t="s">
        <v>49</v>
      </c>
      <c r="P644" s="72">
        <v>30</v>
      </c>
      <c r="Q644" s="72">
        <v>0</v>
      </c>
      <c r="R644" s="72">
        <v>0</v>
      </c>
      <c r="S644" s="63"/>
      <c r="T644" s="72" t="s">
        <v>49</v>
      </c>
      <c r="U644" s="102">
        <f>Y643</f>
        <v>0</v>
      </c>
      <c r="V644" s="74">
        <v>25000</v>
      </c>
      <c r="W644" s="102">
        <f t="shared" ref="W644:W650" si="154">IF(U644="","",U644+V644)</f>
        <v>25000</v>
      </c>
      <c r="X644" s="163">
        <v>25000</v>
      </c>
      <c r="Y644" s="102">
        <f t="shared" ref="Y644:Y650" si="155">IF(W644="","",W644-X644)</f>
        <v>0</v>
      </c>
      <c r="Z644" s="76"/>
    </row>
    <row r="645" spans="1:26" s="29" customFormat="1" ht="27.75" customHeight="1" x14ac:dyDescent="0.2">
      <c r="A645" s="30"/>
      <c r="B645" s="48" t="s">
        <v>7</v>
      </c>
      <c r="C645" s="39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30</v>
      </c>
      <c r="F645" s="48" t="s">
        <v>65</v>
      </c>
      <c r="G645" s="43" t="str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/>
      </c>
      <c r="H645" s="47"/>
      <c r="I645" s="387" t="s">
        <v>69</v>
      </c>
      <c r="J645" s="388"/>
      <c r="K645" s="53">
        <f>K643+K644</f>
        <v>31451.612903225807</v>
      </c>
      <c r="L645" s="54"/>
      <c r="N645" s="71"/>
      <c r="O645" s="72" t="s">
        <v>50</v>
      </c>
      <c r="P645" s="72">
        <v>29</v>
      </c>
      <c r="Q645" s="72">
        <v>2</v>
      </c>
      <c r="R645" s="72">
        <v>0</v>
      </c>
      <c r="S645" s="63"/>
      <c r="T645" s="72" t="s">
        <v>50</v>
      </c>
      <c r="U645" s="102">
        <f>Y644</f>
        <v>0</v>
      </c>
      <c r="V645" s="74">
        <v>2000</v>
      </c>
      <c r="W645" s="102">
        <f t="shared" si="154"/>
        <v>2000</v>
      </c>
      <c r="X645" s="163">
        <v>2000</v>
      </c>
      <c r="Y645" s="102">
        <f t="shared" si="155"/>
        <v>0</v>
      </c>
      <c r="Z645" s="76"/>
    </row>
    <row r="646" spans="1:26" s="29" customFormat="1" ht="27.75" customHeight="1" x14ac:dyDescent="0.2">
      <c r="A646" s="30"/>
      <c r="B646" s="48" t="s">
        <v>6</v>
      </c>
      <c r="C646" s="39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1</v>
      </c>
      <c r="F646" s="48" t="s">
        <v>21</v>
      </c>
      <c r="G646" s="43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7"/>
      <c r="I646" s="387" t="s">
        <v>70</v>
      </c>
      <c r="J646" s="388"/>
      <c r="K646" s="43">
        <f>G646</f>
        <v>0</v>
      </c>
      <c r="L646" s="55"/>
      <c r="N646" s="71"/>
      <c r="O646" s="72" t="s">
        <v>51</v>
      </c>
      <c r="P646" s="72">
        <v>30</v>
      </c>
      <c r="Q646" s="72">
        <v>1</v>
      </c>
      <c r="R646" s="72">
        <v>0</v>
      </c>
      <c r="S646" s="63"/>
      <c r="T646" s="72" t="s">
        <v>51</v>
      </c>
      <c r="U646" s="102"/>
      <c r="V646" s="74"/>
      <c r="W646" s="102" t="str">
        <f t="shared" si="154"/>
        <v/>
      </c>
      <c r="X646" s="163"/>
      <c r="Y646" s="102" t="str">
        <f t="shared" si="155"/>
        <v/>
      </c>
      <c r="Z646" s="76"/>
    </row>
    <row r="647" spans="1:26" s="29" customFormat="1" ht="27.75" customHeight="1" x14ac:dyDescent="0.2">
      <c r="A647" s="30"/>
      <c r="B647" s="318" t="s">
        <v>68</v>
      </c>
      <c r="C647" s="39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F647" s="318" t="s">
        <v>210</v>
      </c>
      <c r="G647" s="43" t="str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/>
      </c>
      <c r="I647" s="382" t="s">
        <v>63</v>
      </c>
      <c r="J647" s="384"/>
      <c r="K647" s="57">
        <f>K645-K646</f>
        <v>31451.612903225807</v>
      </c>
      <c r="L647" s="58"/>
      <c r="N647" s="71"/>
      <c r="O647" s="72" t="s">
        <v>56</v>
      </c>
      <c r="P647" s="72"/>
      <c r="Q647" s="72"/>
      <c r="R647" s="72">
        <v>0</v>
      </c>
      <c r="S647" s="63"/>
      <c r="T647" s="72" t="s">
        <v>56</v>
      </c>
      <c r="U647" s="102" t="str">
        <f>IF($J$1="September",Y646,"")</f>
        <v/>
      </c>
      <c r="V647" s="74"/>
      <c r="W647" s="102" t="str">
        <f t="shared" si="154"/>
        <v/>
      </c>
      <c r="X647" s="74"/>
      <c r="Y647" s="102" t="str">
        <f t="shared" si="155"/>
        <v/>
      </c>
      <c r="Z647" s="76"/>
    </row>
    <row r="648" spans="1:26" s="29" customFormat="1" ht="27.75" customHeight="1" x14ac:dyDescent="0.2">
      <c r="A648" s="30"/>
      <c r="L648" s="46"/>
      <c r="N648" s="71"/>
      <c r="O648" s="72" t="s">
        <v>52</v>
      </c>
      <c r="P648" s="72"/>
      <c r="Q648" s="72"/>
      <c r="R648" s="72">
        <v>0</v>
      </c>
      <c r="S648" s="63"/>
      <c r="T648" s="72" t="s">
        <v>52</v>
      </c>
      <c r="U648" s="102" t="str">
        <f>IF($J$1="October",Y647,"")</f>
        <v/>
      </c>
      <c r="V648" s="74"/>
      <c r="W648" s="102" t="str">
        <f t="shared" si="154"/>
        <v/>
      </c>
      <c r="X648" s="74"/>
      <c r="Y648" s="102" t="str">
        <f t="shared" si="155"/>
        <v/>
      </c>
      <c r="Z648" s="76"/>
    </row>
    <row r="649" spans="1:26" s="29" customFormat="1" ht="27.75" customHeight="1" x14ac:dyDescent="0.35">
      <c r="A649" s="30"/>
      <c r="B649" s="319"/>
      <c r="C649" s="319"/>
      <c r="D649" s="319"/>
      <c r="E649" s="319"/>
      <c r="F649" s="319"/>
      <c r="G649" s="319"/>
      <c r="H649" s="319"/>
      <c r="I649" s="319"/>
      <c r="J649" s="319"/>
      <c r="K649" s="319"/>
      <c r="L649" s="46"/>
      <c r="N649" s="71"/>
      <c r="O649" s="72" t="s">
        <v>57</v>
      </c>
      <c r="P649" s="72"/>
      <c r="Q649" s="72"/>
      <c r="R649" s="72">
        <v>0</v>
      </c>
      <c r="S649" s="63"/>
      <c r="T649" s="72" t="s">
        <v>57</v>
      </c>
      <c r="U649" s="102"/>
      <c r="V649" s="74"/>
      <c r="W649" s="102" t="str">
        <f t="shared" si="154"/>
        <v/>
      </c>
      <c r="X649" s="74"/>
      <c r="Y649" s="102" t="str">
        <f t="shared" si="155"/>
        <v/>
      </c>
      <c r="Z649" s="76"/>
    </row>
    <row r="650" spans="1:26" s="29" customFormat="1" ht="27.75" customHeight="1" thickBot="1" x14ac:dyDescent="0.4">
      <c r="A650" s="59"/>
      <c r="B650" s="320"/>
      <c r="C650" s="320"/>
      <c r="D650" s="320"/>
      <c r="E650" s="320"/>
      <c r="F650" s="320"/>
      <c r="G650" s="320"/>
      <c r="H650" s="320"/>
      <c r="I650" s="320"/>
      <c r="J650" s="320"/>
      <c r="K650" s="320"/>
      <c r="L650" s="61"/>
      <c r="N650" s="71"/>
      <c r="O650" s="72" t="s">
        <v>58</v>
      </c>
      <c r="P650" s="72"/>
      <c r="Q650" s="72"/>
      <c r="R650" s="72">
        <v>0</v>
      </c>
      <c r="S650" s="63"/>
      <c r="T650" s="72" t="s">
        <v>58</v>
      </c>
      <c r="U650" s="102"/>
      <c r="V650" s="74"/>
      <c r="W650" s="102" t="str">
        <f t="shared" si="154"/>
        <v/>
      </c>
      <c r="X650" s="74"/>
      <c r="Y650" s="102" t="str">
        <f t="shared" si="155"/>
        <v/>
      </c>
      <c r="Z650" s="76"/>
    </row>
    <row r="651" spans="1:26" s="94" customFormat="1" ht="27.75" customHeight="1" thickBot="1" x14ac:dyDescent="0.25"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s="29" customFormat="1" ht="27.75" customHeight="1" x14ac:dyDescent="0.2">
      <c r="A652" s="397" t="s">
        <v>40</v>
      </c>
      <c r="B652" s="398"/>
      <c r="C652" s="398"/>
      <c r="D652" s="398"/>
      <c r="E652" s="398"/>
      <c r="F652" s="398"/>
      <c r="G652" s="398"/>
      <c r="H652" s="398"/>
      <c r="I652" s="398"/>
      <c r="J652" s="398"/>
      <c r="K652" s="398"/>
      <c r="L652" s="399"/>
      <c r="M652" s="28"/>
      <c r="N652" s="64"/>
      <c r="O652" s="377" t="s">
        <v>42</v>
      </c>
      <c r="P652" s="378"/>
      <c r="Q652" s="378"/>
      <c r="R652" s="379"/>
      <c r="S652" s="65"/>
      <c r="T652" s="377" t="s">
        <v>43</v>
      </c>
      <c r="U652" s="378"/>
      <c r="V652" s="378"/>
      <c r="W652" s="378"/>
      <c r="X652" s="378"/>
      <c r="Y652" s="379"/>
      <c r="Z652" s="63"/>
    </row>
    <row r="653" spans="1:26" s="29" customFormat="1" ht="27.75" customHeight="1" x14ac:dyDescent="0.2">
      <c r="A653" s="30"/>
      <c r="C653" s="386" t="s">
        <v>83</v>
      </c>
      <c r="D653" s="386"/>
      <c r="E653" s="386"/>
      <c r="F653" s="386"/>
      <c r="G653" s="31" t="str">
        <f>$J$1</f>
        <v>August</v>
      </c>
      <c r="H653" s="385">
        <f>$K$1</f>
        <v>2023</v>
      </c>
      <c r="I653" s="385"/>
      <c r="K653" s="32"/>
      <c r="L653" s="33"/>
      <c r="M653" s="32"/>
      <c r="N653" s="67"/>
      <c r="O653" s="68" t="s">
        <v>53</v>
      </c>
      <c r="P653" s="68" t="s">
        <v>7</v>
      </c>
      <c r="Q653" s="68" t="s">
        <v>6</v>
      </c>
      <c r="R653" s="68" t="s">
        <v>54</v>
      </c>
      <c r="S653" s="69"/>
      <c r="T653" s="68" t="s">
        <v>53</v>
      </c>
      <c r="U653" s="68" t="s">
        <v>55</v>
      </c>
      <c r="V653" s="68" t="s">
        <v>20</v>
      </c>
      <c r="W653" s="68" t="s">
        <v>19</v>
      </c>
      <c r="X653" s="68" t="s">
        <v>21</v>
      </c>
      <c r="Y653" s="68" t="s">
        <v>59</v>
      </c>
      <c r="Z653" s="63"/>
    </row>
    <row r="654" spans="1:26" s="29" customFormat="1" ht="27.75" customHeight="1" x14ac:dyDescent="0.2">
      <c r="A654" s="30"/>
      <c r="D654" s="35"/>
      <c r="E654" s="35"/>
      <c r="F654" s="35"/>
      <c r="G654" s="35"/>
      <c r="H654" s="35"/>
      <c r="J654" s="36" t="s">
        <v>1</v>
      </c>
      <c r="K654" s="37">
        <v>35000</v>
      </c>
      <c r="L654" s="38"/>
      <c r="N654" s="71"/>
      <c r="O654" s="72" t="s">
        <v>45</v>
      </c>
      <c r="P654" s="72"/>
      <c r="Q654" s="72"/>
      <c r="R654" s="72">
        <v>0</v>
      </c>
      <c r="S654" s="73"/>
      <c r="T654" s="72" t="s">
        <v>45</v>
      </c>
      <c r="U654" s="74"/>
      <c r="V654" s="74"/>
      <c r="W654" s="74">
        <f>V654+U654</f>
        <v>0</v>
      </c>
      <c r="X654" s="74"/>
      <c r="Y654" s="74">
        <f>W654-X654</f>
        <v>0</v>
      </c>
      <c r="Z654" s="63"/>
    </row>
    <row r="655" spans="1:26" s="29" customFormat="1" ht="27.75" customHeight="1" x14ac:dyDescent="0.2">
      <c r="A655" s="30"/>
      <c r="B655" s="29" t="s">
        <v>0</v>
      </c>
      <c r="C655" s="40" t="s">
        <v>212</v>
      </c>
      <c r="H655" s="41"/>
      <c r="I655" s="35"/>
      <c r="L655" s="42"/>
      <c r="M655" s="28"/>
      <c r="N655" s="75"/>
      <c r="O655" s="72" t="s">
        <v>71</v>
      </c>
      <c r="P655" s="72"/>
      <c r="Q655" s="72"/>
      <c r="R655" s="72">
        <v>0</v>
      </c>
      <c r="S655" s="63"/>
      <c r="T655" s="72" t="s">
        <v>71</v>
      </c>
      <c r="U655" s="102">
        <f>Y654</f>
        <v>0</v>
      </c>
      <c r="V655" s="74"/>
      <c r="W655" s="102">
        <f>IF(U655="","",U655+V655)</f>
        <v>0</v>
      </c>
      <c r="X655" s="74"/>
      <c r="Y655" s="102">
        <f>IF(W655="","",W655-X655)</f>
        <v>0</v>
      </c>
      <c r="Z655" s="63"/>
    </row>
    <row r="656" spans="1:26" s="29" customFormat="1" ht="27.75" customHeight="1" x14ac:dyDescent="0.2">
      <c r="A656" s="30"/>
      <c r="B656" s="44" t="s">
        <v>41</v>
      </c>
      <c r="C656" s="326">
        <v>45156</v>
      </c>
      <c r="F656" s="395" t="s">
        <v>43</v>
      </c>
      <c r="G656" s="395"/>
      <c r="I656" s="395" t="s">
        <v>44</v>
      </c>
      <c r="J656" s="395"/>
      <c r="K656" s="395"/>
      <c r="L656" s="46"/>
      <c r="N656" s="71"/>
      <c r="O656" s="72" t="s">
        <v>46</v>
      </c>
      <c r="P656" s="72"/>
      <c r="Q656" s="72"/>
      <c r="R656" s="72">
        <v>0</v>
      </c>
      <c r="S656" s="63"/>
      <c r="T656" s="72" t="s">
        <v>46</v>
      </c>
      <c r="U656" s="102">
        <f>Y655</f>
        <v>0</v>
      </c>
      <c r="V656" s="74"/>
      <c r="W656" s="102">
        <f t="shared" ref="W656:W662" si="156">IF(U656="","",U656+V656)</f>
        <v>0</v>
      </c>
      <c r="X656" s="74"/>
      <c r="Y656" s="102">
        <f t="shared" ref="Y656:Y662" si="157">IF(W656="","",W656-X656)</f>
        <v>0</v>
      </c>
      <c r="Z656" s="63"/>
    </row>
    <row r="657" spans="1:26" s="29" customFormat="1" ht="27.75" customHeight="1" x14ac:dyDescent="0.2">
      <c r="A657" s="30"/>
      <c r="H657" s="47"/>
      <c r="L657" s="34"/>
      <c r="N657" s="71"/>
      <c r="O657" s="72" t="s">
        <v>47</v>
      </c>
      <c r="P657" s="72"/>
      <c r="Q657" s="72"/>
      <c r="R657" s="72">
        <v>0</v>
      </c>
      <c r="S657" s="63"/>
      <c r="T657" s="72" t="s">
        <v>47</v>
      </c>
      <c r="U657" s="102">
        <f>IF($J$1="March","",Y656)</f>
        <v>0</v>
      </c>
      <c r="V657" s="74"/>
      <c r="W657" s="102">
        <f t="shared" si="156"/>
        <v>0</v>
      </c>
      <c r="X657" s="74"/>
      <c r="Y657" s="102">
        <f t="shared" si="157"/>
        <v>0</v>
      </c>
      <c r="Z657" s="63"/>
    </row>
    <row r="658" spans="1:26" s="29" customFormat="1" ht="27.75" customHeight="1" x14ac:dyDescent="0.2">
      <c r="A658" s="30"/>
      <c r="B658" s="380" t="s">
        <v>42</v>
      </c>
      <c r="C658" s="381"/>
      <c r="F658" s="48" t="s">
        <v>64</v>
      </c>
      <c r="G658" s="43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47"/>
      <c r="I658" s="49">
        <f>IF(C662&gt;0,$K$2,C660)</f>
        <v>30</v>
      </c>
      <c r="J658" s="50" t="s">
        <v>61</v>
      </c>
      <c r="K658" s="51">
        <f>K654/$K$2*I658</f>
        <v>33870.967741935485</v>
      </c>
      <c r="L658" s="52"/>
      <c r="N658" s="71"/>
      <c r="O658" s="72" t="s">
        <v>48</v>
      </c>
      <c r="P658" s="72"/>
      <c r="Q658" s="72"/>
      <c r="R658" s="72">
        <v>0</v>
      </c>
      <c r="S658" s="63"/>
      <c r="T658" s="72" t="s">
        <v>48</v>
      </c>
      <c r="U658" s="102">
        <f>Y657</f>
        <v>0</v>
      </c>
      <c r="V658" s="74"/>
      <c r="W658" s="102">
        <f t="shared" si="156"/>
        <v>0</v>
      </c>
      <c r="X658" s="74"/>
      <c r="Y658" s="102">
        <f t="shared" si="157"/>
        <v>0</v>
      </c>
      <c r="Z658" s="63"/>
    </row>
    <row r="659" spans="1:26" s="29" customFormat="1" ht="27.75" customHeight="1" x14ac:dyDescent="0.2">
      <c r="A659" s="30"/>
      <c r="B659" s="39"/>
      <c r="C659" s="39"/>
      <c r="F659" s="48" t="s">
        <v>20</v>
      </c>
      <c r="G659" s="43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3000</v>
      </c>
      <c r="H659" s="47"/>
      <c r="I659" s="49">
        <v>11</v>
      </c>
      <c r="J659" s="50" t="s">
        <v>62</v>
      </c>
      <c r="K659" s="53">
        <f>K654/$K$2/8*I659</f>
        <v>1552.4193548387098</v>
      </c>
      <c r="L659" s="54"/>
      <c r="N659" s="71"/>
      <c r="O659" s="72" t="s">
        <v>49</v>
      </c>
      <c r="P659" s="72"/>
      <c r="Q659" s="72"/>
      <c r="R659" s="72">
        <v>0</v>
      </c>
      <c r="S659" s="63"/>
      <c r="T659" s="72" t="s">
        <v>49</v>
      </c>
      <c r="U659" s="102">
        <f>Y658</f>
        <v>0</v>
      </c>
      <c r="V659" s="74"/>
      <c r="W659" s="102">
        <f t="shared" si="156"/>
        <v>0</v>
      </c>
      <c r="X659" s="163"/>
      <c r="Y659" s="102">
        <f t="shared" si="157"/>
        <v>0</v>
      </c>
      <c r="Z659" s="63"/>
    </row>
    <row r="660" spans="1:26" s="29" customFormat="1" ht="27.75" customHeight="1" x14ac:dyDescent="0.2">
      <c r="A660" s="30"/>
      <c r="B660" s="48" t="s">
        <v>7</v>
      </c>
      <c r="C660" s="39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30</v>
      </c>
      <c r="F660" s="48" t="s">
        <v>65</v>
      </c>
      <c r="G660" s="43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3000</v>
      </c>
      <c r="H660" s="47"/>
      <c r="I660" s="387" t="s">
        <v>69</v>
      </c>
      <c r="J660" s="388"/>
      <c r="K660" s="53">
        <f>K658+K659</f>
        <v>35423.387096774197</v>
      </c>
      <c r="L660" s="54"/>
      <c r="N660" s="71"/>
      <c r="O660" s="72" t="s">
        <v>50</v>
      </c>
      <c r="P660" s="72">
        <v>13</v>
      </c>
      <c r="Q660" s="72">
        <v>18</v>
      </c>
      <c r="R660" s="72">
        <v>0</v>
      </c>
      <c r="S660" s="63"/>
      <c r="T660" s="72" t="s">
        <v>50</v>
      </c>
      <c r="U660" s="102">
        <f>Y659</f>
        <v>0</v>
      </c>
      <c r="V660" s="74"/>
      <c r="W660" s="102">
        <f t="shared" si="156"/>
        <v>0</v>
      </c>
      <c r="X660" s="163"/>
      <c r="Y660" s="102">
        <f t="shared" si="157"/>
        <v>0</v>
      </c>
      <c r="Z660" s="63"/>
    </row>
    <row r="661" spans="1:26" s="29" customFormat="1" ht="27.75" customHeight="1" x14ac:dyDescent="0.2">
      <c r="A661" s="30"/>
      <c r="B661" s="48" t="s">
        <v>6</v>
      </c>
      <c r="C661" s="39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1</v>
      </c>
      <c r="F661" s="48" t="s">
        <v>21</v>
      </c>
      <c r="G661" s="43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3000</v>
      </c>
      <c r="H661" s="47"/>
      <c r="I661" s="387" t="s">
        <v>70</v>
      </c>
      <c r="J661" s="388"/>
      <c r="K661" s="43">
        <f>G661</f>
        <v>3000</v>
      </c>
      <c r="L661" s="55"/>
      <c r="N661" s="71"/>
      <c r="O661" s="72" t="s">
        <v>51</v>
      </c>
      <c r="P661" s="72">
        <v>30</v>
      </c>
      <c r="Q661" s="72">
        <v>1</v>
      </c>
      <c r="R661" s="72">
        <v>0</v>
      </c>
      <c r="S661" s="63"/>
      <c r="T661" s="72" t="s">
        <v>51</v>
      </c>
      <c r="U661" s="102">
        <f>Y660</f>
        <v>0</v>
      </c>
      <c r="V661" s="74">
        <v>3000</v>
      </c>
      <c r="W661" s="102">
        <f t="shared" si="156"/>
        <v>3000</v>
      </c>
      <c r="X661" s="163">
        <v>3000</v>
      </c>
      <c r="Y661" s="102">
        <f t="shared" si="157"/>
        <v>0</v>
      </c>
      <c r="Z661" s="63"/>
    </row>
    <row r="662" spans="1:26" s="29" customFormat="1" ht="27.75" customHeight="1" x14ac:dyDescent="0.2">
      <c r="A662" s="30"/>
      <c r="B662" s="56" t="s">
        <v>68</v>
      </c>
      <c r="C662" s="39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F662" s="48" t="s">
        <v>67</v>
      </c>
      <c r="G662" s="43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I662" s="382" t="s">
        <v>63</v>
      </c>
      <c r="J662" s="384"/>
      <c r="K662" s="57">
        <f>K660-K661</f>
        <v>32423.387096774197</v>
      </c>
      <c r="L662" s="58"/>
      <c r="N662" s="71"/>
      <c r="O662" s="72" t="s">
        <v>56</v>
      </c>
      <c r="P662" s="72"/>
      <c r="Q662" s="72"/>
      <c r="R662" s="72" t="str">
        <f t="shared" ref="R662:R664" si="158">IF(Q662="","",R661-Q662)</f>
        <v/>
      </c>
      <c r="S662" s="63"/>
      <c r="T662" s="72" t="s">
        <v>56</v>
      </c>
      <c r="U662" s="102" t="str">
        <f>IF($J$1="September",Y661,"")</f>
        <v/>
      </c>
      <c r="V662" s="74"/>
      <c r="W662" s="102" t="str">
        <f t="shared" si="156"/>
        <v/>
      </c>
      <c r="X662" s="74"/>
      <c r="Y662" s="102" t="str">
        <f t="shared" si="157"/>
        <v/>
      </c>
      <c r="Z662" s="63"/>
    </row>
    <row r="663" spans="1:26" s="29" customFormat="1" ht="27.75" customHeight="1" x14ac:dyDescent="0.2">
      <c r="A663" s="30"/>
      <c r="K663" s="104"/>
      <c r="L663" s="46"/>
      <c r="N663" s="71"/>
      <c r="O663" s="72" t="s">
        <v>52</v>
      </c>
      <c r="P663" s="72"/>
      <c r="Q663" s="72"/>
      <c r="R663" s="72" t="str">
        <f t="shared" si="158"/>
        <v/>
      </c>
      <c r="S663" s="63"/>
      <c r="T663" s="72" t="s">
        <v>52</v>
      </c>
      <c r="U663" s="102"/>
      <c r="V663" s="74"/>
      <c r="W663" s="102"/>
      <c r="X663" s="74"/>
      <c r="Y663" s="102"/>
      <c r="Z663" s="63"/>
    </row>
    <row r="664" spans="1:26" s="29" customFormat="1" ht="27.75" customHeight="1" x14ac:dyDescent="0.2">
      <c r="A664" s="30"/>
      <c r="B664" s="396"/>
      <c r="C664" s="396"/>
      <c r="D664" s="396"/>
      <c r="E664" s="396"/>
      <c r="F664" s="396"/>
      <c r="G664" s="396"/>
      <c r="H664" s="396"/>
      <c r="I664" s="396"/>
      <c r="J664" s="396"/>
      <c r="K664" s="396"/>
      <c r="L664" s="46"/>
      <c r="N664" s="71"/>
      <c r="O664" s="72" t="s">
        <v>57</v>
      </c>
      <c r="P664" s="72"/>
      <c r="Q664" s="72"/>
      <c r="R664" s="72" t="str">
        <f t="shared" si="158"/>
        <v/>
      </c>
      <c r="S664" s="63"/>
      <c r="T664" s="72" t="s">
        <v>57</v>
      </c>
      <c r="U664" s="102"/>
      <c r="V664" s="74"/>
      <c r="W664" s="102"/>
      <c r="X664" s="74"/>
      <c r="Y664" s="102"/>
      <c r="Z664" s="63"/>
    </row>
    <row r="665" spans="1:26" s="29" customFormat="1" ht="27.75" customHeight="1" x14ac:dyDescent="0.2">
      <c r="A665" s="30"/>
      <c r="B665" s="396"/>
      <c r="C665" s="396"/>
      <c r="D665" s="396"/>
      <c r="E665" s="396"/>
      <c r="F665" s="396"/>
      <c r="G665" s="396"/>
      <c r="H665" s="396"/>
      <c r="I665" s="396"/>
      <c r="J665" s="396"/>
      <c r="K665" s="396"/>
      <c r="L665" s="46"/>
      <c r="N665" s="71"/>
      <c r="O665" s="72" t="s">
        <v>58</v>
      </c>
      <c r="P665" s="72"/>
      <c r="Q665" s="72"/>
      <c r="R665" s="72">
        <v>0</v>
      </c>
      <c r="S665" s="63"/>
      <c r="T665" s="72" t="s">
        <v>58</v>
      </c>
      <c r="U665" s="102"/>
      <c r="V665" s="74"/>
      <c r="W665" s="102"/>
      <c r="X665" s="74"/>
      <c r="Y665" s="102"/>
      <c r="Z665" s="63"/>
    </row>
    <row r="666" spans="1:26" s="29" customFormat="1" ht="27.75" customHeight="1" thickBot="1" x14ac:dyDescent="0.25">
      <c r="A666" s="5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1"/>
      <c r="N666" s="77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63"/>
    </row>
    <row r="667" spans="1:26" s="29" customFormat="1" ht="27.75" customHeight="1" thickBot="1" x14ac:dyDescent="0.25"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s="29" customFormat="1" ht="27.75" customHeight="1" x14ac:dyDescent="0.2">
      <c r="A668" s="397" t="s">
        <v>40</v>
      </c>
      <c r="B668" s="398"/>
      <c r="C668" s="398"/>
      <c r="D668" s="398"/>
      <c r="E668" s="398"/>
      <c r="F668" s="398"/>
      <c r="G668" s="398"/>
      <c r="H668" s="398"/>
      <c r="I668" s="398"/>
      <c r="J668" s="398"/>
      <c r="K668" s="398"/>
      <c r="L668" s="399"/>
      <c r="M668" s="28"/>
      <c r="N668" s="64"/>
      <c r="O668" s="377" t="s">
        <v>42</v>
      </c>
      <c r="P668" s="378"/>
      <c r="Q668" s="378"/>
      <c r="R668" s="379"/>
      <c r="S668" s="65"/>
      <c r="T668" s="377" t="s">
        <v>43</v>
      </c>
      <c r="U668" s="378"/>
      <c r="V668" s="378"/>
      <c r="W668" s="378"/>
      <c r="X668" s="378"/>
      <c r="Y668" s="379"/>
      <c r="Z668" s="66"/>
    </row>
    <row r="669" spans="1:26" s="29" customFormat="1" ht="27.75" customHeight="1" x14ac:dyDescent="0.2">
      <c r="A669" s="30"/>
      <c r="C669" s="386" t="s">
        <v>83</v>
      </c>
      <c r="D669" s="386"/>
      <c r="E669" s="386"/>
      <c r="F669" s="386"/>
      <c r="G669" s="31" t="str">
        <f>$J$1</f>
        <v>August</v>
      </c>
      <c r="H669" s="385">
        <f>$K$1</f>
        <v>2023</v>
      </c>
      <c r="I669" s="385"/>
      <c r="K669" s="32"/>
      <c r="L669" s="33"/>
      <c r="M669" s="32"/>
      <c r="N669" s="67"/>
      <c r="O669" s="68" t="s">
        <v>53</v>
      </c>
      <c r="P669" s="68" t="s">
        <v>7</v>
      </c>
      <c r="Q669" s="68" t="s">
        <v>6</v>
      </c>
      <c r="R669" s="68" t="s">
        <v>54</v>
      </c>
      <c r="S669" s="69"/>
      <c r="T669" s="68" t="s">
        <v>53</v>
      </c>
      <c r="U669" s="68" t="s">
        <v>55</v>
      </c>
      <c r="V669" s="68" t="s">
        <v>20</v>
      </c>
      <c r="W669" s="68" t="s">
        <v>19</v>
      </c>
      <c r="X669" s="68" t="s">
        <v>21</v>
      </c>
      <c r="Y669" s="68" t="s">
        <v>59</v>
      </c>
      <c r="Z669" s="70"/>
    </row>
    <row r="670" spans="1:26" s="29" customFormat="1" ht="27.75" customHeight="1" x14ac:dyDescent="0.2">
      <c r="A670" s="30"/>
      <c r="D670" s="35"/>
      <c r="E670" s="35"/>
      <c r="F670" s="35"/>
      <c r="G670" s="35"/>
      <c r="H670" s="35"/>
      <c r="J670" s="36" t="s">
        <v>1</v>
      </c>
      <c r="K670" s="37">
        <v>45000</v>
      </c>
      <c r="L670" s="38"/>
      <c r="N670" s="71"/>
      <c r="O670" s="72" t="s">
        <v>45</v>
      </c>
      <c r="P670" s="72"/>
      <c r="Q670" s="72"/>
      <c r="R670" s="72">
        <f>15-Q670</f>
        <v>15</v>
      </c>
      <c r="S670" s="73"/>
      <c r="T670" s="72" t="s">
        <v>45</v>
      </c>
      <c r="U670" s="74"/>
      <c r="V670" s="74"/>
      <c r="W670" s="74">
        <f>V670+U670</f>
        <v>0</v>
      </c>
      <c r="X670" s="74"/>
      <c r="Y670" s="74">
        <f>W670-X670</f>
        <v>0</v>
      </c>
      <c r="Z670" s="70"/>
    </row>
    <row r="671" spans="1:26" s="29" customFormat="1" ht="27.75" customHeight="1" x14ac:dyDescent="0.2">
      <c r="A671" s="30"/>
      <c r="B671" s="29" t="s">
        <v>0</v>
      </c>
      <c r="C671" s="40" t="s">
        <v>215</v>
      </c>
      <c r="H671" s="41"/>
      <c r="I671" s="35"/>
      <c r="L671" s="42"/>
      <c r="M671" s="28"/>
      <c r="N671" s="75"/>
      <c r="O671" s="72" t="s">
        <v>71</v>
      </c>
      <c r="P671" s="72"/>
      <c r="Q671" s="72"/>
      <c r="R671" s="72">
        <f>R670-Q671</f>
        <v>15</v>
      </c>
      <c r="S671" s="63"/>
      <c r="T671" s="72" t="s">
        <v>71</v>
      </c>
      <c r="U671" s="102">
        <f>Y670</f>
        <v>0</v>
      </c>
      <c r="V671" s="74"/>
      <c r="W671" s="102">
        <f>IF(U671="","",U671+V671)</f>
        <v>0</v>
      </c>
      <c r="X671" s="74"/>
      <c r="Y671" s="102">
        <f>IF(W671="","",W671-X671)</f>
        <v>0</v>
      </c>
      <c r="Z671" s="76"/>
    </row>
    <row r="672" spans="1:26" s="29" customFormat="1" ht="27.75" customHeight="1" x14ac:dyDescent="0.2">
      <c r="A672" s="30"/>
      <c r="B672" s="44" t="s">
        <v>41</v>
      </c>
      <c r="C672" s="326"/>
      <c r="F672" s="395" t="s">
        <v>43</v>
      </c>
      <c r="G672" s="395"/>
      <c r="I672" s="395" t="s">
        <v>44</v>
      </c>
      <c r="J672" s="395"/>
      <c r="K672" s="395"/>
      <c r="L672" s="46"/>
      <c r="N672" s="71"/>
      <c r="O672" s="72" t="s">
        <v>46</v>
      </c>
      <c r="P672" s="72"/>
      <c r="Q672" s="72"/>
      <c r="R672" s="72">
        <f>R671-Q672</f>
        <v>15</v>
      </c>
      <c r="S672" s="63"/>
      <c r="T672" s="72" t="s">
        <v>46</v>
      </c>
      <c r="U672" s="102">
        <f>Y671</f>
        <v>0</v>
      </c>
      <c r="V672" s="74"/>
      <c r="W672" s="102">
        <f t="shared" ref="W672:W677" si="159">IF(U672="","",U672+V672)</f>
        <v>0</v>
      </c>
      <c r="X672" s="74"/>
      <c r="Y672" s="102">
        <f t="shared" ref="Y672:Y677" si="160">IF(W672="","",W672-X672)</f>
        <v>0</v>
      </c>
      <c r="Z672" s="76"/>
    </row>
    <row r="673" spans="1:26" s="29" customFormat="1" ht="27.75" customHeight="1" x14ac:dyDescent="0.2">
      <c r="A673" s="30"/>
      <c r="H673" s="47"/>
      <c r="L673" s="34"/>
      <c r="N673" s="71"/>
      <c r="O673" s="72" t="s">
        <v>47</v>
      </c>
      <c r="P673" s="72"/>
      <c r="Q673" s="72"/>
      <c r="R673" s="72">
        <f>R672-Q673</f>
        <v>15</v>
      </c>
      <c r="S673" s="63"/>
      <c r="T673" s="72" t="s">
        <v>47</v>
      </c>
      <c r="U673" s="102">
        <f>IF($J$1="March","",Y672)</f>
        <v>0</v>
      </c>
      <c r="V673" s="74"/>
      <c r="W673" s="102">
        <f t="shared" si="159"/>
        <v>0</v>
      </c>
      <c r="X673" s="74"/>
      <c r="Y673" s="102">
        <f t="shared" si="160"/>
        <v>0</v>
      </c>
      <c r="Z673" s="76"/>
    </row>
    <row r="674" spans="1:26" s="29" customFormat="1" ht="27.75" customHeight="1" x14ac:dyDescent="0.2">
      <c r="A674" s="30"/>
      <c r="B674" s="380" t="s">
        <v>42</v>
      </c>
      <c r="C674" s="381"/>
      <c r="F674" s="48" t="s">
        <v>64</v>
      </c>
      <c r="G674" s="43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47"/>
      <c r="I674" s="49">
        <f>IF(C678&gt;0,$K$2,C676)</f>
        <v>28</v>
      </c>
      <c r="J674" s="50" t="s">
        <v>61</v>
      </c>
      <c r="K674" s="51">
        <f>K670/$K$2*I674</f>
        <v>40645.161290322576</v>
      </c>
      <c r="L674" s="52"/>
      <c r="N674" s="71"/>
      <c r="O674" s="72" t="s">
        <v>48</v>
      </c>
      <c r="P674" s="72"/>
      <c r="Q674" s="72"/>
      <c r="R674" s="72">
        <f>R673-Q674</f>
        <v>15</v>
      </c>
      <c r="S674" s="63"/>
      <c r="T674" s="72" t="s">
        <v>48</v>
      </c>
      <c r="U674" s="102">
        <f>Y673</f>
        <v>0</v>
      </c>
      <c r="V674" s="74"/>
      <c r="W674" s="102">
        <f t="shared" si="159"/>
        <v>0</v>
      </c>
      <c r="X674" s="74"/>
      <c r="Y674" s="102">
        <f t="shared" si="160"/>
        <v>0</v>
      </c>
      <c r="Z674" s="76"/>
    </row>
    <row r="675" spans="1:26" s="29" customFormat="1" ht="27.75" customHeight="1" x14ac:dyDescent="0.2">
      <c r="A675" s="30"/>
      <c r="B675" s="39"/>
      <c r="C675" s="39"/>
      <c r="F675" s="48" t="s">
        <v>20</v>
      </c>
      <c r="G675" s="43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24000</v>
      </c>
      <c r="H675" s="47"/>
      <c r="I675" s="84">
        <v>1</v>
      </c>
      <c r="J675" s="50" t="s">
        <v>62</v>
      </c>
      <c r="K675" s="53">
        <f>K670/$K$2/8*I675</f>
        <v>181.45161290322579</v>
      </c>
      <c r="L675" s="54"/>
      <c r="N675" s="71"/>
      <c r="O675" s="72" t="s">
        <v>49</v>
      </c>
      <c r="P675" s="72"/>
      <c r="Q675" s="72"/>
      <c r="R675" s="72">
        <v>0</v>
      </c>
      <c r="S675" s="63"/>
      <c r="T675" s="72" t="s">
        <v>49</v>
      </c>
      <c r="U675" s="102">
        <f>Y674</f>
        <v>0</v>
      </c>
      <c r="V675" s="74"/>
      <c r="W675" s="102">
        <f t="shared" si="159"/>
        <v>0</v>
      </c>
      <c r="X675" s="163"/>
      <c r="Y675" s="102">
        <f t="shared" si="160"/>
        <v>0</v>
      </c>
      <c r="Z675" s="76"/>
    </row>
    <row r="676" spans="1:26" s="29" customFormat="1" ht="27.75" customHeight="1" x14ac:dyDescent="0.2">
      <c r="A676" s="30"/>
      <c r="B676" s="48" t="s">
        <v>7</v>
      </c>
      <c r="C676" s="39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28</v>
      </c>
      <c r="F676" s="48" t="s">
        <v>65</v>
      </c>
      <c r="G676" s="43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24000</v>
      </c>
      <c r="H676" s="47"/>
      <c r="I676" s="387" t="s">
        <v>69</v>
      </c>
      <c r="J676" s="388"/>
      <c r="K676" s="53">
        <f>K674+K675</f>
        <v>40826.612903225803</v>
      </c>
      <c r="L676" s="54"/>
      <c r="N676" s="71"/>
      <c r="O676" s="72" t="s">
        <v>50</v>
      </c>
      <c r="P676" s="72"/>
      <c r="Q676" s="72"/>
      <c r="R676" s="72">
        <f t="shared" ref="R676:R681" si="161">R675-Q676</f>
        <v>0</v>
      </c>
      <c r="S676" s="63"/>
      <c r="T676" s="72" t="s">
        <v>50</v>
      </c>
      <c r="U676" s="102">
        <f>Y675</f>
        <v>0</v>
      </c>
      <c r="V676" s="74"/>
      <c r="W676" s="102">
        <f t="shared" si="159"/>
        <v>0</v>
      </c>
      <c r="X676" s="163"/>
      <c r="Y676" s="102">
        <f t="shared" si="160"/>
        <v>0</v>
      </c>
      <c r="Z676" s="76"/>
    </row>
    <row r="677" spans="1:26" s="29" customFormat="1" ht="27.75" customHeight="1" x14ac:dyDescent="0.2">
      <c r="A677" s="30"/>
      <c r="B677" s="48" t="s">
        <v>6</v>
      </c>
      <c r="C677" s="39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3</v>
      </c>
      <c r="F677" s="48" t="s">
        <v>21</v>
      </c>
      <c r="G677" s="43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24000</v>
      </c>
      <c r="H677" s="47"/>
      <c r="I677" s="387" t="s">
        <v>70</v>
      </c>
      <c r="J677" s="388"/>
      <c r="K677" s="43">
        <f>G677</f>
        <v>24000</v>
      </c>
      <c r="L677" s="55"/>
      <c r="N677" s="71"/>
      <c r="O677" s="72" t="s">
        <v>51</v>
      </c>
      <c r="P677" s="72">
        <v>28</v>
      </c>
      <c r="Q677" s="72">
        <v>3</v>
      </c>
      <c r="R677" s="72">
        <v>0</v>
      </c>
      <c r="S677" s="63"/>
      <c r="T677" s="72" t="s">
        <v>51</v>
      </c>
      <c r="U677" s="102">
        <f>Y676</f>
        <v>0</v>
      </c>
      <c r="V677" s="74">
        <f>15000+9000</f>
        <v>24000</v>
      </c>
      <c r="W677" s="102">
        <f t="shared" si="159"/>
        <v>24000</v>
      </c>
      <c r="X677" s="163">
        <v>24000</v>
      </c>
      <c r="Y677" s="102">
        <f t="shared" si="160"/>
        <v>0</v>
      </c>
      <c r="Z677" s="76"/>
    </row>
    <row r="678" spans="1:26" s="29" customFormat="1" ht="27.75" customHeight="1" x14ac:dyDescent="0.2">
      <c r="A678" s="30"/>
      <c r="B678" s="56" t="s">
        <v>68</v>
      </c>
      <c r="C678" s="39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F678" s="48" t="s">
        <v>67</v>
      </c>
      <c r="G678" s="43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I678" s="382" t="s">
        <v>63</v>
      </c>
      <c r="J678" s="384"/>
      <c r="K678" s="57">
        <f>K676-K677</f>
        <v>16826.612903225803</v>
      </c>
      <c r="L678" s="58"/>
      <c r="N678" s="71"/>
      <c r="O678" s="72" t="s">
        <v>56</v>
      </c>
      <c r="P678" s="72"/>
      <c r="Q678" s="72"/>
      <c r="R678" s="72">
        <f t="shared" si="161"/>
        <v>0</v>
      </c>
      <c r="S678" s="63"/>
      <c r="T678" s="72" t="s">
        <v>56</v>
      </c>
      <c r="U678" s="102"/>
      <c r="V678" s="74"/>
      <c r="W678" s="102" t="str">
        <f t="shared" ref="W678:W681" si="162">IF(U678="","",U678+V678)</f>
        <v/>
      </c>
      <c r="X678" s="74"/>
      <c r="Y678" s="102" t="str">
        <f t="shared" ref="Y678:Y681" si="163">IF(W678="","",W678-X678)</f>
        <v/>
      </c>
      <c r="Z678" s="76"/>
    </row>
    <row r="679" spans="1:26" s="29" customFormat="1" ht="27.75" customHeight="1" x14ac:dyDescent="0.2">
      <c r="A679" s="30"/>
      <c r="K679" s="104"/>
      <c r="L679" s="46"/>
      <c r="N679" s="71"/>
      <c r="O679" s="72" t="s">
        <v>52</v>
      </c>
      <c r="P679" s="72"/>
      <c r="Q679" s="72"/>
      <c r="R679" s="72">
        <f t="shared" si="161"/>
        <v>0</v>
      </c>
      <c r="S679" s="63"/>
      <c r="T679" s="72" t="s">
        <v>52</v>
      </c>
      <c r="U679" s="102" t="str">
        <f>Y678</f>
        <v/>
      </c>
      <c r="V679" s="74"/>
      <c r="W679" s="102" t="str">
        <f t="shared" si="162"/>
        <v/>
      </c>
      <c r="X679" s="74"/>
      <c r="Y679" s="102" t="str">
        <f t="shared" si="163"/>
        <v/>
      </c>
      <c r="Z679" s="76"/>
    </row>
    <row r="680" spans="1:26" s="29" customFormat="1" ht="27.75" customHeight="1" x14ac:dyDescent="0.2">
      <c r="A680" s="30"/>
      <c r="B680" s="396"/>
      <c r="C680" s="396"/>
      <c r="D680" s="396"/>
      <c r="E680" s="396"/>
      <c r="F680" s="396"/>
      <c r="G680" s="396"/>
      <c r="H680" s="396"/>
      <c r="I680" s="396"/>
      <c r="J680" s="396"/>
      <c r="K680" s="396"/>
      <c r="L680" s="46"/>
      <c r="N680" s="71"/>
      <c r="O680" s="72" t="s">
        <v>57</v>
      </c>
      <c r="P680" s="72"/>
      <c r="Q680" s="72"/>
      <c r="R680" s="72">
        <f t="shared" si="161"/>
        <v>0</v>
      </c>
      <c r="S680" s="63"/>
      <c r="T680" s="72" t="s">
        <v>57</v>
      </c>
      <c r="U680" s="102" t="str">
        <f>Y679</f>
        <v/>
      </c>
      <c r="V680" s="74"/>
      <c r="W680" s="102" t="str">
        <f t="shared" si="162"/>
        <v/>
      </c>
      <c r="X680" s="74"/>
      <c r="Y680" s="102" t="str">
        <f t="shared" si="163"/>
        <v/>
      </c>
      <c r="Z680" s="76"/>
    </row>
    <row r="681" spans="1:26" s="29" customFormat="1" ht="27.75" customHeight="1" x14ac:dyDescent="0.2">
      <c r="A681" s="30"/>
      <c r="B681" s="396"/>
      <c r="C681" s="396"/>
      <c r="D681" s="396"/>
      <c r="E681" s="396"/>
      <c r="F681" s="396"/>
      <c r="G681" s="396"/>
      <c r="H681" s="396"/>
      <c r="I681" s="396"/>
      <c r="J681" s="396"/>
      <c r="K681" s="396"/>
      <c r="L681" s="46"/>
      <c r="N681" s="71"/>
      <c r="O681" s="72" t="s">
        <v>58</v>
      </c>
      <c r="P681" s="72"/>
      <c r="Q681" s="72"/>
      <c r="R681" s="72">
        <f t="shared" si="161"/>
        <v>0</v>
      </c>
      <c r="S681" s="63"/>
      <c r="T681" s="72" t="s">
        <v>58</v>
      </c>
      <c r="U681" s="102" t="str">
        <f>Y680</f>
        <v/>
      </c>
      <c r="V681" s="74"/>
      <c r="W681" s="102" t="str">
        <f t="shared" si="162"/>
        <v/>
      </c>
      <c r="X681" s="74"/>
      <c r="Y681" s="102" t="str">
        <f t="shared" si="163"/>
        <v/>
      </c>
      <c r="Z681" s="76"/>
    </row>
    <row r="682" spans="1:26" s="29" customFormat="1" ht="27.75" customHeight="1" thickBot="1" x14ac:dyDescent="0.25">
      <c r="A682" s="5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1"/>
      <c r="N682" s="77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9"/>
    </row>
    <row r="683" spans="1:26" s="29" customFormat="1" ht="27.75" customHeight="1" thickBot="1" x14ac:dyDescent="0.25">
      <c r="A683" s="30"/>
      <c r="L683" s="46"/>
      <c r="N683" s="71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346"/>
    </row>
    <row r="684" spans="1:26" s="29" customFormat="1" ht="27.75" customHeight="1" x14ac:dyDescent="0.2">
      <c r="A684" s="397" t="s">
        <v>40</v>
      </c>
      <c r="B684" s="398"/>
      <c r="C684" s="398"/>
      <c r="D684" s="398"/>
      <c r="E684" s="398"/>
      <c r="F684" s="398"/>
      <c r="G684" s="398"/>
      <c r="H684" s="398"/>
      <c r="I684" s="398"/>
      <c r="J684" s="398"/>
      <c r="K684" s="398"/>
      <c r="L684" s="399"/>
      <c r="M684" s="28"/>
      <c r="N684" s="64"/>
      <c r="O684" s="377" t="s">
        <v>42</v>
      </c>
      <c r="P684" s="378"/>
      <c r="Q684" s="378"/>
      <c r="R684" s="379"/>
      <c r="S684" s="65"/>
      <c r="T684" s="377" t="s">
        <v>43</v>
      </c>
      <c r="U684" s="378"/>
      <c r="V684" s="378"/>
      <c r="W684" s="378"/>
      <c r="X684" s="378"/>
      <c r="Y684" s="379"/>
      <c r="Z684" s="66"/>
    </row>
    <row r="685" spans="1:26" s="29" customFormat="1" ht="27.75" customHeight="1" x14ac:dyDescent="0.2">
      <c r="A685" s="30"/>
      <c r="C685" s="386" t="s">
        <v>83</v>
      </c>
      <c r="D685" s="386"/>
      <c r="E685" s="386"/>
      <c r="F685" s="386"/>
      <c r="G685" s="31" t="str">
        <f>$J$1</f>
        <v>August</v>
      </c>
      <c r="H685" s="385">
        <f>$K$1</f>
        <v>2023</v>
      </c>
      <c r="I685" s="385"/>
      <c r="K685" s="32"/>
      <c r="L685" s="33"/>
      <c r="M685" s="32"/>
      <c r="N685" s="67"/>
      <c r="O685" s="68" t="s">
        <v>53</v>
      </c>
      <c r="P685" s="68" t="s">
        <v>7</v>
      </c>
      <c r="Q685" s="68" t="s">
        <v>6</v>
      </c>
      <c r="R685" s="68" t="s">
        <v>54</v>
      </c>
      <c r="S685" s="69"/>
      <c r="T685" s="68" t="s">
        <v>53</v>
      </c>
      <c r="U685" s="68" t="s">
        <v>55</v>
      </c>
      <c r="V685" s="68" t="s">
        <v>20</v>
      </c>
      <c r="W685" s="68" t="s">
        <v>19</v>
      </c>
      <c r="X685" s="68" t="s">
        <v>21</v>
      </c>
      <c r="Y685" s="68" t="s">
        <v>59</v>
      </c>
      <c r="Z685" s="70"/>
    </row>
    <row r="686" spans="1:26" s="29" customFormat="1" ht="27.75" customHeight="1" x14ac:dyDescent="0.2">
      <c r="A686" s="30"/>
      <c r="D686" s="35"/>
      <c r="E686" s="35"/>
      <c r="F686" s="35"/>
      <c r="G686" s="35"/>
      <c r="H686" s="35"/>
      <c r="J686" s="36" t="s">
        <v>1</v>
      </c>
      <c r="K686" s="37">
        <v>22000</v>
      </c>
      <c r="L686" s="38"/>
      <c r="N686" s="71"/>
      <c r="O686" s="72" t="s">
        <v>45</v>
      </c>
      <c r="P686" s="72"/>
      <c r="Q686" s="72"/>
      <c r="R686" s="72">
        <f>15-Q686+3</f>
        <v>18</v>
      </c>
      <c r="S686" s="73"/>
      <c r="T686" s="72" t="s">
        <v>45</v>
      </c>
      <c r="U686" s="74"/>
      <c r="V686" s="74"/>
      <c r="W686" s="74"/>
      <c r="X686" s="74"/>
      <c r="Y686" s="74"/>
      <c r="Z686" s="70"/>
    </row>
    <row r="687" spans="1:26" s="29" customFormat="1" ht="27.75" customHeight="1" x14ac:dyDescent="0.2">
      <c r="A687" s="30"/>
      <c r="B687" s="29" t="s">
        <v>0</v>
      </c>
      <c r="C687" s="40" t="s">
        <v>217</v>
      </c>
      <c r="H687" s="41"/>
      <c r="I687" s="35"/>
      <c r="L687" s="42"/>
      <c r="M687" s="28"/>
      <c r="N687" s="75"/>
      <c r="O687" s="72" t="s">
        <v>71</v>
      </c>
      <c r="P687" s="72"/>
      <c r="Q687" s="72"/>
      <c r="R687" s="117">
        <f>R686-Q687+5</f>
        <v>23</v>
      </c>
      <c r="S687" s="63"/>
      <c r="T687" s="72" t="s">
        <v>71</v>
      </c>
      <c r="U687" s="102"/>
      <c r="V687" s="74"/>
      <c r="W687" s="102"/>
      <c r="X687" s="74"/>
      <c r="Y687" s="102"/>
      <c r="Z687" s="76"/>
    </row>
    <row r="688" spans="1:26" s="29" customFormat="1" ht="27.75" customHeight="1" x14ac:dyDescent="0.2">
      <c r="A688" s="30"/>
      <c r="B688" s="44" t="s">
        <v>41</v>
      </c>
      <c r="C688" s="40"/>
      <c r="F688" s="395" t="s">
        <v>43</v>
      </c>
      <c r="G688" s="395"/>
      <c r="I688" s="395" t="s">
        <v>44</v>
      </c>
      <c r="J688" s="395"/>
      <c r="K688" s="395"/>
      <c r="L688" s="46"/>
      <c r="N688" s="71"/>
      <c r="O688" s="72" t="s">
        <v>46</v>
      </c>
      <c r="P688" s="72"/>
      <c r="Q688" s="72"/>
      <c r="R688" s="117">
        <f>R687-Q688+5</f>
        <v>28</v>
      </c>
      <c r="S688" s="63"/>
      <c r="T688" s="72" t="s">
        <v>46</v>
      </c>
      <c r="U688" s="102"/>
      <c r="V688" s="74"/>
      <c r="W688" s="102"/>
      <c r="X688" s="74"/>
      <c r="Y688" s="102"/>
      <c r="Z688" s="76"/>
    </row>
    <row r="689" spans="1:27" s="29" customFormat="1" ht="27.75" customHeight="1" x14ac:dyDescent="0.2">
      <c r="A689" s="30"/>
      <c r="H689" s="47"/>
      <c r="L689" s="34"/>
      <c r="N689" s="71"/>
      <c r="O689" s="72" t="s">
        <v>47</v>
      </c>
      <c r="P689" s="72"/>
      <c r="Q689" s="72"/>
      <c r="R689" s="72">
        <v>0</v>
      </c>
      <c r="S689" s="63"/>
      <c r="T689" s="72" t="s">
        <v>47</v>
      </c>
      <c r="U689" s="102"/>
      <c r="V689" s="74"/>
      <c r="W689" s="102"/>
      <c r="X689" s="74"/>
      <c r="Y689" s="102"/>
      <c r="Z689" s="76"/>
    </row>
    <row r="690" spans="1:27" s="29" customFormat="1" ht="27.75" customHeight="1" x14ac:dyDescent="0.2">
      <c r="A690" s="30"/>
      <c r="B690" s="380" t="s">
        <v>42</v>
      </c>
      <c r="C690" s="381"/>
      <c r="F690" s="48" t="s">
        <v>64</v>
      </c>
      <c r="G690" s="43">
        <f>IF($J$1="January",U686,IF($J$1="February",U687,IF($J$1="March",U688,IF($J$1="April",U689,IF($J$1="May",U690,IF($J$1="June",U691,IF($J$1="July",U692,IF($J$1="August",U693,IF($J$1="August",U693,IF($J$1="September",U694,IF($J$1="October",U695,IF($J$1="November",U696,IF($J$1="December",U697)))))))))))))</f>
        <v>0</v>
      </c>
      <c r="H690" s="47"/>
      <c r="I690" s="49">
        <f>IF(C694&gt;0,$K$2,C692)</f>
        <v>8</v>
      </c>
      <c r="J690" s="50" t="s">
        <v>61</v>
      </c>
      <c r="K690" s="51">
        <f>K686/$K$2*I690</f>
        <v>5677.4193548387093</v>
      </c>
      <c r="L690" s="52"/>
      <c r="N690" s="71"/>
      <c r="O690" s="72" t="s">
        <v>48</v>
      </c>
      <c r="P690" s="72"/>
      <c r="Q690" s="72"/>
      <c r="R690" s="72">
        <v>0</v>
      </c>
      <c r="S690" s="63"/>
      <c r="T690" s="72" t="s">
        <v>48</v>
      </c>
      <c r="U690" s="102"/>
      <c r="V690" s="74"/>
      <c r="W690" s="102"/>
      <c r="X690" s="74"/>
      <c r="Y690" s="102"/>
      <c r="Z690" s="76"/>
    </row>
    <row r="691" spans="1:27" s="29" customFormat="1" ht="27.75" customHeight="1" x14ac:dyDescent="0.2">
      <c r="A691" s="30"/>
      <c r="B691" s="39"/>
      <c r="C691" s="39"/>
      <c r="F691" s="48" t="s">
        <v>20</v>
      </c>
      <c r="G691" s="43">
        <f>IF($J$1="January",V686,IF($J$1="February",V687,IF($J$1="March",V688,IF($J$1="April",V689,IF($J$1="May",V690,IF($J$1="June",V691,IF($J$1="July",V692,IF($J$1="August",V693,IF($J$1="August",V693,IF($J$1="September",V694,IF($J$1="October",V695,IF($J$1="November",V696,IF($J$1="December",V697)))))))))))))</f>
        <v>0</v>
      </c>
      <c r="H691" s="47"/>
      <c r="I691" s="84"/>
      <c r="J691" s="50" t="s">
        <v>62</v>
      </c>
      <c r="K691" s="53">
        <f>K686/$K$2/8*I691</f>
        <v>0</v>
      </c>
      <c r="L691" s="54"/>
      <c r="N691" s="71"/>
      <c r="O691" s="72" t="s">
        <v>49</v>
      </c>
      <c r="P691" s="72"/>
      <c r="Q691" s="72"/>
      <c r="R691" s="72">
        <v>0</v>
      </c>
      <c r="S691" s="63"/>
      <c r="T691" s="72" t="s">
        <v>49</v>
      </c>
      <c r="U691" s="102"/>
      <c r="V691" s="74"/>
      <c r="W691" s="102"/>
      <c r="X691" s="74"/>
      <c r="Y691" s="102"/>
      <c r="Z691" s="76"/>
    </row>
    <row r="692" spans="1:27" s="29" customFormat="1" ht="27.75" customHeight="1" x14ac:dyDescent="0.2">
      <c r="A692" s="30"/>
      <c r="B692" s="48" t="s">
        <v>7</v>
      </c>
      <c r="C692" s="39">
        <f>IF($J$1="January",P686,IF($J$1="February",P687,IF($J$1="March",P688,IF($J$1="April",P689,IF($J$1="May",P690,IF($J$1="June",P691,IF($J$1="July",P692,IF($J$1="August",P693,IF($J$1="August",P693,IF($J$1="September",P694,IF($J$1="October",P695,IF($J$1="November",P696,IF($J$1="December",P697)))))))))))))</f>
        <v>8</v>
      </c>
      <c r="F692" s="48" t="s">
        <v>65</v>
      </c>
      <c r="G692" s="43">
        <f>IF($J$1="January",W686,IF($J$1="February",W687,IF($J$1="March",W688,IF($J$1="April",W689,IF($J$1="May",W690,IF($J$1="June",W691,IF($J$1="July",W692,IF($J$1="August",W693,IF($J$1="August",W693,IF($J$1="September",W694,IF($J$1="October",W695,IF($J$1="November",W696,IF($J$1="December",W697)))))))))))))</f>
        <v>0</v>
      </c>
      <c r="H692" s="47"/>
      <c r="I692" s="387" t="s">
        <v>69</v>
      </c>
      <c r="J692" s="388"/>
      <c r="K692" s="53">
        <f>K690+K691</f>
        <v>5677.4193548387093</v>
      </c>
      <c r="L692" s="54"/>
      <c r="N692" s="71"/>
      <c r="O692" s="72" t="s">
        <v>50</v>
      </c>
      <c r="P692" s="72"/>
      <c r="Q692" s="72"/>
      <c r="R692" s="72">
        <v>0</v>
      </c>
      <c r="S692" s="63"/>
      <c r="T692" s="72" t="s">
        <v>50</v>
      </c>
      <c r="U692" s="102"/>
      <c r="V692" s="74"/>
      <c r="W692" s="102"/>
      <c r="X692" s="74"/>
      <c r="Y692" s="102"/>
      <c r="Z692" s="76"/>
    </row>
    <row r="693" spans="1:27" s="29" customFormat="1" ht="27.75" customHeight="1" x14ac:dyDescent="0.2">
      <c r="A693" s="30"/>
      <c r="B693" s="48" t="s">
        <v>6</v>
      </c>
      <c r="C693" s="39">
        <f>IF($J$1="January",Q686,IF($J$1="February",Q687,IF($J$1="March",Q688,IF($J$1="April",Q689,IF($J$1="May",Q690,IF($J$1="June",Q691,IF($J$1="July",Q692,IF($J$1="August",Q693,IF($J$1="August",Q693,IF($J$1="September",Q694,IF($J$1="October",Q695,IF($J$1="November",Q696,IF($J$1="December",Q697)))))))))))))</f>
        <v>23</v>
      </c>
      <c r="F693" s="48" t="s">
        <v>21</v>
      </c>
      <c r="G693" s="43">
        <f>IF($J$1="January",X686,IF($J$1="February",X687,IF($J$1="March",X688,IF($J$1="April",X689,IF($J$1="May",X690,IF($J$1="June",X691,IF($J$1="July",X692,IF($J$1="August",X693,IF($J$1="August",X693,IF($J$1="September",X694,IF($J$1="October",X695,IF($J$1="November",X696,IF($J$1="December",X697)))))))))))))</f>
        <v>0</v>
      </c>
      <c r="H693" s="47"/>
      <c r="I693" s="387" t="s">
        <v>70</v>
      </c>
      <c r="J693" s="388"/>
      <c r="K693" s="43">
        <f>G693</f>
        <v>0</v>
      </c>
      <c r="L693" s="55"/>
      <c r="N693" s="71"/>
      <c r="O693" s="72" t="s">
        <v>51</v>
      </c>
      <c r="P693" s="72">
        <v>8</v>
      </c>
      <c r="Q693" s="72">
        <v>23</v>
      </c>
      <c r="R693" s="72">
        <v>0</v>
      </c>
      <c r="S693" s="63"/>
      <c r="T693" s="72" t="s">
        <v>51</v>
      </c>
      <c r="U693" s="102"/>
      <c r="V693" s="74"/>
      <c r="W693" s="102"/>
      <c r="X693" s="74"/>
      <c r="Y693" s="102"/>
      <c r="Z693" s="76"/>
    </row>
    <row r="694" spans="1:27" s="29" customFormat="1" ht="27.75" customHeight="1" x14ac:dyDescent="0.2">
      <c r="A694" s="30"/>
      <c r="B694" s="56" t="s">
        <v>68</v>
      </c>
      <c r="C694" s="39">
        <f>IF($J$1="January",R686,IF($J$1="February",R687,IF($J$1="March",R688,IF($J$1="April",R689,IF($J$1="May",R690,IF($J$1="June",R691,IF($J$1="July",R692,IF($J$1="August",R693,IF($J$1="August",R693,IF($J$1="September",R694,IF($J$1="October",R695,IF($J$1="November",R696,IF($J$1="December",R697)))))))))))))</f>
        <v>0</v>
      </c>
      <c r="F694" s="48" t="s">
        <v>67</v>
      </c>
      <c r="G694" s="43">
        <f>IF($J$1="January",Y686,IF($J$1="February",Y687,IF($J$1="March",Y688,IF($J$1="April",Y689,IF($J$1="May",Y690,IF($J$1="June",Y691,IF($J$1="July",Y692,IF($J$1="August",Y693,IF($J$1="August",Y693,IF($J$1="September",Y694,IF($J$1="October",Y695,IF($J$1="November",Y696,IF($J$1="December",Y697)))))))))))))</f>
        <v>0</v>
      </c>
      <c r="I694" s="382" t="s">
        <v>63</v>
      </c>
      <c r="J694" s="384"/>
      <c r="K694" s="57">
        <f>K692-K693</f>
        <v>5677.4193548387093</v>
      </c>
      <c r="L694" s="58"/>
      <c r="N694" s="71"/>
      <c r="O694" s="72" t="s">
        <v>56</v>
      </c>
      <c r="P694" s="72"/>
      <c r="Q694" s="72"/>
      <c r="R694" s="72">
        <v>0</v>
      </c>
      <c r="S694" s="63"/>
      <c r="T694" s="72" t="s">
        <v>56</v>
      </c>
      <c r="U694" s="102"/>
      <c r="V694" s="74"/>
      <c r="W694" s="102"/>
      <c r="X694" s="74"/>
      <c r="Y694" s="102"/>
      <c r="Z694" s="76"/>
    </row>
    <row r="695" spans="1:27" s="29" customFormat="1" ht="27.75" customHeight="1" x14ac:dyDescent="0.2">
      <c r="A695" s="30"/>
      <c r="L695" s="46"/>
      <c r="N695" s="71"/>
      <c r="O695" s="72" t="s">
        <v>52</v>
      </c>
      <c r="P695" s="72"/>
      <c r="Q695" s="72"/>
      <c r="R695" s="72">
        <v>0</v>
      </c>
      <c r="S695" s="63"/>
      <c r="T695" s="72" t="s">
        <v>52</v>
      </c>
      <c r="U695" s="102"/>
      <c r="V695" s="74"/>
      <c r="W695" s="102"/>
      <c r="X695" s="74"/>
      <c r="Y695" s="102"/>
      <c r="Z695" s="76"/>
    </row>
    <row r="696" spans="1:27" s="29" customFormat="1" ht="27.75" customHeight="1" x14ac:dyDescent="0.2">
      <c r="A696" s="30"/>
      <c r="B696" s="396" t="s">
        <v>85</v>
      </c>
      <c r="C696" s="396"/>
      <c r="D696" s="396"/>
      <c r="E696" s="396"/>
      <c r="F696" s="396"/>
      <c r="G696" s="396"/>
      <c r="H696" s="396"/>
      <c r="I696" s="396"/>
      <c r="J696" s="396"/>
      <c r="K696" s="396"/>
      <c r="L696" s="46"/>
      <c r="N696" s="71"/>
      <c r="O696" s="72" t="s">
        <v>57</v>
      </c>
      <c r="P696" s="72"/>
      <c r="Q696" s="72"/>
      <c r="R696" s="72">
        <v>0</v>
      </c>
      <c r="S696" s="63"/>
      <c r="T696" s="72" t="s">
        <v>57</v>
      </c>
      <c r="U696" s="102">
        <f>IF($J$1="October","",Y695)</f>
        <v>0</v>
      </c>
      <c r="V696" s="74"/>
      <c r="W696" s="102">
        <f t="shared" ref="W696:W697" si="164">IF(U696="","",U696+V696)</f>
        <v>0</v>
      </c>
      <c r="X696" s="74"/>
      <c r="Y696" s="102">
        <f t="shared" ref="Y696:Y697" si="165">IF(W696="","",W696-X696)</f>
        <v>0</v>
      </c>
      <c r="Z696" s="76"/>
    </row>
    <row r="697" spans="1:27" s="29" customFormat="1" ht="27.75" customHeight="1" x14ac:dyDescent="0.2">
      <c r="A697" s="30"/>
      <c r="B697" s="396"/>
      <c r="C697" s="396"/>
      <c r="D697" s="396"/>
      <c r="E697" s="396"/>
      <c r="F697" s="396"/>
      <c r="G697" s="396"/>
      <c r="H697" s="396"/>
      <c r="I697" s="396"/>
      <c r="J697" s="396"/>
      <c r="K697" s="396"/>
      <c r="L697" s="46"/>
      <c r="N697" s="71"/>
      <c r="O697" s="72" t="s">
        <v>58</v>
      </c>
      <c r="P697" s="72"/>
      <c r="Q697" s="72"/>
      <c r="R697" s="72">
        <v>0</v>
      </c>
      <c r="S697" s="63"/>
      <c r="T697" s="72" t="s">
        <v>58</v>
      </c>
      <c r="U697" s="102">
        <f>IF($J$1="November","",Y696)</f>
        <v>0</v>
      </c>
      <c r="V697" s="74"/>
      <c r="W697" s="102">
        <f t="shared" si="164"/>
        <v>0</v>
      </c>
      <c r="X697" s="74"/>
      <c r="Y697" s="102">
        <f t="shared" si="165"/>
        <v>0</v>
      </c>
      <c r="Z697" s="76"/>
    </row>
    <row r="698" spans="1:27" s="29" customFormat="1" ht="27.75" customHeight="1" thickBot="1" x14ac:dyDescent="0.25">
      <c r="A698" s="5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1"/>
      <c r="N698" s="77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9"/>
    </row>
    <row r="699" spans="1:27" s="29" customFormat="1" ht="27.75" customHeight="1" thickBot="1" x14ac:dyDescent="0.25">
      <c r="A699" s="30"/>
      <c r="L699" s="46"/>
      <c r="N699" s="71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346"/>
    </row>
    <row r="700" spans="1:27" s="29" customFormat="1" ht="27.75" customHeight="1" x14ac:dyDescent="0.2">
      <c r="A700" s="397" t="s">
        <v>40</v>
      </c>
      <c r="B700" s="398"/>
      <c r="C700" s="398"/>
      <c r="D700" s="398"/>
      <c r="E700" s="398"/>
      <c r="F700" s="398"/>
      <c r="G700" s="398"/>
      <c r="H700" s="398"/>
      <c r="I700" s="398"/>
      <c r="J700" s="398"/>
      <c r="K700" s="398"/>
      <c r="L700" s="399"/>
      <c r="M700" s="28"/>
      <c r="N700" s="64"/>
      <c r="O700" s="377" t="s">
        <v>42</v>
      </c>
      <c r="P700" s="378"/>
      <c r="Q700" s="378"/>
      <c r="R700" s="379"/>
      <c r="S700" s="65"/>
      <c r="T700" s="377" t="s">
        <v>43</v>
      </c>
      <c r="U700" s="378"/>
      <c r="V700" s="378"/>
      <c r="W700" s="378"/>
      <c r="X700" s="378"/>
      <c r="Y700" s="379"/>
      <c r="Z700" s="66"/>
      <c r="AA700" s="28"/>
    </row>
    <row r="701" spans="1:27" s="29" customFormat="1" ht="27.75" customHeight="1" x14ac:dyDescent="0.2">
      <c r="A701" s="30"/>
      <c r="C701" s="386" t="s">
        <v>83</v>
      </c>
      <c r="D701" s="386"/>
      <c r="E701" s="386"/>
      <c r="F701" s="386"/>
      <c r="G701" s="31" t="str">
        <f>$J$1</f>
        <v>August</v>
      </c>
      <c r="H701" s="385">
        <f>$K$1</f>
        <v>2023</v>
      </c>
      <c r="I701" s="385"/>
      <c r="K701" s="32"/>
      <c r="L701" s="33"/>
      <c r="M701" s="32"/>
      <c r="N701" s="67"/>
      <c r="O701" s="68" t="s">
        <v>53</v>
      </c>
      <c r="P701" s="68" t="s">
        <v>7</v>
      </c>
      <c r="Q701" s="68" t="s">
        <v>6</v>
      </c>
      <c r="R701" s="68" t="s">
        <v>54</v>
      </c>
      <c r="S701" s="69"/>
      <c r="T701" s="68" t="s">
        <v>53</v>
      </c>
      <c r="U701" s="68" t="s">
        <v>55</v>
      </c>
      <c r="V701" s="68" t="s">
        <v>20</v>
      </c>
      <c r="W701" s="68" t="s">
        <v>19</v>
      </c>
      <c r="X701" s="68" t="s">
        <v>21</v>
      </c>
      <c r="Y701" s="68" t="s">
        <v>59</v>
      </c>
      <c r="Z701" s="70"/>
      <c r="AA701" s="32"/>
    </row>
    <row r="702" spans="1:27" s="29" customFormat="1" ht="27.75" customHeight="1" x14ac:dyDescent="0.2">
      <c r="A702" s="30"/>
      <c r="D702" s="35"/>
      <c r="E702" s="35"/>
      <c r="F702" s="35"/>
      <c r="G702" s="35"/>
      <c r="H702" s="35"/>
      <c r="J702" s="36" t="s">
        <v>1</v>
      </c>
      <c r="K702" s="37">
        <v>45000</v>
      </c>
      <c r="L702" s="38"/>
      <c r="N702" s="71"/>
      <c r="O702" s="72" t="s">
        <v>45</v>
      </c>
      <c r="P702" s="72"/>
      <c r="Q702" s="72"/>
      <c r="R702" s="72">
        <v>0</v>
      </c>
      <c r="S702" s="73"/>
      <c r="T702" s="72" t="s">
        <v>45</v>
      </c>
      <c r="U702" s="74"/>
      <c r="V702" s="74"/>
      <c r="W702" s="74">
        <f>V702+U702</f>
        <v>0</v>
      </c>
      <c r="X702" s="74"/>
      <c r="Y702" s="74">
        <f>W702-X702</f>
        <v>0</v>
      </c>
      <c r="Z702" s="70"/>
    </row>
    <row r="703" spans="1:27" s="29" customFormat="1" ht="27.75" customHeight="1" x14ac:dyDescent="0.2">
      <c r="A703" s="30"/>
      <c r="B703" s="29" t="s">
        <v>0</v>
      </c>
      <c r="C703" s="40" t="s">
        <v>222</v>
      </c>
      <c r="H703" s="41"/>
      <c r="I703" s="35"/>
      <c r="L703" s="42"/>
      <c r="M703" s="28"/>
      <c r="N703" s="75"/>
      <c r="O703" s="72" t="s">
        <v>71</v>
      </c>
      <c r="P703" s="72"/>
      <c r="Q703" s="72"/>
      <c r="R703" s="72" t="str">
        <f>IF(Q703="","",R702-Q703)</f>
        <v/>
      </c>
      <c r="S703" s="63"/>
      <c r="T703" s="72" t="s">
        <v>71</v>
      </c>
      <c r="U703" s="102">
        <f>IF($J$1="January","",Y702)</f>
        <v>0</v>
      </c>
      <c r="V703" s="74"/>
      <c r="W703" s="102">
        <f>IF(U703="","",U703+V703)</f>
        <v>0</v>
      </c>
      <c r="X703" s="74"/>
      <c r="Y703" s="102">
        <f>IF(W703="","",W703-X703)</f>
        <v>0</v>
      </c>
      <c r="Z703" s="76"/>
      <c r="AA703" s="28"/>
    </row>
    <row r="704" spans="1:27" s="29" customFormat="1" ht="27.75" customHeight="1" x14ac:dyDescent="0.2">
      <c r="A704" s="30"/>
      <c r="B704" s="44" t="s">
        <v>41</v>
      </c>
      <c r="C704" s="345">
        <v>45153</v>
      </c>
      <c r="F704" s="395" t="s">
        <v>43</v>
      </c>
      <c r="G704" s="395"/>
      <c r="I704" s="395" t="s">
        <v>44</v>
      </c>
      <c r="J704" s="395"/>
      <c r="K704" s="395"/>
      <c r="L704" s="46"/>
      <c r="N704" s="71"/>
      <c r="O704" s="72" t="s">
        <v>46</v>
      </c>
      <c r="P704" s="72"/>
      <c r="Q704" s="72"/>
      <c r="R704" s="72">
        <v>0</v>
      </c>
      <c r="S704" s="63"/>
      <c r="T704" s="72" t="s">
        <v>46</v>
      </c>
      <c r="U704" s="102">
        <f>IF($J$1="February","",Y703)</f>
        <v>0</v>
      </c>
      <c r="V704" s="74"/>
      <c r="W704" s="102">
        <f t="shared" ref="W704:W713" si="166">IF(U704="","",U704+V704)</f>
        <v>0</v>
      </c>
      <c r="X704" s="74"/>
      <c r="Y704" s="102">
        <f t="shared" ref="Y704:Y713" si="167">IF(W704="","",W704-X704)</f>
        <v>0</v>
      </c>
      <c r="Z704" s="76"/>
    </row>
    <row r="705" spans="1:27" s="29" customFormat="1" ht="27.75" customHeight="1" x14ac:dyDescent="0.2">
      <c r="A705" s="30"/>
      <c r="H705" s="47"/>
      <c r="L705" s="34"/>
      <c r="N705" s="71"/>
      <c r="O705" s="72" t="s">
        <v>47</v>
      </c>
      <c r="P705" s="72"/>
      <c r="Q705" s="72"/>
      <c r="R705" s="72">
        <v>0</v>
      </c>
      <c r="S705" s="63"/>
      <c r="T705" s="72" t="s">
        <v>47</v>
      </c>
      <c r="U705" s="102">
        <f>IF($J$1="March","",Y704)</f>
        <v>0</v>
      </c>
      <c r="V705" s="74"/>
      <c r="W705" s="102">
        <f t="shared" si="166"/>
        <v>0</v>
      </c>
      <c r="X705" s="74"/>
      <c r="Y705" s="102">
        <f t="shared" si="167"/>
        <v>0</v>
      </c>
      <c r="Z705" s="76"/>
    </row>
    <row r="706" spans="1:27" s="29" customFormat="1" ht="27.75" customHeight="1" x14ac:dyDescent="0.2">
      <c r="A706" s="30"/>
      <c r="B706" s="380" t="s">
        <v>42</v>
      </c>
      <c r="C706" s="381"/>
      <c r="F706" s="48" t="s">
        <v>64</v>
      </c>
      <c r="G706" s="43">
        <f>IF($J$1="January",U702,IF($J$1="February",U703,IF($J$1="March",U704,IF($J$1="April",U705,IF($J$1="May",U706,IF($J$1="June",U707,IF($J$1="July",U708,IF($J$1="August",U709,IF($J$1="August",U709,IF($J$1="September",U710,IF($J$1="October",U711,IF($J$1="November",U712,IF($J$1="December",U713)))))))))))))</f>
        <v>0</v>
      </c>
      <c r="H706" s="47"/>
      <c r="I706" s="49">
        <f>IF(C710&gt;0,$K$2,C708)</f>
        <v>17</v>
      </c>
      <c r="J706" s="50" t="s">
        <v>61</v>
      </c>
      <c r="K706" s="51">
        <f>K702/$K$2*I706</f>
        <v>24677.419354838708</v>
      </c>
      <c r="L706" s="52"/>
      <c r="N706" s="71"/>
      <c r="O706" s="72" t="s">
        <v>48</v>
      </c>
      <c r="P706" s="72"/>
      <c r="Q706" s="72"/>
      <c r="R706" s="72">
        <v>0</v>
      </c>
      <c r="S706" s="63"/>
      <c r="T706" s="72" t="s">
        <v>48</v>
      </c>
      <c r="U706" s="102">
        <f>IF($J$1="April","",Y705)</f>
        <v>0</v>
      </c>
      <c r="V706" s="74"/>
      <c r="W706" s="102">
        <f t="shared" si="166"/>
        <v>0</v>
      </c>
      <c r="X706" s="74"/>
      <c r="Y706" s="102">
        <f t="shared" si="167"/>
        <v>0</v>
      </c>
      <c r="Z706" s="76"/>
    </row>
    <row r="707" spans="1:27" s="29" customFormat="1" ht="27.75" customHeight="1" x14ac:dyDescent="0.2">
      <c r="A707" s="30"/>
      <c r="B707" s="39"/>
      <c r="C707" s="39"/>
      <c r="F707" s="48" t="s">
        <v>20</v>
      </c>
      <c r="G707" s="43">
        <f>IF($J$1="January",V702,IF($J$1="February",V703,IF($J$1="March",V704,IF($J$1="April",V705,IF($J$1="May",V706,IF($J$1="June",V707,IF($J$1="July",V708,IF($J$1="August",V709,IF($J$1="August",V709,IF($J$1="September",V710,IF($J$1="October",V711,IF($J$1="November",V712,IF($J$1="December",V713)))))))))))))</f>
        <v>0</v>
      </c>
      <c r="H707" s="47"/>
      <c r="I707" s="84"/>
      <c r="J707" s="50" t="s">
        <v>62</v>
      </c>
      <c r="K707" s="53">
        <f>K702/$K$2/8*I707</f>
        <v>0</v>
      </c>
      <c r="L707" s="54"/>
      <c r="N707" s="71"/>
      <c r="O707" s="72" t="s">
        <v>49</v>
      </c>
      <c r="P707" s="72"/>
      <c r="Q707" s="72"/>
      <c r="R707" s="72" t="str">
        <f t="shared" ref="R707:R711" si="168">IF(Q707="","",R706-Q707)</f>
        <v/>
      </c>
      <c r="S707" s="63"/>
      <c r="T707" s="72" t="s">
        <v>49</v>
      </c>
      <c r="U707" s="102">
        <f>IF($J$1="May","",Y706)</f>
        <v>0</v>
      </c>
      <c r="V707" s="74"/>
      <c r="W707" s="102">
        <f t="shared" si="166"/>
        <v>0</v>
      </c>
      <c r="X707" s="74"/>
      <c r="Y707" s="102">
        <f t="shared" si="167"/>
        <v>0</v>
      </c>
      <c r="Z707" s="76"/>
    </row>
    <row r="708" spans="1:27" s="29" customFormat="1" ht="27.75" customHeight="1" x14ac:dyDescent="0.2">
      <c r="A708" s="30"/>
      <c r="B708" s="48" t="s">
        <v>7</v>
      </c>
      <c r="C708" s="39">
        <f>IF($J$1="January",P702,IF($J$1="February",P703,IF($J$1="March",P704,IF($J$1="April",P705,IF($J$1="May",P706,IF($J$1="June",P707,IF($J$1="July",P708,IF($J$1="August",P709,IF($J$1="August",P709,IF($J$1="September",P710,IF($J$1="October",P711,IF($J$1="November",P712,IF($J$1="December",P713)))))))))))))</f>
        <v>17</v>
      </c>
      <c r="F708" s="48" t="s">
        <v>65</v>
      </c>
      <c r="G708" s="43">
        <f>IF($J$1="January",W702,IF($J$1="February",W703,IF($J$1="March",W704,IF($J$1="April",W705,IF($J$1="May",W706,IF($J$1="June",W707,IF($J$1="July",W708,IF($J$1="August",W709,IF($J$1="August",W709,IF($J$1="September",W710,IF($J$1="October",W711,IF($J$1="November",W712,IF($J$1="December",W713)))))))))))))</f>
        <v>0</v>
      </c>
      <c r="H708" s="47"/>
      <c r="I708" s="387" t="s">
        <v>69</v>
      </c>
      <c r="J708" s="388"/>
      <c r="K708" s="53">
        <f>K706+K707</f>
        <v>24677.419354838708</v>
      </c>
      <c r="L708" s="54"/>
      <c r="N708" s="71"/>
      <c r="O708" s="72" t="s">
        <v>50</v>
      </c>
      <c r="P708" s="72"/>
      <c r="Q708" s="72"/>
      <c r="R708" s="72">
        <v>0</v>
      </c>
      <c r="S708" s="63"/>
      <c r="T708" s="72" t="s">
        <v>50</v>
      </c>
      <c r="U708" s="102">
        <f>IF($J$1="June","",Y707)</f>
        <v>0</v>
      </c>
      <c r="V708" s="74"/>
      <c r="W708" s="102">
        <f t="shared" si="166"/>
        <v>0</v>
      </c>
      <c r="X708" s="74"/>
      <c r="Y708" s="102">
        <f t="shared" si="167"/>
        <v>0</v>
      </c>
      <c r="Z708" s="76"/>
    </row>
    <row r="709" spans="1:27" s="29" customFormat="1" ht="27.75" customHeight="1" x14ac:dyDescent="0.2">
      <c r="A709" s="30"/>
      <c r="B709" s="48" t="s">
        <v>6</v>
      </c>
      <c r="C709" s="39">
        <f>IF($J$1="January",Q702,IF($J$1="February",Q703,IF($J$1="March",Q704,IF($J$1="April",Q705,IF($J$1="May",Q706,IF($J$1="June",Q707,IF($J$1="July",Q708,IF($J$1="August",Q709,IF($J$1="August",Q709,IF($J$1="September",Q710,IF($J$1="October",Q711,IF($J$1="November",Q712,IF($J$1="December",Q713)))))))))))))</f>
        <v>14</v>
      </c>
      <c r="F709" s="48" t="s">
        <v>21</v>
      </c>
      <c r="G709" s="43">
        <f>IF($J$1="January",X702,IF($J$1="February",X703,IF($J$1="March",X704,IF($J$1="April",X705,IF($J$1="May",X706,IF($J$1="June",X707,IF($J$1="July",X708,IF($J$1="August",X709,IF($J$1="August",X709,IF($J$1="September",X710,IF($J$1="October",X711,IF($J$1="November",X712,IF($J$1="December",X713)))))))))))))</f>
        <v>0</v>
      </c>
      <c r="H709" s="47"/>
      <c r="I709" s="387" t="s">
        <v>70</v>
      </c>
      <c r="J709" s="388"/>
      <c r="K709" s="43">
        <f>G709</f>
        <v>0</v>
      </c>
      <c r="L709" s="55"/>
      <c r="N709" s="71"/>
      <c r="O709" s="72" t="s">
        <v>51</v>
      </c>
      <c r="P709" s="72">
        <v>17</v>
      </c>
      <c r="Q709" s="72">
        <v>14</v>
      </c>
      <c r="R709" s="72">
        <v>0</v>
      </c>
      <c r="S709" s="63"/>
      <c r="T709" s="72" t="s">
        <v>51</v>
      </c>
      <c r="U709" s="102">
        <f>IF($J$1="July","",Y708)</f>
        <v>0</v>
      </c>
      <c r="V709" s="74"/>
      <c r="W709" s="102">
        <f t="shared" si="166"/>
        <v>0</v>
      </c>
      <c r="X709" s="74"/>
      <c r="Y709" s="102">
        <f t="shared" si="167"/>
        <v>0</v>
      </c>
      <c r="Z709" s="76"/>
    </row>
    <row r="710" spans="1:27" s="29" customFormat="1" ht="27.75" customHeight="1" x14ac:dyDescent="0.2">
      <c r="A710" s="30"/>
      <c r="B710" s="56" t="s">
        <v>68</v>
      </c>
      <c r="C710" s="39">
        <f>IF($J$1="January",R702,IF($J$1="February",R703,IF($J$1="March",R704,IF($J$1="April",R705,IF($J$1="May",R706,IF($J$1="June",R707,IF($J$1="July",R708,IF($J$1="August",R709,IF($J$1="August",R709,IF($J$1="September",R710,IF($J$1="October",R711,IF($J$1="November",R712,IF($J$1="December",R713)))))))))))))</f>
        <v>0</v>
      </c>
      <c r="F710" s="48" t="s">
        <v>67</v>
      </c>
      <c r="G710" s="43">
        <f>IF($J$1="January",Y702,IF($J$1="February",Y703,IF($J$1="March",Y704,IF($J$1="April",Y705,IF($J$1="May",Y706,IF($J$1="June",Y707,IF($J$1="July",Y708,IF($J$1="August",Y709,IF($J$1="August",Y709,IF($J$1="September",Y710,IF($J$1="October",Y711,IF($J$1="November",Y712,IF($J$1="December",Y713)))))))))))))</f>
        <v>0</v>
      </c>
      <c r="I710" s="382" t="s">
        <v>63</v>
      </c>
      <c r="J710" s="384"/>
      <c r="K710" s="57">
        <f>K708-K709</f>
        <v>24677.419354838708</v>
      </c>
      <c r="L710" s="58"/>
      <c r="N710" s="71"/>
      <c r="O710" s="72" t="s">
        <v>56</v>
      </c>
      <c r="P710" s="72"/>
      <c r="Q710" s="72"/>
      <c r="R710" s="72"/>
      <c r="S710" s="63"/>
      <c r="T710" s="72" t="s">
        <v>56</v>
      </c>
      <c r="U710" s="102" t="str">
        <f>IF($J$1="August","",Y709)</f>
        <v/>
      </c>
      <c r="V710" s="74"/>
      <c r="W710" s="102" t="str">
        <f t="shared" si="166"/>
        <v/>
      </c>
      <c r="X710" s="74"/>
      <c r="Y710" s="102" t="str">
        <f t="shared" si="167"/>
        <v/>
      </c>
      <c r="Z710" s="76"/>
    </row>
    <row r="711" spans="1:27" s="29" customFormat="1" ht="27.75" customHeight="1" x14ac:dyDescent="0.2">
      <c r="A711" s="30"/>
      <c r="L711" s="46"/>
      <c r="N711" s="71"/>
      <c r="O711" s="72" t="s">
        <v>52</v>
      </c>
      <c r="P711" s="72"/>
      <c r="Q711" s="72"/>
      <c r="R711" s="72" t="str">
        <f t="shared" si="168"/>
        <v/>
      </c>
      <c r="S711" s="63"/>
      <c r="T711" s="72" t="s">
        <v>52</v>
      </c>
      <c r="U711" s="102" t="str">
        <f>IF($J$1="September","",Y710)</f>
        <v/>
      </c>
      <c r="V711" s="74"/>
      <c r="W711" s="102" t="str">
        <f t="shared" si="166"/>
        <v/>
      </c>
      <c r="X711" s="74"/>
      <c r="Y711" s="102" t="str">
        <f t="shared" si="167"/>
        <v/>
      </c>
      <c r="Z711" s="76"/>
    </row>
    <row r="712" spans="1:27" s="29" customFormat="1" ht="27.75" customHeight="1" x14ac:dyDescent="0.2">
      <c r="A712" s="30"/>
      <c r="B712" s="396" t="s">
        <v>85</v>
      </c>
      <c r="C712" s="396"/>
      <c r="D712" s="396"/>
      <c r="E712" s="396"/>
      <c r="F712" s="396"/>
      <c r="G712" s="396"/>
      <c r="H712" s="396"/>
      <c r="I712" s="396"/>
      <c r="J712" s="396"/>
      <c r="K712" s="396"/>
      <c r="L712" s="46"/>
      <c r="N712" s="71"/>
      <c r="O712" s="72" t="s">
        <v>57</v>
      </c>
      <c r="P712" s="72"/>
      <c r="Q712" s="72"/>
      <c r="R712" s="72">
        <v>0</v>
      </c>
      <c r="S712" s="63"/>
      <c r="T712" s="72" t="s">
        <v>57</v>
      </c>
      <c r="U712" s="102" t="str">
        <f>IF($J$1="October","",Y711)</f>
        <v/>
      </c>
      <c r="V712" s="74"/>
      <c r="W712" s="102" t="str">
        <f t="shared" si="166"/>
        <v/>
      </c>
      <c r="X712" s="74"/>
      <c r="Y712" s="102" t="str">
        <f t="shared" si="167"/>
        <v/>
      </c>
      <c r="Z712" s="76"/>
    </row>
    <row r="713" spans="1:27" s="29" customFormat="1" ht="27.75" customHeight="1" x14ac:dyDescent="0.2">
      <c r="A713" s="30"/>
      <c r="B713" s="396"/>
      <c r="C713" s="396"/>
      <c r="D713" s="396"/>
      <c r="E713" s="396"/>
      <c r="F713" s="396"/>
      <c r="G713" s="396"/>
      <c r="H713" s="396"/>
      <c r="I713" s="396"/>
      <c r="J713" s="396"/>
      <c r="K713" s="396"/>
      <c r="L713" s="46"/>
      <c r="N713" s="71"/>
      <c r="O713" s="72" t="s">
        <v>58</v>
      </c>
      <c r="P713" s="72"/>
      <c r="Q713" s="72"/>
      <c r="R713" s="72">
        <v>0</v>
      </c>
      <c r="S713" s="63"/>
      <c r="T713" s="72" t="s">
        <v>58</v>
      </c>
      <c r="U713" s="102" t="str">
        <f>IF($J$1="November","",Y712)</f>
        <v/>
      </c>
      <c r="V713" s="74"/>
      <c r="W713" s="102" t="str">
        <f t="shared" si="166"/>
        <v/>
      </c>
      <c r="X713" s="74"/>
      <c r="Y713" s="102" t="str">
        <f t="shared" si="167"/>
        <v/>
      </c>
      <c r="Z713" s="76"/>
    </row>
    <row r="714" spans="1:27" s="29" customFormat="1" ht="27.75" customHeight="1" thickBot="1" x14ac:dyDescent="0.25">
      <c r="A714" s="5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1"/>
      <c r="N714" s="77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9"/>
    </row>
    <row r="715" spans="1:27" s="29" customFormat="1" ht="27.75" customHeight="1" thickBot="1" x14ac:dyDescent="0.25">
      <c r="A715" s="30"/>
      <c r="L715" s="46"/>
      <c r="N715" s="71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346"/>
    </row>
    <row r="716" spans="1:27" s="29" customFormat="1" ht="27.75" customHeight="1" x14ac:dyDescent="0.2">
      <c r="A716" s="400" t="s">
        <v>40</v>
      </c>
      <c r="B716" s="401"/>
      <c r="C716" s="401"/>
      <c r="D716" s="401"/>
      <c r="E716" s="401"/>
      <c r="F716" s="401"/>
      <c r="G716" s="401"/>
      <c r="H716" s="401"/>
      <c r="I716" s="401"/>
      <c r="J716" s="401"/>
      <c r="K716" s="401"/>
      <c r="L716" s="402"/>
      <c r="M716" s="28"/>
      <c r="N716" s="64"/>
      <c r="O716" s="377" t="s">
        <v>42</v>
      </c>
      <c r="P716" s="378"/>
      <c r="Q716" s="378"/>
      <c r="R716" s="379"/>
      <c r="S716" s="65"/>
      <c r="T716" s="377" t="s">
        <v>43</v>
      </c>
      <c r="U716" s="378"/>
      <c r="V716" s="378"/>
      <c r="W716" s="378"/>
      <c r="X716" s="378"/>
      <c r="Y716" s="379"/>
      <c r="Z716" s="66"/>
      <c r="AA716" s="28"/>
    </row>
    <row r="717" spans="1:27" s="29" customFormat="1" ht="27.75" customHeight="1" x14ac:dyDescent="0.2">
      <c r="A717" s="30"/>
      <c r="C717" s="386" t="s">
        <v>83</v>
      </c>
      <c r="D717" s="386"/>
      <c r="E717" s="386"/>
      <c r="F717" s="386"/>
      <c r="G717" s="31" t="str">
        <f>$J$1</f>
        <v>August</v>
      </c>
      <c r="H717" s="385">
        <f>$K$1</f>
        <v>2023</v>
      </c>
      <c r="I717" s="385"/>
      <c r="K717" s="32"/>
      <c r="L717" s="33"/>
      <c r="M717" s="32"/>
      <c r="N717" s="67"/>
      <c r="O717" s="68" t="s">
        <v>53</v>
      </c>
      <c r="P717" s="68" t="s">
        <v>7</v>
      </c>
      <c r="Q717" s="68" t="s">
        <v>6</v>
      </c>
      <c r="R717" s="68" t="s">
        <v>54</v>
      </c>
      <c r="S717" s="69"/>
      <c r="T717" s="68" t="s">
        <v>53</v>
      </c>
      <c r="U717" s="68" t="s">
        <v>55</v>
      </c>
      <c r="V717" s="68" t="s">
        <v>20</v>
      </c>
      <c r="W717" s="68" t="s">
        <v>19</v>
      </c>
      <c r="X717" s="68" t="s">
        <v>21</v>
      </c>
      <c r="Y717" s="68" t="s">
        <v>59</v>
      </c>
      <c r="Z717" s="70"/>
      <c r="AA717" s="32"/>
    </row>
    <row r="718" spans="1:27" s="29" customFormat="1" ht="27.75" customHeight="1" x14ac:dyDescent="0.2">
      <c r="A718" s="30"/>
      <c r="D718" s="35"/>
      <c r="E718" s="35"/>
      <c r="F718" s="35"/>
      <c r="G718" s="35"/>
      <c r="H718" s="35"/>
      <c r="J718" s="36" t="s">
        <v>1</v>
      </c>
      <c r="K718" s="37"/>
      <c r="L718" s="38"/>
      <c r="N718" s="71"/>
      <c r="O718" s="72" t="s">
        <v>45</v>
      </c>
      <c r="P718" s="72">
        <v>22</v>
      </c>
      <c r="Q718" s="72">
        <v>9</v>
      </c>
      <c r="R718" s="72"/>
      <c r="S718" s="73"/>
      <c r="T718" s="72" t="s">
        <v>45</v>
      </c>
      <c r="U718" s="74"/>
      <c r="V718" s="74"/>
      <c r="W718" s="74">
        <f>V718+U718</f>
        <v>0</v>
      </c>
      <c r="X718" s="74"/>
      <c r="Y718" s="74">
        <f>W718-X718</f>
        <v>0</v>
      </c>
      <c r="Z718" s="70"/>
    </row>
    <row r="719" spans="1:27" s="29" customFormat="1" ht="27.75" customHeight="1" x14ac:dyDescent="0.2">
      <c r="A719" s="30"/>
      <c r="B719" s="29" t="s">
        <v>0</v>
      </c>
      <c r="C719" s="40" t="s">
        <v>223</v>
      </c>
      <c r="H719" s="41"/>
      <c r="I719" s="35"/>
      <c r="L719" s="42"/>
      <c r="M719" s="28"/>
      <c r="N719" s="75"/>
      <c r="O719" s="72" t="s">
        <v>71</v>
      </c>
      <c r="P719" s="72"/>
      <c r="Q719" s="72"/>
      <c r="R719" s="72" t="str">
        <f t="shared" ref="R719:R726" si="169">IF(Q719="","",R718-Q719)</f>
        <v/>
      </c>
      <c r="S719" s="63"/>
      <c r="T719" s="72" t="s">
        <v>71</v>
      </c>
      <c r="U719" s="102">
        <f>Y718</f>
        <v>0</v>
      </c>
      <c r="V719" s="74"/>
      <c r="W719" s="102">
        <f>IF(U719="","",U719+V719)</f>
        <v>0</v>
      </c>
      <c r="X719" s="74"/>
      <c r="Y719" s="102">
        <f>IF(W719="","",W719-X719)</f>
        <v>0</v>
      </c>
      <c r="Z719" s="76"/>
      <c r="AA719" s="28"/>
    </row>
    <row r="720" spans="1:27" s="29" customFormat="1" ht="27.75" customHeight="1" x14ac:dyDescent="0.2">
      <c r="A720" s="30"/>
      <c r="B720" s="44" t="s">
        <v>41</v>
      </c>
      <c r="C720" s="45"/>
      <c r="F720" s="395" t="s">
        <v>43</v>
      </c>
      <c r="G720" s="395"/>
      <c r="I720" s="395" t="s">
        <v>44</v>
      </c>
      <c r="J720" s="395"/>
      <c r="K720" s="395"/>
      <c r="L720" s="46"/>
      <c r="N720" s="71"/>
      <c r="O720" s="72" t="s">
        <v>46</v>
      </c>
      <c r="P720" s="72"/>
      <c r="Q720" s="72"/>
      <c r="R720" s="72" t="str">
        <f t="shared" si="169"/>
        <v/>
      </c>
      <c r="S720" s="63"/>
      <c r="T720" s="72" t="s">
        <v>46</v>
      </c>
      <c r="U720" s="102">
        <f>IF($J$1="April",Y719,Y719)</f>
        <v>0</v>
      </c>
      <c r="V720" s="74"/>
      <c r="W720" s="102">
        <f t="shared" ref="W720:W729" si="170">IF(U720="","",U720+V720)</f>
        <v>0</v>
      </c>
      <c r="X720" s="74"/>
      <c r="Y720" s="102">
        <f t="shared" ref="Y720:Y729" si="171">IF(W720="","",W720-X720)</f>
        <v>0</v>
      </c>
      <c r="Z720" s="76"/>
    </row>
    <row r="721" spans="1:27" s="29" customFormat="1" ht="27.75" customHeight="1" x14ac:dyDescent="0.2">
      <c r="A721" s="30"/>
      <c r="H721" s="47"/>
      <c r="L721" s="34"/>
      <c r="N721" s="71"/>
      <c r="O721" s="72" t="s">
        <v>47</v>
      </c>
      <c r="P721" s="72"/>
      <c r="Q721" s="72"/>
      <c r="R721" s="72">
        <v>0</v>
      </c>
      <c r="S721" s="63"/>
      <c r="T721" s="72" t="s">
        <v>47</v>
      </c>
      <c r="U721" s="102">
        <f>IF($J$1="April",Y720,Y720)</f>
        <v>0</v>
      </c>
      <c r="V721" s="74"/>
      <c r="W721" s="102">
        <f t="shared" si="170"/>
        <v>0</v>
      </c>
      <c r="X721" s="74"/>
      <c r="Y721" s="102">
        <f t="shared" si="171"/>
        <v>0</v>
      </c>
      <c r="Z721" s="76"/>
    </row>
    <row r="722" spans="1:27" s="29" customFormat="1" ht="27.75" customHeight="1" x14ac:dyDescent="0.2">
      <c r="A722" s="30"/>
      <c r="B722" s="380" t="s">
        <v>42</v>
      </c>
      <c r="C722" s="381"/>
      <c r="F722" s="48" t="s">
        <v>64</v>
      </c>
      <c r="G722" s="43" t="str">
        <f>IF($J$1="January",U718,IF($J$1="February",U719,IF($J$1="March",U720,IF($J$1="April",U721,IF($J$1="May",U722,IF($J$1="June",U723,IF($J$1="July",U724,IF($J$1="August",U725,IF($J$1="August",U725,IF($J$1="September",U726,IF($J$1="October",U727,IF($J$1="November",U728,IF($J$1="December",U729)))))))))))))</f>
        <v/>
      </c>
      <c r="H722" s="47"/>
      <c r="I722" s="49"/>
      <c r="J722" s="50" t="s">
        <v>61</v>
      </c>
      <c r="K722" s="51">
        <f>K718/$K$2*I722</f>
        <v>0</v>
      </c>
      <c r="L722" s="52"/>
      <c r="N722" s="71"/>
      <c r="O722" s="72" t="s">
        <v>48</v>
      </c>
      <c r="P722" s="72"/>
      <c r="Q722" s="72"/>
      <c r="R722" s="72">
        <v>0</v>
      </c>
      <c r="S722" s="63"/>
      <c r="T722" s="72" t="s">
        <v>48</v>
      </c>
      <c r="U722" s="102">
        <f>IF($J$1="May",Y721,Y721)</f>
        <v>0</v>
      </c>
      <c r="V722" s="74"/>
      <c r="W722" s="102">
        <f t="shared" si="170"/>
        <v>0</v>
      </c>
      <c r="X722" s="74"/>
      <c r="Y722" s="102">
        <f t="shared" si="171"/>
        <v>0</v>
      </c>
      <c r="Z722" s="76"/>
    </row>
    <row r="723" spans="1:27" s="29" customFormat="1" ht="27.75" customHeight="1" x14ac:dyDescent="0.2">
      <c r="A723" s="30"/>
      <c r="B723" s="39"/>
      <c r="C723" s="39"/>
      <c r="F723" s="48" t="s">
        <v>20</v>
      </c>
      <c r="G723" s="43">
        <f>IF($J$1="January",V718,IF($J$1="February",V719,IF($J$1="March",V720,IF($J$1="April",V721,IF($J$1="May",V722,IF($J$1="June",V723,IF($J$1="July",V724,IF($J$1="August",V725,IF($J$1="August",V725,IF($J$1="September",V726,IF($J$1="October",V727,IF($J$1="November",V728,IF($J$1="December",V729)))))))))))))</f>
        <v>0</v>
      </c>
      <c r="H723" s="47"/>
      <c r="I723" s="84"/>
      <c r="J723" s="50" t="s">
        <v>62</v>
      </c>
      <c r="K723" s="53">
        <f>K718/$K$2/8*I723</f>
        <v>0</v>
      </c>
      <c r="L723" s="54"/>
      <c r="N723" s="71"/>
      <c r="O723" s="72" t="s">
        <v>49</v>
      </c>
      <c r="P723" s="72"/>
      <c r="Q723" s="72"/>
      <c r="R723" s="72" t="str">
        <f t="shared" si="169"/>
        <v/>
      </c>
      <c r="S723" s="63"/>
      <c r="T723" s="72" t="s">
        <v>49</v>
      </c>
      <c r="U723" s="102">
        <f>IF($J$1="May",Y722,Y722)</f>
        <v>0</v>
      </c>
      <c r="V723" s="74"/>
      <c r="W723" s="102">
        <f t="shared" si="170"/>
        <v>0</v>
      </c>
      <c r="X723" s="74"/>
      <c r="Y723" s="102">
        <f t="shared" si="171"/>
        <v>0</v>
      </c>
      <c r="Z723" s="76"/>
    </row>
    <row r="724" spans="1:27" s="29" customFormat="1" ht="27.75" customHeight="1" x14ac:dyDescent="0.2">
      <c r="A724" s="30"/>
      <c r="B724" s="48" t="s">
        <v>7</v>
      </c>
      <c r="C724" s="39">
        <f>IF($J$1="January",P718,IF($J$1="February",P719,IF($J$1="March",P720,IF($J$1="April",P721,IF($J$1="May",P722,IF($J$1="June",P723,IF($J$1="July",P724,IF($J$1="August",P725,IF($J$1="August",P725,IF($J$1="September",P726,IF($J$1="October",P727,IF($J$1="November",P728,IF($J$1="December",P729)))))))))))))</f>
        <v>0</v>
      </c>
      <c r="F724" s="48" t="s">
        <v>65</v>
      </c>
      <c r="G724" s="43" t="str">
        <f>IF($J$1="January",W718,IF($J$1="February",W719,IF($J$1="March",W720,IF($J$1="April",W721,IF($J$1="May",W722,IF($J$1="June",W723,IF($J$1="July",W724,IF($J$1="August",W725,IF($J$1="August",W725,IF($J$1="September",W726,IF($J$1="October",W727,IF($J$1="November",W728,IF($J$1="December",W729)))))))))))))</f>
        <v/>
      </c>
      <c r="H724" s="47"/>
      <c r="I724" s="387" t="s">
        <v>69</v>
      </c>
      <c r="J724" s="388"/>
      <c r="K724" s="53">
        <f>K722+K723</f>
        <v>0</v>
      </c>
      <c r="L724" s="54"/>
      <c r="N724" s="71"/>
      <c r="O724" s="72" t="s">
        <v>50</v>
      </c>
      <c r="P724" s="72"/>
      <c r="Q724" s="72"/>
      <c r="R724" s="72">
        <v>0</v>
      </c>
      <c r="S724" s="63"/>
      <c r="T724" s="72" t="s">
        <v>50</v>
      </c>
      <c r="U724" s="102" t="str">
        <f>IF($J$1="July",Y723,"")</f>
        <v/>
      </c>
      <c r="V724" s="74"/>
      <c r="W724" s="102" t="str">
        <f t="shared" si="170"/>
        <v/>
      </c>
      <c r="X724" s="74"/>
      <c r="Y724" s="102" t="str">
        <f t="shared" si="171"/>
        <v/>
      </c>
      <c r="Z724" s="76"/>
    </row>
    <row r="725" spans="1:27" s="29" customFormat="1" ht="27.75" customHeight="1" x14ac:dyDescent="0.2">
      <c r="A725" s="30"/>
      <c r="B725" s="48" t="s">
        <v>6</v>
      </c>
      <c r="C725" s="39">
        <f>IF($J$1="January",Q718,IF($J$1="February",Q719,IF($J$1="March",Q720,IF($J$1="April",Q721,IF($J$1="May",Q722,IF($J$1="June",Q723,IF($J$1="July",Q724,IF($J$1="August",Q725,IF($J$1="August",Q725,IF($J$1="September",Q726,IF($J$1="October",Q727,IF($J$1="November",Q728,IF($J$1="December",Q729)))))))))))))</f>
        <v>0</v>
      </c>
      <c r="F725" s="48" t="s">
        <v>21</v>
      </c>
      <c r="G725" s="43">
        <f>IF($J$1="January",X718,IF($J$1="February",X719,IF($J$1="March",X720,IF($J$1="April",X721,IF($J$1="May",X722,IF($J$1="June",X723,IF($J$1="July",X724,IF($J$1="August",X725,IF($J$1="August",X725,IF($J$1="September",X726,IF($J$1="October",X727,IF($J$1="November",X728,IF($J$1="December",X729)))))))))))))</f>
        <v>0</v>
      </c>
      <c r="H725" s="47"/>
      <c r="I725" s="387" t="s">
        <v>70</v>
      </c>
      <c r="J725" s="388"/>
      <c r="K725" s="43">
        <f>G725</f>
        <v>0</v>
      </c>
      <c r="L725" s="55"/>
      <c r="N725" s="71"/>
      <c r="O725" s="72" t="s">
        <v>51</v>
      </c>
      <c r="P725" s="72"/>
      <c r="Q725" s="72"/>
      <c r="R725" s="72">
        <v>0</v>
      </c>
      <c r="S725" s="63"/>
      <c r="T725" s="72" t="s">
        <v>51</v>
      </c>
      <c r="U725" s="102" t="str">
        <f>IF($J$1="August",Y724,"")</f>
        <v/>
      </c>
      <c r="V725" s="74"/>
      <c r="W725" s="102" t="str">
        <f t="shared" si="170"/>
        <v/>
      </c>
      <c r="X725" s="74"/>
      <c r="Y725" s="102" t="str">
        <f t="shared" si="171"/>
        <v/>
      </c>
      <c r="Z725" s="76"/>
    </row>
    <row r="726" spans="1:27" s="29" customFormat="1" ht="27.75" customHeight="1" x14ac:dyDescent="0.2">
      <c r="A726" s="30"/>
      <c r="B726" s="56" t="s">
        <v>68</v>
      </c>
      <c r="C726" s="39">
        <f>IF($J$1="January",R718,IF($J$1="February",R719,IF($J$1="March",R720,IF($J$1="April",R721,IF($J$1="May",R722,IF($J$1="June",R723,IF($J$1="July",R724,IF($J$1="August",R725,IF($J$1="August",R725,IF($J$1="September",R726,IF($J$1="October",R727,IF($J$1="November",R728,IF($J$1="December",R729)))))))))))))</f>
        <v>0</v>
      </c>
      <c r="F726" s="48" t="s">
        <v>67</v>
      </c>
      <c r="G726" s="43" t="str">
        <f>IF($J$1="January",Y718,IF($J$1="February",Y719,IF($J$1="March",Y720,IF($J$1="April",Y721,IF($J$1="May",Y722,IF($J$1="June",Y723,IF($J$1="July",Y724,IF($J$1="August",Y725,IF($J$1="August",Y725,IF($J$1="September",Y726,IF($J$1="October",Y727,IF($J$1="November",Y728,IF($J$1="December",Y729)))))))))))))</f>
        <v/>
      </c>
      <c r="I726" s="382" t="s">
        <v>63</v>
      </c>
      <c r="J726" s="384"/>
      <c r="K726" s="57">
        <f>K724-K725</f>
        <v>0</v>
      </c>
      <c r="L726" s="58"/>
      <c r="N726" s="71"/>
      <c r="O726" s="72" t="s">
        <v>56</v>
      </c>
      <c r="P726" s="72"/>
      <c r="Q726" s="72"/>
      <c r="R726" s="72" t="str">
        <f t="shared" si="169"/>
        <v/>
      </c>
      <c r="S726" s="63"/>
      <c r="T726" s="72" t="s">
        <v>56</v>
      </c>
      <c r="U726" s="102" t="str">
        <f>IF($J$1="May",Y725,Y725)</f>
        <v/>
      </c>
      <c r="V726" s="74"/>
      <c r="W726" s="102" t="str">
        <f t="shared" si="170"/>
        <v/>
      </c>
      <c r="X726" s="74"/>
      <c r="Y726" s="102" t="str">
        <f t="shared" si="171"/>
        <v/>
      </c>
      <c r="Z726" s="76"/>
    </row>
    <row r="727" spans="1:27" s="29" customFormat="1" ht="27.75" customHeight="1" x14ac:dyDescent="0.2">
      <c r="A727" s="30"/>
      <c r="L727" s="46"/>
      <c r="N727" s="71"/>
      <c r="O727" s="72" t="s">
        <v>52</v>
      </c>
      <c r="P727" s="72"/>
      <c r="Q727" s="72"/>
      <c r="R727" s="72">
        <v>0</v>
      </c>
      <c r="S727" s="63"/>
      <c r="T727" s="72" t="s">
        <v>52</v>
      </c>
      <c r="U727" s="102" t="str">
        <f t="shared" ref="U727:U729" si="172">Y726</f>
        <v/>
      </c>
      <c r="V727" s="74"/>
      <c r="W727" s="102" t="str">
        <f t="shared" si="170"/>
        <v/>
      </c>
      <c r="X727" s="74"/>
      <c r="Y727" s="102" t="str">
        <f t="shared" si="171"/>
        <v/>
      </c>
      <c r="Z727" s="76"/>
    </row>
    <row r="728" spans="1:27" s="29" customFormat="1" ht="27.75" customHeight="1" x14ac:dyDescent="0.2">
      <c r="A728" s="30"/>
      <c r="B728" s="396" t="s">
        <v>85</v>
      </c>
      <c r="C728" s="396"/>
      <c r="D728" s="396"/>
      <c r="E728" s="396"/>
      <c r="F728" s="396"/>
      <c r="G728" s="396"/>
      <c r="H728" s="396"/>
      <c r="I728" s="396"/>
      <c r="J728" s="396"/>
      <c r="K728" s="396"/>
      <c r="L728" s="46"/>
      <c r="N728" s="71"/>
      <c r="O728" s="72" t="s">
        <v>57</v>
      </c>
      <c r="P728" s="72"/>
      <c r="Q728" s="72"/>
      <c r="R728" s="72">
        <v>0</v>
      </c>
      <c r="S728" s="63"/>
      <c r="T728" s="72" t="s">
        <v>57</v>
      </c>
      <c r="U728" s="102" t="str">
        <f t="shared" si="172"/>
        <v/>
      </c>
      <c r="V728" s="74"/>
      <c r="W728" s="102"/>
      <c r="X728" s="74"/>
      <c r="Y728" s="102" t="str">
        <f t="shared" si="171"/>
        <v/>
      </c>
      <c r="Z728" s="76"/>
    </row>
    <row r="729" spans="1:27" s="29" customFormat="1" ht="27.75" customHeight="1" x14ac:dyDescent="0.2">
      <c r="A729" s="30"/>
      <c r="B729" s="396"/>
      <c r="C729" s="396"/>
      <c r="D729" s="396"/>
      <c r="E729" s="396"/>
      <c r="F729" s="396"/>
      <c r="G729" s="396"/>
      <c r="H729" s="396"/>
      <c r="I729" s="396"/>
      <c r="J729" s="396"/>
      <c r="K729" s="396"/>
      <c r="L729" s="46"/>
      <c r="N729" s="71"/>
      <c r="O729" s="72" t="s">
        <v>58</v>
      </c>
      <c r="P729" s="72"/>
      <c r="Q729" s="72"/>
      <c r="R729" s="72">
        <v>0</v>
      </c>
      <c r="S729" s="63"/>
      <c r="T729" s="72" t="s">
        <v>58</v>
      </c>
      <c r="U729" s="102" t="str">
        <f t="shared" si="172"/>
        <v/>
      </c>
      <c r="V729" s="74"/>
      <c r="W729" s="102" t="str">
        <f t="shared" si="170"/>
        <v/>
      </c>
      <c r="X729" s="74"/>
      <c r="Y729" s="102" t="str">
        <f t="shared" si="171"/>
        <v/>
      </c>
      <c r="Z729" s="76"/>
    </row>
    <row r="730" spans="1:27" s="29" customFormat="1" ht="27.75" customHeight="1" thickBot="1" x14ac:dyDescent="0.25">
      <c r="A730" s="5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1"/>
      <c r="N730" s="77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9"/>
    </row>
    <row r="731" spans="1:27" s="29" customFormat="1" ht="27.75" customHeight="1" thickBot="1" x14ac:dyDescent="0.25"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7" s="29" customFormat="1" ht="27.75" customHeight="1" x14ac:dyDescent="0.2">
      <c r="A732" s="397" t="s">
        <v>40</v>
      </c>
      <c r="B732" s="398"/>
      <c r="C732" s="398"/>
      <c r="D732" s="398"/>
      <c r="E732" s="398"/>
      <c r="F732" s="398"/>
      <c r="G732" s="398"/>
      <c r="H732" s="398"/>
      <c r="I732" s="398"/>
      <c r="J732" s="398"/>
      <c r="K732" s="398"/>
      <c r="L732" s="399"/>
      <c r="M732" s="28"/>
      <c r="N732" s="64"/>
      <c r="O732" s="377" t="s">
        <v>42</v>
      </c>
      <c r="P732" s="378"/>
      <c r="Q732" s="378"/>
      <c r="R732" s="379"/>
      <c r="S732" s="65"/>
      <c r="T732" s="377" t="s">
        <v>43</v>
      </c>
      <c r="U732" s="378"/>
      <c r="V732" s="378"/>
      <c r="W732" s="378"/>
      <c r="X732" s="378"/>
      <c r="Y732" s="379"/>
      <c r="Z732" s="66"/>
      <c r="AA732" s="28"/>
    </row>
    <row r="733" spans="1:27" s="29" customFormat="1" ht="27.75" customHeight="1" x14ac:dyDescent="0.2">
      <c r="A733" s="30"/>
      <c r="C733" s="386" t="s">
        <v>83</v>
      </c>
      <c r="D733" s="386"/>
      <c r="E733" s="386"/>
      <c r="F733" s="386"/>
      <c r="G733" s="31" t="str">
        <f>$J$1</f>
        <v>August</v>
      </c>
      <c r="H733" s="385">
        <f>$K$1</f>
        <v>2023</v>
      </c>
      <c r="I733" s="385"/>
      <c r="K733" s="32"/>
      <c r="L733" s="33"/>
      <c r="M733" s="32"/>
      <c r="N733" s="67"/>
      <c r="O733" s="68" t="s">
        <v>53</v>
      </c>
      <c r="P733" s="68" t="s">
        <v>7</v>
      </c>
      <c r="Q733" s="68" t="s">
        <v>6</v>
      </c>
      <c r="R733" s="68" t="s">
        <v>54</v>
      </c>
      <c r="S733" s="69"/>
      <c r="T733" s="68" t="s">
        <v>53</v>
      </c>
      <c r="U733" s="68" t="s">
        <v>55</v>
      </c>
      <c r="V733" s="68" t="s">
        <v>20</v>
      </c>
      <c r="W733" s="68" t="s">
        <v>19</v>
      </c>
      <c r="X733" s="68" t="s">
        <v>21</v>
      </c>
      <c r="Y733" s="68" t="s">
        <v>59</v>
      </c>
      <c r="Z733" s="70"/>
      <c r="AA733" s="32"/>
    </row>
    <row r="734" spans="1:27" s="29" customFormat="1" ht="27.75" customHeight="1" x14ac:dyDescent="0.2">
      <c r="A734" s="30"/>
      <c r="D734" s="35"/>
      <c r="E734" s="35"/>
      <c r="F734" s="35"/>
      <c r="G734" s="35"/>
      <c r="H734" s="35"/>
      <c r="J734" s="36" t="s">
        <v>1</v>
      </c>
      <c r="K734" s="37"/>
      <c r="L734" s="38"/>
      <c r="N734" s="71"/>
      <c r="O734" s="72" t="s">
        <v>45</v>
      </c>
      <c r="P734" s="72"/>
      <c r="Q734" s="72"/>
      <c r="R734" s="72"/>
      <c r="S734" s="73"/>
      <c r="T734" s="72" t="s">
        <v>45</v>
      </c>
      <c r="U734" s="74"/>
      <c r="V734" s="74"/>
      <c r="W734" s="74">
        <f>V734+U734</f>
        <v>0</v>
      </c>
      <c r="X734" s="74"/>
      <c r="Y734" s="74">
        <f>W734-X734</f>
        <v>0</v>
      </c>
      <c r="Z734" s="70"/>
    </row>
    <row r="735" spans="1:27" s="29" customFormat="1" ht="27.75" customHeight="1" x14ac:dyDescent="0.2">
      <c r="A735" s="30"/>
      <c r="B735" s="29" t="s">
        <v>0</v>
      </c>
      <c r="C735" s="40">
        <v>15</v>
      </c>
      <c r="H735" s="41"/>
      <c r="I735" s="35"/>
      <c r="L735" s="42"/>
      <c r="M735" s="28"/>
      <c r="N735" s="75"/>
      <c r="O735" s="72" t="s">
        <v>71</v>
      </c>
      <c r="P735" s="72"/>
      <c r="Q735" s="72"/>
      <c r="R735" s="72" t="str">
        <f>IF(Q735="","",R734-Q735)</f>
        <v/>
      </c>
      <c r="S735" s="63"/>
      <c r="T735" s="72" t="s">
        <v>71</v>
      </c>
      <c r="U735" s="102">
        <f>Y734</f>
        <v>0</v>
      </c>
      <c r="V735" s="74"/>
      <c r="W735" s="102">
        <f>IF(U735="","",U735+V735)</f>
        <v>0</v>
      </c>
      <c r="X735" s="74"/>
      <c r="Y735" s="102">
        <f>IF(W735="","",W735-X735)</f>
        <v>0</v>
      </c>
      <c r="Z735" s="76"/>
      <c r="AA735" s="28"/>
    </row>
    <row r="736" spans="1:27" s="29" customFormat="1" ht="27.75" customHeight="1" x14ac:dyDescent="0.2">
      <c r="A736" s="30"/>
      <c r="B736" s="44" t="s">
        <v>41</v>
      </c>
      <c r="C736" s="45"/>
      <c r="F736" s="395" t="s">
        <v>43</v>
      </c>
      <c r="G736" s="395"/>
      <c r="I736" s="395" t="s">
        <v>44</v>
      </c>
      <c r="J736" s="395"/>
      <c r="K736" s="395"/>
      <c r="L736" s="46"/>
      <c r="N736" s="71"/>
      <c r="O736" s="72" t="s">
        <v>46</v>
      </c>
      <c r="P736" s="72"/>
      <c r="Q736" s="72"/>
      <c r="R736" s="72" t="str">
        <f t="shared" ref="R736:R745" si="173">IF(Q736="","",R735-Q736)</f>
        <v/>
      </c>
      <c r="S736" s="63"/>
      <c r="T736" s="72" t="s">
        <v>46</v>
      </c>
      <c r="U736" s="102">
        <f>IF($J$1="April",Y735,Y735)</f>
        <v>0</v>
      </c>
      <c r="V736" s="74"/>
      <c r="W736" s="102">
        <f t="shared" ref="W736:W745" si="174">IF(U736="","",U736+V736)</f>
        <v>0</v>
      </c>
      <c r="X736" s="74"/>
      <c r="Y736" s="102">
        <f t="shared" ref="Y736:Y745" si="175">IF(W736="","",W736-X736)</f>
        <v>0</v>
      </c>
      <c r="Z736" s="76"/>
    </row>
    <row r="737" spans="1:27" s="29" customFormat="1" ht="27.75" customHeight="1" x14ac:dyDescent="0.2">
      <c r="A737" s="30"/>
      <c r="H737" s="47"/>
      <c r="L737" s="34"/>
      <c r="N737" s="71"/>
      <c r="O737" s="72" t="s">
        <v>47</v>
      </c>
      <c r="P737" s="72"/>
      <c r="Q737" s="72"/>
      <c r="R737" s="72" t="str">
        <f t="shared" si="173"/>
        <v/>
      </c>
      <c r="S737" s="63"/>
      <c r="T737" s="72" t="s">
        <v>47</v>
      </c>
      <c r="U737" s="102">
        <f>IF($J$1="April",Y736,Y736)</f>
        <v>0</v>
      </c>
      <c r="V737" s="74"/>
      <c r="W737" s="102">
        <f t="shared" si="174"/>
        <v>0</v>
      </c>
      <c r="X737" s="74"/>
      <c r="Y737" s="102">
        <f t="shared" si="175"/>
        <v>0</v>
      </c>
      <c r="Z737" s="76"/>
    </row>
    <row r="738" spans="1:27" s="29" customFormat="1" ht="27.75" customHeight="1" x14ac:dyDescent="0.2">
      <c r="A738" s="30"/>
      <c r="B738" s="380" t="s">
        <v>42</v>
      </c>
      <c r="C738" s="381"/>
      <c r="F738" s="48" t="s">
        <v>64</v>
      </c>
      <c r="G738" s="43" t="str">
        <f>IF($J$1="January",U734,IF($J$1="February",U735,IF($J$1="March",U736,IF($J$1="April",U737,IF($J$1="May",U738,IF($J$1="June",U739,IF($J$1="July",U740,IF($J$1="August",U741,IF($J$1="August",U741,IF($J$1="September",U742,IF($J$1="October",U743,IF($J$1="November",U744,IF($J$1="December",U745)))))))))))))</f>
        <v/>
      </c>
      <c r="H738" s="47"/>
      <c r="I738" s="49"/>
      <c r="J738" s="50" t="s">
        <v>61</v>
      </c>
      <c r="K738" s="51">
        <f>K734/$K$2*I738</f>
        <v>0</v>
      </c>
      <c r="L738" s="52"/>
      <c r="N738" s="71"/>
      <c r="O738" s="72" t="s">
        <v>48</v>
      </c>
      <c r="P738" s="72"/>
      <c r="Q738" s="72"/>
      <c r="R738" s="72" t="str">
        <f t="shared" si="173"/>
        <v/>
      </c>
      <c r="S738" s="63"/>
      <c r="T738" s="72" t="s">
        <v>48</v>
      </c>
      <c r="U738" s="102">
        <f>IF($J$1="May",Y737,Y737)</f>
        <v>0</v>
      </c>
      <c r="V738" s="74"/>
      <c r="W738" s="102">
        <f t="shared" si="174"/>
        <v>0</v>
      </c>
      <c r="X738" s="74"/>
      <c r="Y738" s="102">
        <f t="shared" si="175"/>
        <v>0</v>
      </c>
      <c r="Z738" s="76"/>
    </row>
    <row r="739" spans="1:27" s="29" customFormat="1" ht="27.75" customHeight="1" x14ac:dyDescent="0.2">
      <c r="A739" s="30"/>
      <c r="B739" s="39"/>
      <c r="C739" s="39"/>
      <c r="F739" s="48" t="s">
        <v>20</v>
      </c>
      <c r="G739" s="43">
        <f>IF($J$1="January",V734,IF($J$1="February",V735,IF($J$1="March",V736,IF($J$1="April",V737,IF($J$1="May",V738,IF($J$1="June",V739,IF($J$1="July",V740,IF($J$1="August",V741,IF($J$1="August",V741,IF($J$1="September",V742,IF($J$1="October",V743,IF($J$1="November",V744,IF($J$1="December",V745)))))))))))))</f>
        <v>0</v>
      </c>
      <c r="H739" s="47"/>
      <c r="I739" s="84"/>
      <c r="J739" s="50" t="s">
        <v>62</v>
      </c>
      <c r="K739" s="53">
        <f>K734/$K$2/8*I739</f>
        <v>0</v>
      </c>
      <c r="L739" s="54"/>
      <c r="N739" s="71"/>
      <c r="O739" s="72" t="s">
        <v>49</v>
      </c>
      <c r="P739" s="72"/>
      <c r="Q739" s="72"/>
      <c r="R739" s="72" t="str">
        <f t="shared" si="173"/>
        <v/>
      </c>
      <c r="S739" s="63"/>
      <c r="T739" s="72" t="s">
        <v>49</v>
      </c>
      <c r="U739" s="102">
        <f>IF($J$1="May",Y738,Y738)</f>
        <v>0</v>
      </c>
      <c r="V739" s="74"/>
      <c r="W739" s="102">
        <f t="shared" si="174"/>
        <v>0</v>
      </c>
      <c r="X739" s="74"/>
      <c r="Y739" s="102">
        <f t="shared" si="175"/>
        <v>0</v>
      </c>
      <c r="Z739" s="76"/>
    </row>
    <row r="740" spans="1:27" s="29" customFormat="1" ht="27.75" customHeight="1" x14ac:dyDescent="0.2">
      <c r="A740" s="30"/>
      <c r="B740" s="48" t="s">
        <v>7</v>
      </c>
      <c r="C740" s="39">
        <f>IF($J$1="January",P734,IF($J$1="February",P735,IF($J$1="March",P736,IF($J$1="April",P737,IF($J$1="May",P738,IF($J$1="June",P739,IF($J$1="July",P740,IF($J$1="August",P741,IF($J$1="August",P741,IF($J$1="September",P742,IF($J$1="October",P743,IF($J$1="November",P744,IF($J$1="December",P745)))))))))))))</f>
        <v>0</v>
      </c>
      <c r="F740" s="48" t="s">
        <v>65</v>
      </c>
      <c r="G740" s="43" t="str">
        <f>IF($J$1="January",W734,IF($J$1="February",W735,IF($J$1="March",W736,IF($J$1="April",W737,IF($J$1="May",W738,IF($J$1="June",W739,IF($J$1="July",W740,IF($J$1="August",W741,IF($J$1="August",W741,IF($J$1="September",W742,IF($J$1="October",W743,IF($J$1="November",W744,IF($J$1="December",W745)))))))))))))</f>
        <v/>
      </c>
      <c r="H740" s="47"/>
      <c r="I740" s="387" t="s">
        <v>69</v>
      </c>
      <c r="J740" s="388"/>
      <c r="K740" s="53">
        <f>K738+K739</f>
        <v>0</v>
      </c>
      <c r="L740" s="54"/>
      <c r="N740" s="71"/>
      <c r="O740" s="72" t="s">
        <v>50</v>
      </c>
      <c r="P740" s="72"/>
      <c r="Q740" s="72"/>
      <c r="R740" s="72" t="str">
        <f t="shared" si="173"/>
        <v/>
      </c>
      <c r="S740" s="63"/>
      <c r="T740" s="72" t="s">
        <v>50</v>
      </c>
      <c r="U740" s="102" t="str">
        <f>IF($J$1="July",Y739,"")</f>
        <v/>
      </c>
      <c r="V740" s="74"/>
      <c r="W740" s="102" t="str">
        <f t="shared" si="174"/>
        <v/>
      </c>
      <c r="X740" s="74"/>
      <c r="Y740" s="102" t="str">
        <f t="shared" si="175"/>
        <v/>
      </c>
      <c r="Z740" s="76"/>
    </row>
    <row r="741" spans="1:27" s="29" customFormat="1" ht="27.75" customHeight="1" x14ac:dyDescent="0.2">
      <c r="A741" s="30"/>
      <c r="B741" s="48" t="s">
        <v>6</v>
      </c>
      <c r="C741" s="39">
        <f>IF($J$1="January",Q734,IF($J$1="February",Q735,IF($J$1="March",Q736,IF($J$1="April",Q737,IF($J$1="May",Q738,IF($J$1="June",Q739,IF($J$1="July",Q740,IF($J$1="August",Q741,IF($J$1="August",Q741,IF($J$1="September",Q742,IF($J$1="October",Q743,IF($J$1="November",Q744,IF($J$1="December",Q745)))))))))))))</f>
        <v>0</v>
      </c>
      <c r="F741" s="48" t="s">
        <v>21</v>
      </c>
      <c r="G741" s="43">
        <f>IF($J$1="January",X734,IF($J$1="February",X735,IF($J$1="March",X736,IF($J$1="April",X737,IF($J$1="May",X738,IF($J$1="June",X739,IF($J$1="July",X740,IF($J$1="August",X741,IF($J$1="August",X741,IF($J$1="September",X742,IF($J$1="October",X743,IF($J$1="November",X744,IF($J$1="December",X745)))))))))))))</f>
        <v>0</v>
      </c>
      <c r="H741" s="47"/>
      <c r="I741" s="387" t="s">
        <v>70</v>
      </c>
      <c r="J741" s="388"/>
      <c r="K741" s="43">
        <f>G741</f>
        <v>0</v>
      </c>
      <c r="L741" s="55"/>
      <c r="N741" s="71"/>
      <c r="O741" s="72" t="s">
        <v>51</v>
      </c>
      <c r="P741" s="72"/>
      <c r="Q741" s="72"/>
      <c r="R741" s="72" t="str">
        <f t="shared" si="173"/>
        <v/>
      </c>
      <c r="S741" s="63"/>
      <c r="T741" s="72" t="s">
        <v>51</v>
      </c>
      <c r="U741" s="102" t="str">
        <f>IF($J$1="August",Y740,"")</f>
        <v/>
      </c>
      <c r="V741" s="74"/>
      <c r="W741" s="102" t="str">
        <f t="shared" si="174"/>
        <v/>
      </c>
      <c r="X741" s="74"/>
      <c r="Y741" s="102" t="str">
        <f t="shared" si="175"/>
        <v/>
      </c>
      <c r="Z741" s="76"/>
    </row>
    <row r="742" spans="1:27" s="29" customFormat="1" ht="27.75" customHeight="1" x14ac:dyDescent="0.2">
      <c r="A742" s="30"/>
      <c r="B742" s="56" t="s">
        <v>68</v>
      </c>
      <c r="C742" s="39" t="str">
        <f>IF($J$1="January",R734,IF($J$1="February",R735,IF($J$1="March",R736,IF($J$1="April",R737,IF($J$1="May",R738,IF($J$1="June",R739,IF($J$1="July",R740,IF($J$1="August",R741,IF($J$1="August",R741,IF($J$1="September",R742,IF($J$1="October",R743,IF($J$1="November",R744,IF($J$1="December",R745)))))))))))))</f>
        <v/>
      </c>
      <c r="F742" s="48" t="s">
        <v>67</v>
      </c>
      <c r="G742" s="43" t="str">
        <f>IF($J$1="January",Y734,IF($J$1="February",Y735,IF($J$1="March",Y736,IF($J$1="April",Y737,IF($J$1="May",Y738,IF($J$1="June",Y739,IF($J$1="July",Y740,IF($J$1="August",Y741,IF($J$1="August",Y741,IF($J$1="September",Y742,IF($J$1="October",Y743,IF($J$1="November",Y744,IF($J$1="December",Y745)))))))))))))</f>
        <v/>
      </c>
      <c r="I742" s="382" t="s">
        <v>63</v>
      </c>
      <c r="J742" s="384"/>
      <c r="K742" s="57">
        <f>K740-K741</f>
        <v>0</v>
      </c>
      <c r="L742" s="58"/>
      <c r="N742" s="71"/>
      <c r="O742" s="72" t="s">
        <v>56</v>
      </c>
      <c r="P742" s="72"/>
      <c r="Q742" s="72"/>
      <c r="R742" s="72" t="str">
        <f t="shared" si="173"/>
        <v/>
      </c>
      <c r="S742" s="63"/>
      <c r="T742" s="72" t="s">
        <v>56</v>
      </c>
      <c r="U742" s="102" t="str">
        <f>IF($J$1="Sept",Y741,"")</f>
        <v/>
      </c>
      <c r="V742" s="74"/>
      <c r="W742" s="102" t="str">
        <f t="shared" si="174"/>
        <v/>
      </c>
      <c r="X742" s="74"/>
      <c r="Y742" s="102" t="str">
        <f t="shared" si="175"/>
        <v/>
      </c>
      <c r="Z742" s="76"/>
    </row>
    <row r="743" spans="1:27" s="29" customFormat="1" ht="27.75" customHeight="1" x14ac:dyDescent="0.2">
      <c r="A743" s="30"/>
      <c r="L743" s="46"/>
      <c r="N743" s="71"/>
      <c r="O743" s="72" t="s">
        <v>52</v>
      </c>
      <c r="P743" s="72"/>
      <c r="Q743" s="72"/>
      <c r="R743" s="72" t="str">
        <f t="shared" si="173"/>
        <v/>
      </c>
      <c r="S743" s="63"/>
      <c r="T743" s="72" t="s">
        <v>52</v>
      </c>
      <c r="U743" s="102" t="str">
        <f>IF($J$1="October",Y742,"")</f>
        <v/>
      </c>
      <c r="V743" s="74"/>
      <c r="W743" s="102" t="str">
        <f t="shared" si="174"/>
        <v/>
      </c>
      <c r="X743" s="74"/>
      <c r="Y743" s="102" t="str">
        <f t="shared" si="175"/>
        <v/>
      </c>
      <c r="Z743" s="76"/>
    </row>
    <row r="744" spans="1:27" s="29" customFormat="1" ht="27.75" customHeight="1" x14ac:dyDescent="0.2">
      <c r="A744" s="30"/>
      <c r="B744" s="396" t="s">
        <v>85</v>
      </c>
      <c r="C744" s="396"/>
      <c r="D744" s="396"/>
      <c r="E744" s="396"/>
      <c r="F744" s="396"/>
      <c r="G744" s="396"/>
      <c r="H744" s="396"/>
      <c r="I744" s="396"/>
      <c r="J744" s="396"/>
      <c r="K744" s="396"/>
      <c r="L744" s="46"/>
      <c r="N744" s="71"/>
      <c r="O744" s="72" t="s">
        <v>57</v>
      </c>
      <c r="P744" s="72"/>
      <c r="Q744" s="72"/>
      <c r="R744" s="72" t="str">
        <f t="shared" si="173"/>
        <v/>
      </c>
      <c r="S744" s="63"/>
      <c r="T744" s="72" t="s">
        <v>57</v>
      </c>
      <c r="U744" s="102" t="str">
        <f>IF($J$1="November",Y743,"")</f>
        <v/>
      </c>
      <c r="V744" s="74"/>
      <c r="W744" s="102" t="str">
        <f t="shared" si="174"/>
        <v/>
      </c>
      <c r="X744" s="74"/>
      <c r="Y744" s="102" t="str">
        <f t="shared" si="175"/>
        <v/>
      </c>
      <c r="Z744" s="76"/>
    </row>
    <row r="745" spans="1:27" s="29" customFormat="1" ht="27.75" customHeight="1" x14ac:dyDescent="0.2">
      <c r="A745" s="30"/>
      <c r="B745" s="396"/>
      <c r="C745" s="396"/>
      <c r="D745" s="396"/>
      <c r="E745" s="396"/>
      <c r="F745" s="396"/>
      <c r="G745" s="396"/>
      <c r="H745" s="396"/>
      <c r="I745" s="396"/>
      <c r="J745" s="396"/>
      <c r="K745" s="396"/>
      <c r="L745" s="46"/>
      <c r="N745" s="71"/>
      <c r="O745" s="72" t="s">
        <v>58</v>
      </c>
      <c r="P745" s="72"/>
      <c r="Q745" s="72"/>
      <c r="R745" s="72" t="str">
        <f t="shared" si="173"/>
        <v/>
      </c>
      <c r="S745" s="63"/>
      <c r="T745" s="72" t="s">
        <v>58</v>
      </c>
      <c r="U745" s="102" t="str">
        <f>IF($J$1="Dec",Y744,"")</f>
        <v/>
      </c>
      <c r="V745" s="74"/>
      <c r="W745" s="102" t="str">
        <f t="shared" si="174"/>
        <v/>
      </c>
      <c r="X745" s="74"/>
      <c r="Y745" s="102" t="str">
        <f t="shared" si="175"/>
        <v/>
      </c>
      <c r="Z745" s="76"/>
    </row>
    <row r="746" spans="1:27" s="29" customFormat="1" ht="27.75" customHeight="1" thickBot="1" x14ac:dyDescent="0.25">
      <c r="A746" s="5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1"/>
      <c r="N746" s="77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9"/>
    </row>
    <row r="747" spans="1:27" s="29" customFormat="1" ht="27.75" customHeight="1" thickBot="1" x14ac:dyDescent="0.25"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7" s="29" customFormat="1" ht="27.75" customHeight="1" x14ac:dyDescent="0.2">
      <c r="A748" s="406" t="s">
        <v>40</v>
      </c>
      <c r="B748" s="407"/>
      <c r="C748" s="407"/>
      <c r="D748" s="407"/>
      <c r="E748" s="407"/>
      <c r="F748" s="407"/>
      <c r="G748" s="407"/>
      <c r="H748" s="407"/>
      <c r="I748" s="407"/>
      <c r="J748" s="407"/>
      <c r="K748" s="407"/>
      <c r="L748" s="408"/>
      <c r="M748" s="28"/>
      <c r="N748" s="64"/>
      <c r="O748" s="377" t="s">
        <v>42</v>
      </c>
      <c r="P748" s="378"/>
      <c r="Q748" s="378"/>
      <c r="R748" s="379"/>
      <c r="S748" s="65"/>
      <c r="T748" s="377" t="s">
        <v>43</v>
      </c>
      <c r="U748" s="378"/>
      <c r="V748" s="378"/>
      <c r="W748" s="378"/>
      <c r="X748" s="378"/>
      <c r="Y748" s="379"/>
      <c r="Z748" s="66"/>
      <c r="AA748" s="28"/>
    </row>
    <row r="749" spans="1:27" s="29" customFormat="1" ht="27.75" customHeight="1" x14ac:dyDescent="0.2">
      <c r="A749" s="30"/>
      <c r="C749" s="386" t="s">
        <v>83</v>
      </c>
      <c r="D749" s="386"/>
      <c r="E749" s="386"/>
      <c r="F749" s="386"/>
      <c r="G749" s="31" t="str">
        <f>$J$1</f>
        <v>August</v>
      </c>
      <c r="H749" s="385">
        <f>$K$1</f>
        <v>2023</v>
      </c>
      <c r="I749" s="385"/>
      <c r="K749" s="32"/>
      <c r="L749" s="33"/>
      <c r="M749" s="32"/>
      <c r="N749" s="67"/>
      <c r="O749" s="68" t="s">
        <v>53</v>
      </c>
      <c r="P749" s="68" t="s">
        <v>7</v>
      </c>
      <c r="Q749" s="68" t="s">
        <v>6</v>
      </c>
      <c r="R749" s="68" t="s">
        <v>54</v>
      </c>
      <c r="S749" s="69"/>
      <c r="T749" s="68" t="s">
        <v>53</v>
      </c>
      <c r="U749" s="68" t="s">
        <v>55</v>
      </c>
      <c r="V749" s="68" t="s">
        <v>20</v>
      </c>
      <c r="W749" s="68" t="s">
        <v>19</v>
      </c>
      <c r="X749" s="68" t="s">
        <v>21</v>
      </c>
      <c r="Y749" s="68" t="s">
        <v>59</v>
      </c>
      <c r="Z749" s="70"/>
      <c r="AA749" s="32"/>
    </row>
    <row r="750" spans="1:27" s="29" customFormat="1" ht="27.75" customHeight="1" x14ac:dyDescent="0.2">
      <c r="A750" s="30"/>
      <c r="D750" s="35"/>
      <c r="E750" s="35"/>
      <c r="F750" s="35"/>
      <c r="G750" s="35"/>
      <c r="H750" s="35"/>
      <c r="J750" s="36" t="s">
        <v>1</v>
      </c>
      <c r="K750" s="37">
        <v>800</v>
      </c>
      <c r="L750" s="38"/>
      <c r="N750" s="71"/>
      <c r="O750" s="72" t="s">
        <v>45</v>
      </c>
      <c r="P750" s="72"/>
      <c r="Q750" s="72"/>
      <c r="R750" s="72">
        <v>0</v>
      </c>
      <c r="S750" s="73"/>
      <c r="T750" s="72" t="s">
        <v>45</v>
      </c>
      <c r="U750" s="74"/>
      <c r="V750" s="74"/>
      <c r="W750" s="74">
        <f>V750+U750</f>
        <v>0</v>
      </c>
      <c r="X750" s="74"/>
      <c r="Y750" s="74">
        <f>W750-X750</f>
        <v>0</v>
      </c>
      <c r="Z750" s="70"/>
    </row>
    <row r="751" spans="1:27" s="29" customFormat="1" ht="27.75" customHeight="1" x14ac:dyDescent="0.2">
      <c r="A751" s="30"/>
      <c r="B751" s="29" t="s">
        <v>0</v>
      </c>
      <c r="C751" s="40">
        <v>14</v>
      </c>
      <c r="H751" s="41"/>
      <c r="I751" s="35"/>
      <c r="L751" s="42"/>
      <c r="M751" s="28"/>
      <c r="N751" s="75"/>
      <c r="O751" s="72" t="s">
        <v>71</v>
      </c>
      <c r="P751" s="72"/>
      <c r="Q751" s="72"/>
      <c r="R751" s="72" t="str">
        <f>IF(Q751="","",R750-Q751)</f>
        <v/>
      </c>
      <c r="S751" s="63"/>
      <c r="T751" s="72" t="s">
        <v>71</v>
      </c>
      <c r="U751" s="102"/>
      <c r="V751" s="74"/>
      <c r="W751" s="102" t="str">
        <f>IF(U751="","",U751+V751)</f>
        <v/>
      </c>
      <c r="X751" s="74"/>
      <c r="Y751" s="102" t="str">
        <f>IF(W751="","",W751-X751)</f>
        <v/>
      </c>
      <c r="Z751" s="76"/>
      <c r="AA751" s="28"/>
    </row>
    <row r="752" spans="1:27" s="29" customFormat="1" ht="27.75" customHeight="1" x14ac:dyDescent="0.2">
      <c r="A752" s="30"/>
      <c r="B752" s="44" t="s">
        <v>41</v>
      </c>
      <c r="C752" s="45"/>
      <c r="F752" s="395" t="s">
        <v>43</v>
      </c>
      <c r="G752" s="395"/>
      <c r="I752" s="395" t="s">
        <v>44</v>
      </c>
      <c r="J752" s="395"/>
      <c r="K752" s="395"/>
      <c r="L752" s="46"/>
      <c r="N752" s="71"/>
      <c r="O752" s="72" t="s">
        <v>46</v>
      </c>
      <c r="P752" s="72"/>
      <c r="Q752" s="72"/>
      <c r="R752" s="72" t="str">
        <f t="shared" ref="R752:R761" si="176">IF(Q752="","",R751-Q752)</f>
        <v/>
      </c>
      <c r="S752" s="63"/>
      <c r="T752" s="72" t="s">
        <v>46</v>
      </c>
      <c r="U752" s="102"/>
      <c r="V752" s="74"/>
      <c r="W752" s="102" t="str">
        <f t="shared" ref="W752:W761" si="177">IF(U752="","",U752+V752)</f>
        <v/>
      </c>
      <c r="X752" s="74"/>
      <c r="Y752" s="102" t="str">
        <f t="shared" ref="Y752:Y761" si="178">IF(W752="","",W752-X752)</f>
        <v/>
      </c>
      <c r="Z752" s="76"/>
    </row>
    <row r="753" spans="1:26" s="29" customFormat="1" ht="27.75" customHeight="1" x14ac:dyDescent="0.2">
      <c r="A753" s="30"/>
      <c r="H753" s="47"/>
      <c r="L753" s="34"/>
      <c r="N753" s="71"/>
      <c r="O753" s="72" t="s">
        <v>47</v>
      </c>
      <c r="P753" s="72"/>
      <c r="Q753" s="72"/>
      <c r="R753" s="72" t="str">
        <f t="shared" si="176"/>
        <v/>
      </c>
      <c r="S753" s="63"/>
      <c r="T753" s="72" t="s">
        <v>47</v>
      </c>
      <c r="U753" s="102"/>
      <c r="V753" s="74"/>
      <c r="W753" s="102" t="str">
        <f t="shared" si="177"/>
        <v/>
      </c>
      <c r="X753" s="74"/>
      <c r="Y753" s="102" t="str">
        <f t="shared" si="178"/>
        <v/>
      </c>
      <c r="Z753" s="76"/>
    </row>
    <row r="754" spans="1:26" s="29" customFormat="1" ht="27.75" customHeight="1" x14ac:dyDescent="0.2">
      <c r="A754" s="30"/>
      <c r="B754" s="380" t="s">
        <v>42</v>
      </c>
      <c r="C754" s="381"/>
      <c r="F754" s="48" t="s">
        <v>64</v>
      </c>
      <c r="G754" s="43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47"/>
      <c r="I754" s="49">
        <v>31</v>
      </c>
      <c r="J754" s="50" t="s">
        <v>61</v>
      </c>
      <c r="K754" s="51">
        <f>K750*I754</f>
        <v>24800</v>
      </c>
      <c r="L754" s="52"/>
      <c r="N754" s="71"/>
      <c r="O754" s="72" t="s">
        <v>48</v>
      </c>
      <c r="P754" s="72"/>
      <c r="Q754" s="72"/>
      <c r="R754" s="72" t="str">
        <f t="shared" si="176"/>
        <v/>
      </c>
      <c r="S754" s="63"/>
      <c r="T754" s="72" t="s">
        <v>48</v>
      </c>
      <c r="U754" s="102"/>
      <c r="V754" s="74"/>
      <c r="W754" s="102" t="str">
        <f t="shared" si="177"/>
        <v/>
      </c>
      <c r="X754" s="74"/>
      <c r="Y754" s="102" t="str">
        <f t="shared" si="178"/>
        <v/>
      </c>
      <c r="Z754" s="76"/>
    </row>
    <row r="755" spans="1:26" s="29" customFormat="1" ht="27.75" customHeight="1" x14ac:dyDescent="0.2">
      <c r="A755" s="30"/>
      <c r="B755" s="39"/>
      <c r="C755" s="39"/>
      <c r="F755" s="48" t="s">
        <v>20</v>
      </c>
      <c r="G755" s="43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47"/>
      <c r="I755" s="49"/>
      <c r="J755" s="50" t="s">
        <v>62</v>
      </c>
      <c r="K755" s="53">
        <f>K750/8*I755</f>
        <v>0</v>
      </c>
      <c r="L755" s="54"/>
      <c r="N755" s="71"/>
      <c r="O755" s="72" t="s">
        <v>49</v>
      </c>
      <c r="P755" s="72"/>
      <c r="Q755" s="72"/>
      <c r="R755" s="72" t="str">
        <f t="shared" si="176"/>
        <v/>
      </c>
      <c r="S755" s="63"/>
      <c r="T755" s="72" t="s">
        <v>49</v>
      </c>
      <c r="U755" s="102"/>
      <c r="V755" s="74"/>
      <c r="W755" s="102" t="str">
        <f t="shared" si="177"/>
        <v/>
      </c>
      <c r="X755" s="74"/>
      <c r="Y755" s="102" t="str">
        <f t="shared" si="178"/>
        <v/>
      </c>
      <c r="Z755" s="76"/>
    </row>
    <row r="756" spans="1:26" s="29" customFormat="1" ht="27.75" customHeight="1" x14ac:dyDescent="0.2">
      <c r="A756" s="30"/>
      <c r="B756" s="48" t="s">
        <v>7</v>
      </c>
      <c r="C756" s="39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F756" s="48" t="s">
        <v>65</v>
      </c>
      <c r="G756" s="43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47"/>
      <c r="I756" s="387" t="s">
        <v>69</v>
      </c>
      <c r="J756" s="388"/>
      <c r="K756" s="53">
        <f>K754+K755</f>
        <v>24800</v>
      </c>
      <c r="L756" s="54"/>
      <c r="N756" s="71"/>
      <c r="O756" s="72" t="s">
        <v>50</v>
      </c>
      <c r="P756" s="72"/>
      <c r="Q756" s="72"/>
      <c r="R756" s="72" t="str">
        <f t="shared" si="176"/>
        <v/>
      </c>
      <c r="S756" s="63"/>
      <c r="T756" s="72" t="s">
        <v>50</v>
      </c>
      <c r="U756" s="102"/>
      <c r="V756" s="74"/>
      <c r="W756" s="102" t="str">
        <f t="shared" si="177"/>
        <v/>
      </c>
      <c r="X756" s="74"/>
      <c r="Y756" s="102" t="str">
        <f t="shared" si="178"/>
        <v/>
      </c>
      <c r="Z756" s="76"/>
    </row>
    <row r="757" spans="1:26" s="29" customFormat="1" ht="27.75" customHeight="1" x14ac:dyDescent="0.2">
      <c r="A757" s="30"/>
      <c r="B757" s="48" t="s">
        <v>6</v>
      </c>
      <c r="C757" s="39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F757" s="48" t="s">
        <v>21</v>
      </c>
      <c r="G757" s="43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47"/>
      <c r="I757" s="387" t="s">
        <v>70</v>
      </c>
      <c r="J757" s="388"/>
      <c r="K757" s="43">
        <f>G757</f>
        <v>0</v>
      </c>
      <c r="L757" s="55"/>
      <c r="N757" s="71"/>
      <c r="O757" s="72" t="s">
        <v>51</v>
      </c>
      <c r="P757" s="72"/>
      <c r="Q757" s="72"/>
      <c r="R757" s="72" t="str">
        <f t="shared" si="176"/>
        <v/>
      </c>
      <c r="S757" s="63"/>
      <c r="T757" s="72" t="s">
        <v>51</v>
      </c>
      <c r="U757" s="102"/>
      <c r="V757" s="74"/>
      <c r="W757" s="102" t="str">
        <f t="shared" si="177"/>
        <v/>
      </c>
      <c r="X757" s="74"/>
      <c r="Y757" s="102" t="str">
        <f t="shared" si="178"/>
        <v/>
      </c>
      <c r="Z757" s="76"/>
    </row>
    <row r="758" spans="1:26" s="29" customFormat="1" ht="27.75" customHeight="1" x14ac:dyDescent="0.2">
      <c r="A758" s="30"/>
      <c r="B758" s="56" t="s">
        <v>68</v>
      </c>
      <c r="C758" s="39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F758" s="48" t="s">
        <v>67</v>
      </c>
      <c r="G758" s="43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I758" s="382" t="s">
        <v>63</v>
      </c>
      <c r="J758" s="384"/>
      <c r="K758" s="57"/>
      <c r="L758" s="58"/>
      <c r="N758" s="71"/>
      <c r="O758" s="72" t="s">
        <v>56</v>
      </c>
      <c r="P758" s="72"/>
      <c r="Q758" s="72"/>
      <c r="R758" s="72" t="str">
        <f t="shared" si="176"/>
        <v/>
      </c>
      <c r="S758" s="63"/>
      <c r="T758" s="72" t="s">
        <v>56</v>
      </c>
      <c r="U758" s="102"/>
      <c r="V758" s="74"/>
      <c r="W758" s="102" t="str">
        <f t="shared" si="177"/>
        <v/>
      </c>
      <c r="X758" s="74"/>
      <c r="Y758" s="102" t="str">
        <f t="shared" si="178"/>
        <v/>
      </c>
      <c r="Z758" s="76"/>
    </row>
    <row r="759" spans="1:26" s="29" customFormat="1" ht="27.75" customHeight="1" x14ac:dyDescent="0.2">
      <c r="A759" s="30"/>
      <c r="L759" s="46"/>
      <c r="N759" s="71"/>
      <c r="O759" s="72" t="s">
        <v>52</v>
      </c>
      <c r="P759" s="72"/>
      <c r="Q759" s="72"/>
      <c r="R759" s="72" t="str">
        <f t="shared" si="176"/>
        <v/>
      </c>
      <c r="S759" s="63"/>
      <c r="T759" s="72" t="s">
        <v>52</v>
      </c>
      <c r="U759" s="102"/>
      <c r="V759" s="74"/>
      <c r="W759" s="102" t="str">
        <f t="shared" si="177"/>
        <v/>
      </c>
      <c r="X759" s="74"/>
      <c r="Y759" s="102" t="str">
        <f t="shared" si="178"/>
        <v/>
      </c>
      <c r="Z759" s="76"/>
    </row>
    <row r="760" spans="1:26" s="29" customFormat="1" ht="27.75" customHeight="1" x14ac:dyDescent="0.2">
      <c r="A760" s="30"/>
      <c r="B760" s="396" t="s">
        <v>85</v>
      </c>
      <c r="C760" s="396"/>
      <c r="D760" s="396"/>
      <c r="E760" s="396"/>
      <c r="F760" s="396"/>
      <c r="G760" s="396"/>
      <c r="H760" s="396"/>
      <c r="I760" s="396"/>
      <c r="J760" s="396"/>
      <c r="K760" s="396"/>
      <c r="L760" s="46"/>
      <c r="N760" s="71"/>
      <c r="O760" s="72" t="s">
        <v>57</v>
      </c>
      <c r="P760" s="72"/>
      <c r="Q760" s="72"/>
      <c r="R760" s="72" t="str">
        <f t="shared" si="176"/>
        <v/>
      </c>
      <c r="S760" s="63"/>
      <c r="T760" s="72" t="s">
        <v>57</v>
      </c>
      <c r="U760" s="102"/>
      <c r="V760" s="74"/>
      <c r="W760" s="102" t="str">
        <f t="shared" si="177"/>
        <v/>
      </c>
      <c r="X760" s="74"/>
      <c r="Y760" s="102" t="str">
        <f t="shared" si="178"/>
        <v/>
      </c>
      <c r="Z760" s="76"/>
    </row>
    <row r="761" spans="1:26" s="29" customFormat="1" ht="27.75" customHeight="1" x14ac:dyDescent="0.2">
      <c r="A761" s="30"/>
      <c r="B761" s="396"/>
      <c r="C761" s="396"/>
      <c r="D761" s="396"/>
      <c r="E761" s="396"/>
      <c r="F761" s="396"/>
      <c r="G761" s="396"/>
      <c r="H761" s="396"/>
      <c r="I761" s="396"/>
      <c r="J761" s="396"/>
      <c r="K761" s="396"/>
      <c r="L761" s="46"/>
      <c r="N761" s="71"/>
      <c r="O761" s="72" t="s">
        <v>58</v>
      </c>
      <c r="P761" s="72"/>
      <c r="Q761" s="72"/>
      <c r="R761" s="72" t="str">
        <f t="shared" si="176"/>
        <v/>
      </c>
      <c r="S761" s="63"/>
      <c r="T761" s="72" t="s">
        <v>58</v>
      </c>
      <c r="U761" s="102"/>
      <c r="V761" s="74"/>
      <c r="W761" s="102" t="str">
        <f t="shared" si="177"/>
        <v/>
      </c>
      <c r="X761" s="74"/>
      <c r="Y761" s="102" t="str">
        <f t="shared" si="178"/>
        <v/>
      </c>
      <c r="Z761" s="76"/>
    </row>
    <row r="762" spans="1:26" s="29" customFormat="1" ht="27.75" customHeight="1" thickBot="1" x14ac:dyDescent="0.25">
      <c r="A762" s="5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1"/>
      <c r="N762" s="77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9"/>
    </row>
    <row r="763" spans="1:26" s="29" customFormat="1" ht="27.75" customHeight="1" x14ac:dyDescent="0.2">
      <c r="A763" s="412" t="s">
        <v>40</v>
      </c>
      <c r="B763" s="413"/>
      <c r="C763" s="413"/>
      <c r="D763" s="413"/>
      <c r="E763" s="413"/>
      <c r="F763" s="413"/>
      <c r="G763" s="413"/>
      <c r="H763" s="413"/>
      <c r="I763" s="413"/>
      <c r="J763" s="413"/>
      <c r="K763" s="413"/>
      <c r="L763" s="414"/>
      <c r="M763" s="28"/>
      <c r="N763" s="64"/>
      <c r="O763" s="377" t="s">
        <v>42</v>
      </c>
      <c r="P763" s="378"/>
      <c r="Q763" s="378"/>
      <c r="R763" s="379"/>
      <c r="S763" s="65"/>
      <c r="T763" s="377" t="s">
        <v>43</v>
      </c>
      <c r="U763" s="378"/>
      <c r="V763" s="378"/>
      <c r="W763" s="378"/>
      <c r="X763" s="378"/>
      <c r="Y763" s="379"/>
      <c r="Z763" s="63"/>
    </row>
    <row r="764" spans="1:26" s="29" customFormat="1" ht="27.75" customHeight="1" x14ac:dyDescent="0.2">
      <c r="A764" s="30"/>
      <c r="C764" s="386" t="s">
        <v>83</v>
      </c>
      <c r="D764" s="386"/>
      <c r="E764" s="386"/>
      <c r="F764" s="386"/>
      <c r="G764" s="31" t="str">
        <f>$J$1</f>
        <v>August</v>
      </c>
      <c r="H764" s="385">
        <f>$K$1</f>
        <v>2023</v>
      </c>
      <c r="I764" s="385"/>
      <c r="K764" s="32"/>
      <c r="L764" s="33"/>
      <c r="M764" s="32"/>
      <c r="N764" s="67"/>
      <c r="O764" s="68" t="s">
        <v>53</v>
      </c>
      <c r="P764" s="68" t="s">
        <v>7</v>
      </c>
      <c r="Q764" s="68" t="s">
        <v>6</v>
      </c>
      <c r="R764" s="68" t="s">
        <v>54</v>
      </c>
      <c r="S764" s="69"/>
      <c r="T764" s="68" t="s">
        <v>53</v>
      </c>
      <c r="U764" s="68" t="s">
        <v>55</v>
      </c>
      <c r="V764" s="68" t="s">
        <v>20</v>
      </c>
      <c r="W764" s="68" t="s">
        <v>19</v>
      </c>
      <c r="X764" s="68" t="s">
        <v>21</v>
      </c>
      <c r="Y764" s="68" t="s">
        <v>59</v>
      </c>
      <c r="Z764" s="63"/>
    </row>
    <row r="765" spans="1:26" s="29" customFormat="1" ht="27.75" customHeight="1" x14ac:dyDescent="0.2">
      <c r="A765" s="30"/>
      <c r="D765" s="35"/>
      <c r="E765" s="35"/>
      <c r="F765" s="35"/>
      <c r="G765" s="35"/>
      <c r="H765" s="35"/>
      <c r="J765" s="36" t="s">
        <v>1</v>
      </c>
      <c r="K765" s="37"/>
      <c r="L765" s="38"/>
      <c r="N765" s="71"/>
      <c r="O765" s="72" t="s">
        <v>45</v>
      </c>
      <c r="P765" s="72"/>
      <c r="Q765" s="72"/>
      <c r="R765" s="72">
        <v>0</v>
      </c>
      <c r="S765" s="73"/>
      <c r="T765" s="72" t="s">
        <v>45</v>
      </c>
      <c r="U765" s="74"/>
      <c r="V765" s="74"/>
      <c r="W765" s="74">
        <f>V765+U765</f>
        <v>0</v>
      </c>
      <c r="X765" s="74"/>
      <c r="Y765" s="74">
        <f>W765-X765</f>
        <v>0</v>
      </c>
      <c r="Z765" s="63"/>
    </row>
    <row r="766" spans="1:26" s="29" customFormat="1" ht="27.75" customHeight="1" x14ac:dyDescent="0.2">
      <c r="A766" s="30"/>
      <c r="B766" s="29" t="s">
        <v>0</v>
      </c>
      <c r="C766" s="40">
        <v>13</v>
      </c>
      <c r="H766" s="41"/>
      <c r="I766" s="35"/>
      <c r="L766" s="42"/>
      <c r="M766" s="28"/>
      <c r="N766" s="75"/>
      <c r="O766" s="72" t="s">
        <v>71</v>
      </c>
      <c r="P766" s="72"/>
      <c r="Q766" s="72"/>
      <c r="R766" s="72">
        <v>0</v>
      </c>
      <c r="S766" s="63"/>
      <c r="T766" s="72" t="s">
        <v>71</v>
      </c>
      <c r="U766" s="102">
        <f>Y765</f>
        <v>0</v>
      </c>
      <c r="V766" s="74"/>
      <c r="W766" s="102">
        <f>IF(U766="","",U766+V766)</f>
        <v>0</v>
      </c>
      <c r="X766" s="74"/>
      <c r="Y766" s="102">
        <f>IF(W766="","",W766-X766)</f>
        <v>0</v>
      </c>
      <c r="Z766" s="63"/>
    </row>
    <row r="767" spans="1:26" s="29" customFormat="1" ht="27.75" customHeight="1" x14ac:dyDescent="0.2">
      <c r="A767" s="30"/>
      <c r="B767" s="44" t="s">
        <v>41</v>
      </c>
      <c r="C767" s="45"/>
      <c r="F767" s="395" t="s">
        <v>43</v>
      </c>
      <c r="G767" s="395"/>
      <c r="I767" s="395" t="s">
        <v>44</v>
      </c>
      <c r="J767" s="395"/>
      <c r="K767" s="395"/>
      <c r="L767" s="46"/>
      <c r="N767" s="71"/>
      <c r="O767" s="72" t="s">
        <v>46</v>
      </c>
      <c r="P767" s="72"/>
      <c r="Q767" s="72"/>
      <c r="R767" s="72">
        <v>0</v>
      </c>
      <c r="S767" s="63"/>
      <c r="T767" s="72" t="s">
        <v>46</v>
      </c>
      <c r="U767" s="102">
        <f>IF($J$1="April",Y766,Y766)</f>
        <v>0</v>
      </c>
      <c r="V767" s="74"/>
      <c r="W767" s="102">
        <f t="shared" ref="W767:W776" si="179">IF(U767="","",U767+V767)</f>
        <v>0</v>
      </c>
      <c r="X767" s="74"/>
      <c r="Y767" s="102">
        <f t="shared" ref="Y767:Y776" si="180">IF(W767="","",W767-X767)</f>
        <v>0</v>
      </c>
      <c r="Z767" s="63"/>
    </row>
    <row r="768" spans="1:26" s="29" customFormat="1" ht="27.75" customHeight="1" x14ac:dyDescent="0.2">
      <c r="A768" s="30"/>
      <c r="H768" s="47"/>
      <c r="L768" s="34"/>
      <c r="N768" s="71"/>
      <c r="O768" s="72" t="s">
        <v>47</v>
      </c>
      <c r="P768" s="72"/>
      <c r="Q768" s="72"/>
      <c r="R768" s="72" t="str">
        <f t="shared" ref="R768:R776" si="181">IF(Q768="","",R767-Q768)</f>
        <v/>
      </c>
      <c r="S768" s="63"/>
      <c r="T768" s="72" t="s">
        <v>47</v>
      </c>
      <c r="U768" s="102">
        <f>IF($J$1="April",Y767,Y767)</f>
        <v>0</v>
      </c>
      <c r="V768" s="74"/>
      <c r="W768" s="102">
        <f t="shared" si="179"/>
        <v>0</v>
      </c>
      <c r="X768" s="74"/>
      <c r="Y768" s="102">
        <f t="shared" si="180"/>
        <v>0</v>
      </c>
      <c r="Z768" s="63"/>
    </row>
    <row r="769" spans="1:27" s="29" customFormat="1" ht="27.75" customHeight="1" x14ac:dyDescent="0.2">
      <c r="A769" s="30"/>
      <c r="B769" s="380" t="s">
        <v>42</v>
      </c>
      <c r="C769" s="381"/>
      <c r="F769" s="48" t="s">
        <v>64</v>
      </c>
      <c r="G769" s="43" t="str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/>
      </c>
      <c r="H769" s="47"/>
      <c r="I769" s="49"/>
      <c r="J769" s="50" t="s">
        <v>61</v>
      </c>
      <c r="K769" s="51">
        <f>K765/$K$2*I769</f>
        <v>0</v>
      </c>
      <c r="L769" s="52"/>
      <c r="N769" s="71"/>
      <c r="O769" s="72" t="s">
        <v>48</v>
      </c>
      <c r="P769" s="72"/>
      <c r="Q769" s="72"/>
      <c r="R769" s="72" t="str">
        <f t="shared" si="181"/>
        <v/>
      </c>
      <c r="S769" s="63"/>
      <c r="T769" s="72" t="s">
        <v>48</v>
      </c>
      <c r="U769" s="102">
        <f>IF($J$1="May",Y768,Y768)</f>
        <v>0</v>
      </c>
      <c r="V769" s="74"/>
      <c r="W769" s="102">
        <f t="shared" si="179"/>
        <v>0</v>
      </c>
      <c r="X769" s="74"/>
      <c r="Y769" s="102">
        <f t="shared" si="180"/>
        <v>0</v>
      </c>
      <c r="Z769" s="63"/>
    </row>
    <row r="770" spans="1:27" s="29" customFormat="1" ht="27.75" customHeight="1" x14ac:dyDescent="0.2">
      <c r="A770" s="30"/>
      <c r="B770" s="39"/>
      <c r="C770" s="39"/>
      <c r="F770" s="48" t="s">
        <v>20</v>
      </c>
      <c r="G770" s="43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47"/>
      <c r="I770" s="84"/>
      <c r="J770" s="50" t="s">
        <v>62</v>
      </c>
      <c r="K770" s="53">
        <f>K765/$K$2/8*I770</f>
        <v>0</v>
      </c>
      <c r="L770" s="54"/>
      <c r="N770" s="71"/>
      <c r="O770" s="72" t="s">
        <v>49</v>
      </c>
      <c r="P770" s="72"/>
      <c r="Q770" s="72"/>
      <c r="R770" s="72" t="str">
        <f t="shared" si="181"/>
        <v/>
      </c>
      <c r="S770" s="63"/>
      <c r="T770" s="72" t="s">
        <v>49</v>
      </c>
      <c r="U770" s="102">
        <f>IF($J$1="May",Y769,Y769)</f>
        <v>0</v>
      </c>
      <c r="V770" s="74"/>
      <c r="W770" s="102">
        <f t="shared" si="179"/>
        <v>0</v>
      </c>
      <c r="X770" s="74"/>
      <c r="Y770" s="102">
        <f t="shared" si="180"/>
        <v>0</v>
      </c>
      <c r="Z770" s="63"/>
    </row>
    <row r="771" spans="1:27" s="29" customFormat="1" ht="27.75" customHeight="1" x14ac:dyDescent="0.2">
      <c r="A771" s="30"/>
      <c r="B771" s="48" t="s">
        <v>7</v>
      </c>
      <c r="C771" s="39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F771" s="48" t="s">
        <v>65</v>
      </c>
      <c r="G771" s="43" t="str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/>
      </c>
      <c r="H771" s="47"/>
      <c r="I771" s="387" t="s">
        <v>69</v>
      </c>
      <c r="J771" s="388"/>
      <c r="K771" s="53">
        <f>K769+K770</f>
        <v>0</v>
      </c>
      <c r="L771" s="54"/>
      <c r="N771" s="71"/>
      <c r="O771" s="72" t="s">
        <v>50</v>
      </c>
      <c r="P771" s="72"/>
      <c r="Q771" s="72"/>
      <c r="R771" s="72" t="str">
        <f t="shared" si="181"/>
        <v/>
      </c>
      <c r="S771" s="63"/>
      <c r="T771" s="72" t="s">
        <v>50</v>
      </c>
      <c r="U771" s="102" t="str">
        <f>IF($J$1="July",Y770,"")</f>
        <v/>
      </c>
      <c r="V771" s="74"/>
      <c r="W771" s="102" t="str">
        <f t="shared" si="179"/>
        <v/>
      </c>
      <c r="X771" s="74"/>
      <c r="Y771" s="102" t="str">
        <f t="shared" si="180"/>
        <v/>
      </c>
      <c r="Z771" s="63"/>
    </row>
    <row r="772" spans="1:27" s="29" customFormat="1" ht="27.75" customHeight="1" x14ac:dyDescent="0.2">
      <c r="A772" s="30"/>
      <c r="B772" s="48" t="s">
        <v>6</v>
      </c>
      <c r="C772" s="39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F772" s="48" t="s">
        <v>21</v>
      </c>
      <c r="G772" s="43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47"/>
      <c r="I772" s="387" t="s">
        <v>70</v>
      </c>
      <c r="J772" s="388"/>
      <c r="K772" s="43">
        <f>G772</f>
        <v>0</v>
      </c>
      <c r="L772" s="55"/>
      <c r="N772" s="71"/>
      <c r="O772" s="72" t="s">
        <v>51</v>
      </c>
      <c r="P772" s="72"/>
      <c r="Q772" s="72"/>
      <c r="R772" s="72" t="str">
        <f t="shared" si="181"/>
        <v/>
      </c>
      <c r="S772" s="63"/>
      <c r="T772" s="72" t="s">
        <v>51</v>
      </c>
      <c r="U772" s="102" t="str">
        <f>IF($J$1="August",Y771,"")</f>
        <v/>
      </c>
      <c r="V772" s="74"/>
      <c r="W772" s="102" t="str">
        <f t="shared" si="179"/>
        <v/>
      </c>
      <c r="X772" s="74"/>
      <c r="Y772" s="102" t="str">
        <f t="shared" si="180"/>
        <v/>
      </c>
      <c r="Z772" s="63"/>
    </row>
    <row r="773" spans="1:27" s="29" customFormat="1" ht="27.75" customHeight="1" x14ac:dyDescent="0.2">
      <c r="A773" s="30"/>
      <c r="B773" s="56" t="s">
        <v>68</v>
      </c>
      <c r="C773" s="39" t="str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/>
      </c>
      <c r="F773" s="48" t="s">
        <v>67</v>
      </c>
      <c r="G773" s="43" t="str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/>
      </c>
      <c r="I773" s="382" t="s">
        <v>63</v>
      </c>
      <c r="J773" s="384"/>
      <c r="K773" s="57">
        <f>K771-K772</f>
        <v>0</v>
      </c>
      <c r="L773" s="58"/>
      <c r="N773" s="71"/>
      <c r="O773" s="72" t="s">
        <v>56</v>
      </c>
      <c r="P773" s="72"/>
      <c r="Q773" s="72"/>
      <c r="R773" s="72" t="str">
        <f t="shared" si="181"/>
        <v/>
      </c>
      <c r="S773" s="63"/>
      <c r="T773" s="72" t="s">
        <v>56</v>
      </c>
      <c r="U773" s="102" t="str">
        <f>IF($J$1="Sept",Y772,"")</f>
        <v/>
      </c>
      <c r="V773" s="74"/>
      <c r="W773" s="102" t="str">
        <f t="shared" si="179"/>
        <v/>
      </c>
      <c r="X773" s="74"/>
      <c r="Y773" s="102" t="str">
        <f t="shared" si="180"/>
        <v/>
      </c>
      <c r="Z773" s="63"/>
    </row>
    <row r="774" spans="1:27" s="29" customFormat="1" ht="27.75" customHeight="1" x14ac:dyDescent="0.2">
      <c r="A774" s="30"/>
      <c r="L774" s="46"/>
      <c r="N774" s="71"/>
      <c r="O774" s="72" t="s">
        <v>52</v>
      </c>
      <c r="P774" s="72"/>
      <c r="Q774" s="72"/>
      <c r="R774" s="72" t="str">
        <f t="shared" si="181"/>
        <v/>
      </c>
      <c r="S774" s="63"/>
      <c r="T774" s="72" t="s">
        <v>52</v>
      </c>
      <c r="U774" s="102" t="str">
        <f>IF($J$1="October",Y773,"")</f>
        <v/>
      </c>
      <c r="V774" s="74"/>
      <c r="W774" s="102" t="str">
        <f t="shared" si="179"/>
        <v/>
      </c>
      <c r="X774" s="74"/>
      <c r="Y774" s="102" t="str">
        <f t="shared" si="180"/>
        <v/>
      </c>
      <c r="Z774" s="63"/>
    </row>
    <row r="775" spans="1:27" s="29" customFormat="1" ht="27.75" customHeight="1" x14ac:dyDescent="0.2">
      <c r="A775" s="30"/>
      <c r="B775" s="396" t="s">
        <v>85</v>
      </c>
      <c r="C775" s="396"/>
      <c r="D775" s="396"/>
      <c r="E775" s="396"/>
      <c r="F775" s="396"/>
      <c r="G775" s="396"/>
      <c r="H775" s="396"/>
      <c r="I775" s="396"/>
      <c r="J775" s="396"/>
      <c r="K775" s="396"/>
      <c r="L775" s="46"/>
      <c r="N775" s="71"/>
      <c r="O775" s="72" t="s">
        <v>57</v>
      </c>
      <c r="P775" s="72"/>
      <c r="Q775" s="72"/>
      <c r="R775" s="72" t="str">
        <f t="shared" si="181"/>
        <v/>
      </c>
      <c r="S775" s="63"/>
      <c r="T775" s="72" t="s">
        <v>57</v>
      </c>
      <c r="U775" s="102" t="str">
        <f>IF($J$1="November",Y774,"")</f>
        <v/>
      </c>
      <c r="V775" s="74"/>
      <c r="W775" s="102" t="str">
        <f t="shared" si="179"/>
        <v/>
      </c>
      <c r="X775" s="74"/>
      <c r="Y775" s="102" t="str">
        <f t="shared" si="180"/>
        <v/>
      </c>
      <c r="Z775" s="63"/>
    </row>
    <row r="776" spans="1:27" s="29" customFormat="1" ht="27.75" customHeight="1" x14ac:dyDescent="0.2">
      <c r="A776" s="30"/>
      <c r="B776" s="396"/>
      <c r="C776" s="396"/>
      <c r="D776" s="396"/>
      <c r="E776" s="396"/>
      <c r="F776" s="396"/>
      <c r="G776" s="396"/>
      <c r="H776" s="396"/>
      <c r="I776" s="396"/>
      <c r="J776" s="396"/>
      <c r="K776" s="396"/>
      <c r="L776" s="46"/>
      <c r="N776" s="71"/>
      <c r="O776" s="72" t="s">
        <v>58</v>
      </c>
      <c r="P776" s="72"/>
      <c r="Q776" s="72"/>
      <c r="R776" s="72" t="str">
        <f t="shared" si="181"/>
        <v/>
      </c>
      <c r="S776" s="63"/>
      <c r="T776" s="72" t="s">
        <v>58</v>
      </c>
      <c r="U776" s="102" t="str">
        <f>IF($J$1="Dec",Y775,"")</f>
        <v/>
      </c>
      <c r="V776" s="74"/>
      <c r="W776" s="102" t="str">
        <f t="shared" si="179"/>
        <v/>
      </c>
      <c r="X776" s="74"/>
      <c r="Y776" s="102" t="str">
        <f t="shared" si="180"/>
        <v/>
      </c>
      <c r="Z776" s="63"/>
    </row>
    <row r="777" spans="1:27" s="29" customFormat="1" ht="27.75" customHeight="1" thickBot="1" x14ac:dyDescent="0.25">
      <c r="A777" s="5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1"/>
      <c r="N777" s="77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63"/>
    </row>
    <row r="778" spans="1:27" ht="27.75" customHeight="1" thickBot="1" x14ac:dyDescent="0.3"/>
    <row r="779" spans="1:27" s="29" customFormat="1" ht="27.75" customHeight="1" thickBot="1" x14ac:dyDescent="0.25">
      <c r="A779" s="389" t="s">
        <v>40</v>
      </c>
      <c r="B779" s="390"/>
      <c r="C779" s="390"/>
      <c r="D779" s="390"/>
      <c r="E779" s="390"/>
      <c r="F779" s="390"/>
      <c r="G779" s="390"/>
      <c r="H779" s="390"/>
      <c r="I779" s="390"/>
      <c r="J779" s="390"/>
      <c r="K779" s="390"/>
      <c r="L779" s="391"/>
      <c r="M779" s="28"/>
      <c r="N779" s="64"/>
      <c r="O779" s="377" t="s">
        <v>42</v>
      </c>
      <c r="P779" s="378"/>
      <c r="Q779" s="378"/>
      <c r="R779" s="379"/>
      <c r="S779" s="65"/>
      <c r="T779" s="377" t="s">
        <v>43</v>
      </c>
      <c r="U779" s="378"/>
      <c r="V779" s="378"/>
      <c r="W779" s="378"/>
      <c r="X779" s="378"/>
      <c r="Y779" s="379"/>
      <c r="Z779" s="66"/>
      <c r="AA779" s="28"/>
    </row>
    <row r="780" spans="1:27" s="29" customFormat="1" ht="27.75" customHeight="1" x14ac:dyDescent="0.2">
      <c r="A780" s="30"/>
      <c r="C780" s="386" t="s">
        <v>83</v>
      </c>
      <c r="D780" s="386"/>
      <c r="E780" s="386"/>
      <c r="F780" s="386"/>
      <c r="G780" s="31" t="str">
        <f>$J$1</f>
        <v>August</v>
      </c>
      <c r="H780" s="385">
        <f>$K$1</f>
        <v>2023</v>
      </c>
      <c r="I780" s="385"/>
      <c r="K780" s="32"/>
      <c r="L780" s="33"/>
      <c r="M780" s="32"/>
      <c r="N780" s="67"/>
      <c r="O780" s="68" t="s">
        <v>53</v>
      </c>
      <c r="P780" s="68" t="s">
        <v>7</v>
      </c>
      <c r="Q780" s="68" t="s">
        <v>6</v>
      </c>
      <c r="R780" s="68" t="s">
        <v>54</v>
      </c>
      <c r="S780" s="69"/>
      <c r="T780" s="68" t="s">
        <v>53</v>
      </c>
      <c r="U780" s="68" t="s">
        <v>55</v>
      </c>
      <c r="V780" s="68" t="s">
        <v>20</v>
      </c>
      <c r="W780" s="68" t="s">
        <v>19</v>
      </c>
      <c r="X780" s="68" t="s">
        <v>21</v>
      </c>
      <c r="Y780" s="68" t="s">
        <v>59</v>
      </c>
      <c r="Z780" s="70"/>
      <c r="AA780" s="32"/>
    </row>
    <row r="781" spans="1:27" s="29" customFormat="1" ht="27.75" customHeight="1" x14ac:dyDescent="0.2">
      <c r="A781" s="30"/>
      <c r="D781" s="35"/>
      <c r="E781" s="35"/>
      <c r="F781" s="35"/>
      <c r="G781" s="35"/>
      <c r="H781" s="35"/>
      <c r="J781" s="36" t="s">
        <v>1</v>
      </c>
      <c r="K781" s="37"/>
      <c r="L781" s="38"/>
      <c r="N781" s="71"/>
      <c r="O781" s="72" t="s">
        <v>45</v>
      </c>
      <c r="P781" s="72"/>
      <c r="Q781" s="72"/>
      <c r="R781" s="72">
        <v>0</v>
      </c>
      <c r="S781" s="73"/>
      <c r="T781" s="72" t="s">
        <v>45</v>
      </c>
      <c r="U781" s="74"/>
      <c r="V781" s="74"/>
      <c r="W781" s="74">
        <f>V781+U781</f>
        <v>0</v>
      </c>
      <c r="X781" s="74"/>
      <c r="Y781" s="74">
        <f>W781-X781</f>
        <v>0</v>
      </c>
      <c r="Z781" s="70"/>
    </row>
    <row r="782" spans="1:27" s="29" customFormat="1" ht="27.75" customHeight="1" x14ac:dyDescent="0.2">
      <c r="A782" s="30"/>
      <c r="B782" s="29" t="s">
        <v>0</v>
      </c>
      <c r="C782" s="40" t="s">
        <v>221</v>
      </c>
      <c r="H782" s="41"/>
      <c r="I782" s="35"/>
      <c r="L782" s="42"/>
      <c r="M782" s="28"/>
      <c r="N782" s="75"/>
      <c r="O782" s="72" t="s">
        <v>71</v>
      </c>
      <c r="P782" s="72"/>
      <c r="Q782" s="72"/>
      <c r="R782" s="72">
        <v>0</v>
      </c>
      <c r="S782" s="63"/>
      <c r="T782" s="72" t="s">
        <v>71</v>
      </c>
      <c r="U782" s="102">
        <f>Y781</f>
        <v>0</v>
      </c>
      <c r="V782" s="74"/>
      <c r="W782" s="102">
        <f>IF(U782="","",U782+V782)</f>
        <v>0</v>
      </c>
      <c r="X782" s="74"/>
      <c r="Y782" s="102">
        <f>IF(W782="","",W782-X782)</f>
        <v>0</v>
      </c>
      <c r="Z782" s="76"/>
      <c r="AA782" s="28"/>
    </row>
    <row r="783" spans="1:27" s="29" customFormat="1" ht="27.75" customHeight="1" x14ac:dyDescent="0.2">
      <c r="A783" s="30"/>
      <c r="B783" s="44" t="s">
        <v>41</v>
      </c>
      <c r="C783" s="45"/>
      <c r="F783" s="382" t="s">
        <v>43</v>
      </c>
      <c r="G783" s="384"/>
      <c r="I783" s="382" t="s">
        <v>44</v>
      </c>
      <c r="J783" s="383"/>
      <c r="K783" s="384"/>
      <c r="L783" s="46"/>
      <c r="N783" s="71"/>
      <c r="O783" s="72" t="s">
        <v>46</v>
      </c>
      <c r="P783" s="72"/>
      <c r="Q783" s="72"/>
      <c r="R783" s="72" t="str">
        <f>IF(Q783="","",R782-Q783)</f>
        <v/>
      </c>
      <c r="S783" s="63"/>
      <c r="T783" s="72" t="s">
        <v>46</v>
      </c>
      <c r="U783" s="102">
        <f>IF($J$1="April",Y782,Y782)</f>
        <v>0</v>
      </c>
      <c r="V783" s="74"/>
      <c r="W783" s="102">
        <f t="shared" ref="W783:W792" si="182">IF(U783="","",U783+V783)</f>
        <v>0</v>
      </c>
      <c r="X783" s="74"/>
      <c r="Y783" s="102">
        <f t="shared" ref="Y783:Y792" si="183">IF(W783="","",W783-X783)</f>
        <v>0</v>
      </c>
      <c r="Z783" s="76"/>
    </row>
    <row r="784" spans="1:27" s="29" customFormat="1" ht="27.75" customHeight="1" x14ac:dyDescent="0.2">
      <c r="A784" s="30"/>
      <c r="H784" s="47"/>
      <c r="L784" s="34"/>
      <c r="N784" s="71"/>
      <c r="O784" s="72" t="s">
        <v>47</v>
      </c>
      <c r="P784" s="72"/>
      <c r="Q784" s="72"/>
      <c r="R784" s="72">
        <v>0</v>
      </c>
      <c r="S784" s="63"/>
      <c r="T784" s="72" t="s">
        <v>47</v>
      </c>
      <c r="U784" s="102">
        <f>IF($J$1="April",Y783,Y783)</f>
        <v>0</v>
      </c>
      <c r="V784" s="74"/>
      <c r="W784" s="102">
        <f t="shared" si="182"/>
        <v>0</v>
      </c>
      <c r="X784" s="74"/>
      <c r="Y784" s="102">
        <f t="shared" si="183"/>
        <v>0</v>
      </c>
      <c r="Z784" s="76"/>
    </row>
    <row r="785" spans="1:27" s="29" customFormat="1" ht="27.75" customHeight="1" x14ac:dyDescent="0.2">
      <c r="A785" s="30"/>
      <c r="B785" s="380" t="s">
        <v>42</v>
      </c>
      <c r="C785" s="381"/>
      <c r="F785" s="48" t="s">
        <v>64</v>
      </c>
      <c r="G785" s="43" t="str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/>
      </c>
      <c r="H785" s="47"/>
      <c r="I785" s="49"/>
      <c r="J785" s="50" t="s">
        <v>61</v>
      </c>
      <c r="K785" s="51">
        <f>K781/$K$2*I785</f>
        <v>0</v>
      </c>
      <c r="L785" s="52"/>
      <c r="N785" s="71"/>
      <c r="O785" s="72" t="s">
        <v>48</v>
      </c>
      <c r="P785" s="72"/>
      <c r="Q785" s="72"/>
      <c r="R785" s="72">
        <v>0</v>
      </c>
      <c r="S785" s="63"/>
      <c r="T785" s="72" t="s">
        <v>48</v>
      </c>
      <c r="U785" s="102">
        <f>IF($J$1="May",Y784,Y784)</f>
        <v>0</v>
      </c>
      <c r="V785" s="74"/>
      <c r="W785" s="102">
        <f t="shared" si="182"/>
        <v>0</v>
      </c>
      <c r="X785" s="74"/>
      <c r="Y785" s="102">
        <f t="shared" si="183"/>
        <v>0</v>
      </c>
      <c r="Z785" s="76"/>
    </row>
    <row r="786" spans="1:27" s="29" customFormat="1" ht="27.75" customHeight="1" x14ac:dyDescent="0.2">
      <c r="A786" s="30"/>
      <c r="B786" s="39"/>
      <c r="C786" s="39"/>
      <c r="F786" s="48" t="s">
        <v>20</v>
      </c>
      <c r="G786" s="43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47"/>
      <c r="I786" s="49"/>
      <c r="J786" s="50" t="s">
        <v>62</v>
      </c>
      <c r="K786" s="53">
        <f>K781/$K$2/8*I786</f>
        <v>0</v>
      </c>
      <c r="L786" s="54"/>
      <c r="N786" s="71"/>
      <c r="O786" s="72" t="s">
        <v>49</v>
      </c>
      <c r="P786" s="72"/>
      <c r="Q786" s="72"/>
      <c r="R786" s="72">
        <v>0</v>
      </c>
      <c r="S786" s="63"/>
      <c r="T786" s="72" t="s">
        <v>49</v>
      </c>
      <c r="U786" s="102">
        <f>IF($J$1="May",Y785,Y785)</f>
        <v>0</v>
      </c>
      <c r="V786" s="74"/>
      <c r="W786" s="102">
        <f t="shared" si="182"/>
        <v>0</v>
      </c>
      <c r="X786" s="74"/>
      <c r="Y786" s="102">
        <f t="shared" si="183"/>
        <v>0</v>
      </c>
      <c r="Z786" s="76"/>
    </row>
    <row r="787" spans="1:27" s="29" customFormat="1" ht="27.75" customHeight="1" x14ac:dyDescent="0.2">
      <c r="A787" s="30"/>
      <c r="B787" s="48" t="s">
        <v>7</v>
      </c>
      <c r="C787" s="39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F787" s="48" t="s">
        <v>65</v>
      </c>
      <c r="G787" s="43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47"/>
      <c r="I787" s="387" t="s">
        <v>69</v>
      </c>
      <c r="J787" s="388"/>
      <c r="K787" s="53">
        <f>K785+K786</f>
        <v>0</v>
      </c>
      <c r="L787" s="54"/>
      <c r="N787" s="71"/>
      <c r="O787" s="72" t="s">
        <v>50</v>
      </c>
      <c r="P787" s="72"/>
      <c r="Q787" s="72"/>
      <c r="R787" s="72">
        <v>0</v>
      </c>
      <c r="S787" s="63"/>
      <c r="T787" s="72" t="s">
        <v>50</v>
      </c>
      <c r="U787" s="102" t="str">
        <f>IF($J$1="July",Y786,"")</f>
        <v/>
      </c>
      <c r="V787" s="74"/>
      <c r="W787" s="102" t="str">
        <f t="shared" si="182"/>
        <v/>
      </c>
      <c r="X787" s="74"/>
      <c r="Y787" s="102" t="str">
        <f t="shared" si="183"/>
        <v/>
      </c>
      <c r="Z787" s="76"/>
    </row>
    <row r="788" spans="1:27" s="29" customFormat="1" ht="27.75" customHeight="1" x14ac:dyDescent="0.2">
      <c r="A788" s="30"/>
      <c r="B788" s="48" t="s">
        <v>6</v>
      </c>
      <c r="C788" s="39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F788" s="48" t="s">
        <v>21</v>
      </c>
      <c r="G788" s="43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47"/>
      <c r="I788" s="387" t="s">
        <v>70</v>
      </c>
      <c r="J788" s="388"/>
      <c r="K788" s="43">
        <f>G788</f>
        <v>0</v>
      </c>
      <c r="L788" s="55"/>
      <c r="N788" s="71"/>
      <c r="O788" s="72" t="s">
        <v>51</v>
      </c>
      <c r="P788" s="72"/>
      <c r="Q788" s="72"/>
      <c r="R788" s="72" t="str">
        <f>IF(Q788="","",R787-Q788)</f>
        <v/>
      </c>
      <c r="S788" s="63"/>
      <c r="T788" s="72" t="s">
        <v>51</v>
      </c>
      <c r="U788" s="102" t="str">
        <f>IF($J$1="August",Y787,"")</f>
        <v/>
      </c>
      <c r="V788" s="74"/>
      <c r="W788" s="102" t="str">
        <f t="shared" si="182"/>
        <v/>
      </c>
      <c r="X788" s="74"/>
      <c r="Y788" s="102" t="str">
        <f t="shared" si="183"/>
        <v/>
      </c>
      <c r="Z788" s="76"/>
    </row>
    <row r="789" spans="1:27" s="29" customFormat="1" ht="27.75" customHeight="1" x14ac:dyDescent="0.2">
      <c r="A789" s="30"/>
      <c r="B789" s="318" t="s">
        <v>68</v>
      </c>
      <c r="C789" s="39" t="str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/>
      </c>
      <c r="F789" s="318" t="s">
        <v>210</v>
      </c>
      <c r="G789" s="43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I789" s="382" t="s">
        <v>63</v>
      </c>
      <c r="J789" s="384"/>
      <c r="K789" s="57">
        <f>K787-K788</f>
        <v>0</v>
      </c>
      <c r="L789" s="58"/>
      <c r="N789" s="71"/>
      <c r="O789" s="72" t="s">
        <v>56</v>
      </c>
      <c r="P789" s="72"/>
      <c r="Q789" s="72"/>
      <c r="R789" s="72">
        <v>0</v>
      </c>
      <c r="S789" s="63"/>
      <c r="T789" s="72" t="s">
        <v>56</v>
      </c>
      <c r="U789" s="102" t="str">
        <f>IF($J$1="September",Y788,"")</f>
        <v/>
      </c>
      <c r="V789" s="74"/>
      <c r="W789" s="102" t="str">
        <f t="shared" si="182"/>
        <v/>
      </c>
      <c r="X789" s="74"/>
      <c r="Y789" s="102" t="str">
        <f t="shared" si="183"/>
        <v/>
      </c>
      <c r="Z789" s="76"/>
    </row>
    <row r="790" spans="1:27" s="29" customFormat="1" ht="27.75" customHeight="1" x14ac:dyDescent="0.2">
      <c r="A790" s="30"/>
      <c r="L790" s="46"/>
      <c r="N790" s="71"/>
      <c r="O790" s="72" t="s">
        <v>52</v>
      </c>
      <c r="P790" s="72"/>
      <c r="Q790" s="72"/>
      <c r="R790" s="72">
        <v>0</v>
      </c>
      <c r="S790" s="63"/>
      <c r="T790" s="72" t="s">
        <v>52</v>
      </c>
      <c r="U790" s="102" t="str">
        <f>IF($J$1="October",Y789,"")</f>
        <v/>
      </c>
      <c r="V790" s="74"/>
      <c r="W790" s="102" t="str">
        <f t="shared" si="182"/>
        <v/>
      </c>
      <c r="X790" s="74"/>
      <c r="Y790" s="102" t="str">
        <f t="shared" si="183"/>
        <v/>
      </c>
      <c r="Z790" s="76"/>
    </row>
    <row r="791" spans="1:27" s="29" customFormat="1" ht="27.75" customHeight="1" x14ac:dyDescent="0.35">
      <c r="A791" s="30"/>
      <c r="B791" s="319" t="s">
        <v>85</v>
      </c>
      <c r="C791" s="319"/>
      <c r="D791" s="319"/>
      <c r="E791" s="319"/>
      <c r="F791" s="319"/>
      <c r="G791" s="319"/>
      <c r="H791" s="319"/>
      <c r="I791" s="319"/>
      <c r="J791" s="319"/>
      <c r="K791" s="319"/>
      <c r="L791" s="46"/>
      <c r="N791" s="71"/>
      <c r="O791" s="72" t="s">
        <v>57</v>
      </c>
      <c r="P791" s="72"/>
      <c r="Q791" s="72"/>
      <c r="R791" s="72" t="str">
        <f>IF(Q791="","",R790-Q791)</f>
        <v/>
      </c>
      <c r="S791" s="63"/>
      <c r="T791" s="72" t="s">
        <v>57</v>
      </c>
      <c r="U791" s="102" t="str">
        <f>IF($J$1="November",Y790,"")</f>
        <v/>
      </c>
      <c r="V791" s="74"/>
      <c r="W791" s="102" t="str">
        <f t="shared" si="182"/>
        <v/>
      </c>
      <c r="X791" s="74"/>
      <c r="Y791" s="102" t="str">
        <f t="shared" si="183"/>
        <v/>
      </c>
      <c r="Z791" s="76"/>
    </row>
    <row r="792" spans="1:27" s="29" customFormat="1" ht="27.75" customHeight="1" thickBot="1" x14ac:dyDescent="0.4">
      <c r="A792" s="59"/>
      <c r="B792" s="320"/>
      <c r="C792" s="320"/>
      <c r="D792" s="320"/>
      <c r="E792" s="320"/>
      <c r="F792" s="320"/>
      <c r="G792" s="320"/>
      <c r="H792" s="320"/>
      <c r="I792" s="320"/>
      <c r="J792" s="320"/>
      <c r="K792" s="320"/>
      <c r="L792" s="61"/>
      <c r="N792" s="71"/>
      <c r="O792" s="72" t="s">
        <v>58</v>
      </c>
      <c r="P792" s="72"/>
      <c r="Q792" s="72"/>
      <c r="R792" s="72">
        <v>0</v>
      </c>
      <c r="S792" s="63"/>
      <c r="T792" s="72" t="s">
        <v>58</v>
      </c>
      <c r="U792" s="102" t="str">
        <f>IF($J$1="Dec",Y791,"")</f>
        <v/>
      </c>
      <c r="V792" s="74"/>
      <c r="W792" s="102" t="str">
        <f t="shared" si="182"/>
        <v/>
      </c>
      <c r="X792" s="74"/>
      <c r="Y792" s="102" t="str">
        <f t="shared" si="183"/>
        <v/>
      </c>
      <c r="Z792" s="76"/>
    </row>
    <row r="793" spans="1:27" s="29" customFormat="1" ht="27.75" customHeight="1" thickBot="1" x14ac:dyDescent="0.25">
      <c r="A793" s="5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1"/>
      <c r="N793" s="77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9"/>
    </row>
    <row r="794" spans="1:27" s="29" customFormat="1" ht="27.75" customHeight="1" x14ac:dyDescent="0.2"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7" s="29" customFormat="1" ht="27.75" customHeight="1" thickBot="1" x14ac:dyDescent="0.25"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7" s="29" customFormat="1" ht="27.75" customHeight="1" x14ac:dyDescent="0.2">
      <c r="A796" s="409" t="s">
        <v>40</v>
      </c>
      <c r="B796" s="410"/>
      <c r="C796" s="410"/>
      <c r="D796" s="410"/>
      <c r="E796" s="410"/>
      <c r="F796" s="410"/>
      <c r="G796" s="410"/>
      <c r="H796" s="410"/>
      <c r="I796" s="410"/>
      <c r="J796" s="410"/>
      <c r="K796" s="410"/>
      <c r="L796" s="411"/>
      <c r="M796" s="28"/>
      <c r="N796" s="64"/>
      <c r="O796" s="377" t="s">
        <v>42</v>
      </c>
      <c r="P796" s="378"/>
      <c r="Q796" s="378"/>
      <c r="R796" s="379"/>
      <c r="S796" s="65"/>
      <c r="T796" s="377" t="s">
        <v>43</v>
      </c>
      <c r="U796" s="378"/>
      <c r="V796" s="378"/>
      <c r="W796" s="378"/>
      <c r="X796" s="378"/>
      <c r="Y796" s="379"/>
      <c r="Z796" s="66"/>
      <c r="AA796" s="28"/>
    </row>
    <row r="797" spans="1:27" s="29" customFormat="1" ht="27.75" customHeight="1" x14ac:dyDescent="0.2">
      <c r="A797" s="30"/>
      <c r="C797" s="386" t="s">
        <v>83</v>
      </c>
      <c r="D797" s="386"/>
      <c r="E797" s="386"/>
      <c r="F797" s="386"/>
      <c r="G797" s="31" t="str">
        <f>$J$1</f>
        <v>August</v>
      </c>
      <c r="H797" s="385">
        <f>$K$1</f>
        <v>2023</v>
      </c>
      <c r="I797" s="385"/>
      <c r="K797" s="32"/>
      <c r="L797" s="33"/>
      <c r="M797" s="32"/>
      <c r="N797" s="67"/>
      <c r="O797" s="68" t="s">
        <v>53</v>
      </c>
      <c r="P797" s="68" t="s">
        <v>7</v>
      </c>
      <c r="Q797" s="68" t="s">
        <v>6</v>
      </c>
      <c r="R797" s="68" t="s">
        <v>54</v>
      </c>
      <c r="S797" s="69"/>
      <c r="T797" s="68" t="s">
        <v>53</v>
      </c>
      <c r="U797" s="68" t="s">
        <v>55</v>
      </c>
      <c r="V797" s="68" t="s">
        <v>20</v>
      </c>
      <c r="W797" s="68" t="s">
        <v>19</v>
      </c>
      <c r="X797" s="68" t="s">
        <v>21</v>
      </c>
      <c r="Y797" s="68" t="s">
        <v>59</v>
      </c>
      <c r="Z797" s="70"/>
      <c r="AA797" s="32"/>
    </row>
    <row r="798" spans="1:27" s="29" customFormat="1" ht="27.75" customHeight="1" x14ac:dyDescent="0.2">
      <c r="A798" s="30"/>
      <c r="D798" s="35"/>
      <c r="E798" s="35"/>
      <c r="F798" s="35"/>
      <c r="G798" s="35"/>
      <c r="H798" s="35"/>
      <c r="J798" s="36" t="s">
        <v>1</v>
      </c>
      <c r="K798" s="37"/>
      <c r="L798" s="38"/>
      <c r="N798" s="71"/>
      <c r="O798" s="72" t="s">
        <v>45</v>
      </c>
      <c r="P798" s="72"/>
      <c r="Q798" s="72"/>
      <c r="R798" s="72">
        <v>15</v>
      </c>
      <c r="S798" s="73"/>
      <c r="T798" s="72" t="s">
        <v>45</v>
      </c>
      <c r="U798" s="74"/>
      <c r="V798" s="74"/>
      <c r="W798" s="74">
        <f>V798+U798</f>
        <v>0</v>
      </c>
      <c r="X798" s="74"/>
      <c r="Y798" s="74">
        <f>W798-X798</f>
        <v>0</v>
      </c>
      <c r="Z798" s="70"/>
    </row>
    <row r="799" spans="1:27" s="29" customFormat="1" ht="27.75" customHeight="1" x14ac:dyDescent="0.2">
      <c r="A799" s="30"/>
      <c r="B799" s="29" t="s">
        <v>0</v>
      </c>
      <c r="C799" s="40" t="s">
        <v>220</v>
      </c>
      <c r="H799" s="41"/>
      <c r="I799" s="35"/>
      <c r="L799" s="42"/>
      <c r="M799" s="28"/>
      <c r="N799" s="75"/>
      <c r="O799" s="72" t="s">
        <v>71</v>
      </c>
      <c r="P799" s="72"/>
      <c r="Q799" s="72"/>
      <c r="R799" s="72" t="str">
        <f>IF(Q799="","",R798-Q799)</f>
        <v/>
      </c>
      <c r="S799" s="63"/>
      <c r="T799" s="72" t="s">
        <v>71</v>
      </c>
      <c r="U799" s="102">
        <f>Y798</f>
        <v>0</v>
      </c>
      <c r="V799" s="74"/>
      <c r="W799" s="102">
        <f>IF(U799="","",U799+V799)</f>
        <v>0</v>
      </c>
      <c r="X799" s="74"/>
      <c r="Y799" s="102">
        <f>IF(W799="","",W799-X799)</f>
        <v>0</v>
      </c>
      <c r="Z799" s="76"/>
      <c r="AA799" s="28"/>
    </row>
    <row r="800" spans="1:27" s="29" customFormat="1" ht="27.75" customHeight="1" x14ac:dyDescent="0.2">
      <c r="A800" s="30"/>
      <c r="B800" s="44" t="s">
        <v>41</v>
      </c>
      <c r="C800" s="45"/>
      <c r="F800" s="395" t="s">
        <v>43</v>
      </c>
      <c r="G800" s="395"/>
      <c r="I800" s="395" t="s">
        <v>44</v>
      </c>
      <c r="J800" s="395"/>
      <c r="K800" s="395"/>
      <c r="L800" s="46"/>
      <c r="N800" s="71"/>
      <c r="O800" s="72" t="s">
        <v>46</v>
      </c>
      <c r="P800" s="72"/>
      <c r="Q800" s="72"/>
      <c r="R800" s="72" t="str">
        <f t="shared" ref="R800:R809" si="184">IF(Q800="","",R799-Q800)</f>
        <v/>
      </c>
      <c r="S800" s="63"/>
      <c r="T800" s="72" t="s">
        <v>46</v>
      </c>
      <c r="U800" s="102">
        <f>IF($J$1="April",Y799,Y799)</f>
        <v>0</v>
      </c>
      <c r="V800" s="74"/>
      <c r="W800" s="102">
        <f t="shared" ref="W800:W809" si="185">IF(U800="","",U800+V800)</f>
        <v>0</v>
      </c>
      <c r="X800" s="74"/>
      <c r="Y800" s="102">
        <f t="shared" ref="Y800:Y809" si="186">IF(W800="","",W800-X800)</f>
        <v>0</v>
      </c>
      <c r="Z800" s="76"/>
    </row>
    <row r="801" spans="1:27" s="29" customFormat="1" ht="27.75" customHeight="1" x14ac:dyDescent="0.2">
      <c r="A801" s="30"/>
      <c r="H801" s="47"/>
      <c r="L801" s="34"/>
      <c r="N801" s="71"/>
      <c r="O801" s="72" t="s">
        <v>47</v>
      </c>
      <c r="P801" s="72"/>
      <c r="Q801" s="72"/>
      <c r="R801" s="72" t="str">
        <f t="shared" si="184"/>
        <v/>
      </c>
      <c r="S801" s="63"/>
      <c r="T801" s="72" t="s">
        <v>47</v>
      </c>
      <c r="U801" s="102">
        <f>IF($J$1="April",Y800,Y800)</f>
        <v>0</v>
      </c>
      <c r="V801" s="74"/>
      <c r="W801" s="102">
        <f t="shared" si="185"/>
        <v>0</v>
      </c>
      <c r="X801" s="74"/>
      <c r="Y801" s="102">
        <f t="shared" si="186"/>
        <v>0</v>
      </c>
      <c r="Z801" s="76"/>
    </row>
    <row r="802" spans="1:27" s="29" customFormat="1" ht="27.75" customHeight="1" x14ac:dyDescent="0.2">
      <c r="A802" s="30"/>
      <c r="B802" s="380" t="s">
        <v>42</v>
      </c>
      <c r="C802" s="381"/>
      <c r="F802" s="48" t="s">
        <v>64</v>
      </c>
      <c r="G802" s="43" t="str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/>
      </c>
      <c r="H802" s="47"/>
      <c r="I802" s="49"/>
      <c r="J802" s="50" t="s">
        <v>61</v>
      </c>
      <c r="K802" s="51">
        <f>K798/$K$2*I802</f>
        <v>0</v>
      </c>
      <c r="L802" s="52"/>
      <c r="N802" s="71"/>
      <c r="O802" s="72" t="s">
        <v>48</v>
      </c>
      <c r="P802" s="72"/>
      <c r="Q802" s="72"/>
      <c r="R802" s="72" t="str">
        <f t="shared" si="184"/>
        <v/>
      </c>
      <c r="S802" s="63"/>
      <c r="T802" s="72" t="s">
        <v>48</v>
      </c>
      <c r="U802" s="102">
        <f>IF($J$1="May",Y801,Y801)</f>
        <v>0</v>
      </c>
      <c r="V802" s="74"/>
      <c r="W802" s="102">
        <f t="shared" si="185"/>
        <v>0</v>
      </c>
      <c r="X802" s="74"/>
      <c r="Y802" s="102">
        <f t="shared" si="186"/>
        <v>0</v>
      </c>
      <c r="Z802" s="76"/>
    </row>
    <row r="803" spans="1:27" s="29" customFormat="1" ht="27.75" customHeight="1" x14ac:dyDescent="0.2">
      <c r="A803" s="30"/>
      <c r="B803" s="39"/>
      <c r="C803" s="39"/>
      <c r="F803" s="48" t="s">
        <v>20</v>
      </c>
      <c r="G803" s="43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47"/>
      <c r="I803" s="49"/>
      <c r="J803" s="50" t="s">
        <v>62</v>
      </c>
      <c r="K803" s="53">
        <f>K798/$K$2/8*I803</f>
        <v>0</v>
      </c>
      <c r="L803" s="54"/>
      <c r="N803" s="71"/>
      <c r="O803" s="72" t="s">
        <v>49</v>
      </c>
      <c r="P803" s="72"/>
      <c r="Q803" s="72"/>
      <c r="R803" s="72" t="str">
        <f t="shared" si="184"/>
        <v/>
      </c>
      <c r="S803" s="63"/>
      <c r="T803" s="72" t="s">
        <v>49</v>
      </c>
      <c r="U803" s="102">
        <f>IF($J$1="May",Y802,Y802)</f>
        <v>0</v>
      </c>
      <c r="V803" s="74"/>
      <c r="W803" s="102">
        <f t="shared" si="185"/>
        <v>0</v>
      </c>
      <c r="X803" s="74"/>
      <c r="Y803" s="102">
        <f t="shared" si="186"/>
        <v>0</v>
      </c>
      <c r="Z803" s="76"/>
    </row>
    <row r="804" spans="1:27" s="29" customFormat="1" ht="27.75" customHeight="1" x14ac:dyDescent="0.2">
      <c r="A804" s="30"/>
      <c r="B804" s="48" t="s">
        <v>7</v>
      </c>
      <c r="C804" s="39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F804" s="48" t="s">
        <v>65</v>
      </c>
      <c r="G804" s="43" t="str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/>
      </c>
      <c r="H804" s="47"/>
      <c r="I804" s="387" t="s">
        <v>69</v>
      </c>
      <c r="J804" s="388"/>
      <c r="K804" s="53">
        <f>K802+K803</f>
        <v>0</v>
      </c>
      <c r="L804" s="54"/>
      <c r="N804" s="71"/>
      <c r="O804" s="72" t="s">
        <v>50</v>
      </c>
      <c r="P804" s="72"/>
      <c r="Q804" s="72"/>
      <c r="R804" s="72" t="str">
        <f t="shared" si="184"/>
        <v/>
      </c>
      <c r="S804" s="63"/>
      <c r="T804" s="72" t="s">
        <v>50</v>
      </c>
      <c r="U804" s="102" t="str">
        <f>IF($J$1="September",Y803,"")</f>
        <v/>
      </c>
      <c r="V804" s="74"/>
      <c r="W804" s="102" t="str">
        <f t="shared" si="185"/>
        <v/>
      </c>
      <c r="X804" s="74"/>
      <c r="Y804" s="102" t="str">
        <f t="shared" si="186"/>
        <v/>
      </c>
      <c r="Z804" s="76"/>
    </row>
    <row r="805" spans="1:27" s="29" customFormat="1" ht="27.75" customHeight="1" x14ac:dyDescent="0.2">
      <c r="A805" s="30"/>
      <c r="B805" s="48" t="s">
        <v>6</v>
      </c>
      <c r="C805" s="39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F805" s="48" t="s">
        <v>21</v>
      </c>
      <c r="G805" s="43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47"/>
      <c r="I805" s="387" t="s">
        <v>70</v>
      </c>
      <c r="J805" s="388"/>
      <c r="K805" s="43">
        <f>G805</f>
        <v>0</v>
      </c>
      <c r="L805" s="55"/>
      <c r="N805" s="71"/>
      <c r="O805" s="72" t="s">
        <v>51</v>
      </c>
      <c r="P805" s="72"/>
      <c r="Q805" s="72"/>
      <c r="R805" s="72" t="str">
        <f t="shared" si="184"/>
        <v/>
      </c>
      <c r="S805" s="63"/>
      <c r="T805" s="72" t="s">
        <v>51</v>
      </c>
      <c r="U805" s="102" t="str">
        <f>IF($J$1="September",Y804,"")</f>
        <v/>
      </c>
      <c r="V805" s="74"/>
      <c r="W805" s="102" t="str">
        <f t="shared" si="185"/>
        <v/>
      </c>
      <c r="X805" s="74"/>
      <c r="Y805" s="102" t="str">
        <f t="shared" si="186"/>
        <v/>
      </c>
      <c r="Z805" s="76"/>
    </row>
    <row r="806" spans="1:27" s="29" customFormat="1" ht="27.75" customHeight="1" x14ac:dyDescent="0.2">
      <c r="A806" s="30"/>
      <c r="B806" s="56" t="s">
        <v>68</v>
      </c>
      <c r="C806" s="39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F806" s="48" t="s">
        <v>67</v>
      </c>
      <c r="G806" s="43" t="str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/>
      </c>
      <c r="I806" s="382" t="s">
        <v>63</v>
      </c>
      <c r="J806" s="384"/>
      <c r="K806" s="57">
        <f>K804-K805</f>
        <v>0</v>
      </c>
      <c r="L806" s="58"/>
      <c r="N806" s="71"/>
      <c r="O806" s="72" t="s">
        <v>56</v>
      </c>
      <c r="P806" s="72"/>
      <c r="Q806" s="72"/>
      <c r="R806" s="72" t="str">
        <f t="shared" si="184"/>
        <v/>
      </c>
      <c r="S806" s="63"/>
      <c r="T806" s="72" t="s">
        <v>56</v>
      </c>
      <c r="U806" s="102" t="str">
        <f>IF($J$1="Sept",Y805,"")</f>
        <v/>
      </c>
      <c r="V806" s="74"/>
      <c r="W806" s="102" t="str">
        <f t="shared" si="185"/>
        <v/>
      </c>
      <c r="X806" s="74"/>
      <c r="Y806" s="102" t="str">
        <f t="shared" si="186"/>
        <v/>
      </c>
      <c r="Z806" s="76"/>
    </row>
    <row r="807" spans="1:27" s="29" customFormat="1" ht="27.75" customHeight="1" x14ac:dyDescent="0.2">
      <c r="A807" s="30"/>
      <c r="L807" s="46"/>
      <c r="N807" s="71"/>
      <c r="O807" s="72" t="s">
        <v>52</v>
      </c>
      <c r="P807" s="72"/>
      <c r="Q807" s="72"/>
      <c r="R807" s="72" t="str">
        <f t="shared" si="184"/>
        <v/>
      </c>
      <c r="S807" s="63"/>
      <c r="T807" s="72" t="s">
        <v>52</v>
      </c>
      <c r="U807" s="102" t="str">
        <f>IF($J$1="October",Y806,"")</f>
        <v/>
      </c>
      <c r="V807" s="74"/>
      <c r="W807" s="102" t="str">
        <f t="shared" si="185"/>
        <v/>
      </c>
      <c r="X807" s="74"/>
      <c r="Y807" s="102" t="str">
        <f t="shared" si="186"/>
        <v/>
      </c>
      <c r="Z807" s="76"/>
    </row>
    <row r="808" spans="1:27" s="29" customFormat="1" ht="27.75" customHeight="1" x14ac:dyDescent="0.2">
      <c r="A808" s="30"/>
      <c r="B808" s="396" t="s">
        <v>85</v>
      </c>
      <c r="C808" s="396"/>
      <c r="D808" s="396"/>
      <c r="E808" s="396"/>
      <c r="F808" s="396"/>
      <c r="G808" s="396"/>
      <c r="H808" s="396"/>
      <c r="I808" s="396"/>
      <c r="J808" s="396"/>
      <c r="K808" s="396"/>
      <c r="L808" s="46"/>
      <c r="N808" s="71"/>
      <c r="O808" s="72" t="s">
        <v>57</v>
      </c>
      <c r="P808" s="72"/>
      <c r="Q808" s="72"/>
      <c r="R808" s="72" t="str">
        <f t="shared" si="184"/>
        <v/>
      </c>
      <c r="S808" s="63"/>
      <c r="T808" s="72" t="s">
        <v>57</v>
      </c>
      <c r="U808" s="102" t="str">
        <f>IF($J$1="November",Y807,"")</f>
        <v/>
      </c>
      <c r="V808" s="74"/>
      <c r="W808" s="102" t="str">
        <f t="shared" si="185"/>
        <v/>
      </c>
      <c r="X808" s="74"/>
      <c r="Y808" s="102" t="str">
        <f t="shared" si="186"/>
        <v/>
      </c>
      <c r="Z808" s="76"/>
    </row>
    <row r="809" spans="1:27" s="29" customFormat="1" ht="27.75" customHeight="1" x14ac:dyDescent="0.2">
      <c r="A809" s="30"/>
      <c r="B809" s="396"/>
      <c r="C809" s="396"/>
      <c r="D809" s="396"/>
      <c r="E809" s="396"/>
      <c r="F809" s="396"/>
      <c r="G809" s="396"/>
      <c r="H809" s="396"/>
      <c r="I809" s="396"/>
      <c r="J809" s="396"/>
      <c r="K809" s="396"/>
      <c r="L809" s="46"/>
      <c r="N809" s="71"/>
      <c r="O809" s="72" t="s">
        <v>58</v>
      </c>
      <c r="P809" s="72"/>
      <c r="Q809" s="72"/>
      <c r="R809" s="72" t="str">
        <f t="shared" si="184"/>
        <v/>
      </c>
      <c r="S809" s="63"/>
      <c r="T809" s="72" t="s">
        <v>58</v>
      </c>
      <c r="U809" s="102" t="str">
        <f>IF($J$1="Dec",Y808,"")</f>
        <v/>
      </c>
      <c r="V809" s="74"/>
      <c r="W809" s="102" t="str">
        <f t="shared" si="185"/>
        <v/>
      </c>
      <c r="X809" s="74"/>
      <c r="Y809" s="102" t="str">
        <f t="shared" si="186"/>
        <v/>
      </c>
      <c r="Z809" s="76"/>
    </row>
    <row r="810" spans="1:27" s="29" customFormat="1" ht="27.75" customHeight="1" thickBot="1" x14ac:dyDescent="0.25">
      <c r="A810" s="5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1"/>
      <c r="N810" s="77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9"/>
    </row>
    <row r="811" spans="1:27" s="29" customFormat="1" ht="27.75" customHeight="1" thickBot="1" x14ac:dyDescent="0.25"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7" s="29" customFormat="1" ht="27.75" customHeight="1" x14ac:dyDescent="0.2">
      <c r="A812" s="400" t="s">
        <v>40</v>
      </c>
      <c r="B812" s="401"/>
      <c r="C812" s="401"/>
      <c r="D812" s="401"/>
      <c r="E812" s="401"/>
      <c r="F812" s="401"/>
      <c r="G812" s="401"/>
      <c r="H812" s="401"/>
      <c r="I812" s="401"/>
      <c r="J812" s="401"/>
      <c r="K812" s="401"/>
      <c r="L812" s="402"/>
      <c r="M812" s="28"/>
      <c r="N812" s="64"/>
      <c r="O812" s="377" t="s">
        <v>42</v>
      </c>
      <c r="P812" s="378"/>
      <c r="Q812" s="378"/>
      <c r="R812" s="379"/>
      <c r="S812" s="65"/>
      <c r="T812" s="377" t="s">
        <v>43</v>
      </c>
      <c r="U812" s="378"/>
      <c r="V812" s="378"/>
      <c r="W812" s="378"/>
      <c r="X812" s="378"/>
      <c r="Y812" s="379"/>
      <c r="Z812" s="66"/>
      <c r="AA812" s="28"/>
    </row>
    <row r="813" spans="1:27" s="29" customFormat="1" ht="27.75" customHeight="1" x14ac:dyDescent="0.2">
      <c r="A813" s="30"/>
      <c r="C813" s="386" t="s">
        <v>83</v>
      </c>
      <c r="D813" s="386"/>
      <c r="E813" s="386"/>
      <c r="F813" s="386"/>
      <c r="G813" s="31" t="str">
        <f>$J$1</f>
        <v>August</v>
      </c>
      <c r="H813" s="385">
        <f>$K$1</f>
        <v>2023</v>
      </c>
      <c r="I813" s="385"/>
      <c r="K813" s="32"/>
      <c r="L813" s="33"/>
      <c r="M813" s="32"/>
      <c r="N813" s="67"/>
      <c r="O813" s="68" t="s">
        <v>53</v>
      </c>
      <c r="P813" s="68" t="s">
        <v>7</v>
      </c>
      <c r="Q813" s="68" t="s">
        <v>6</v>
      </c>
      <c r="R813" s="68" t="s">
        <v>54</v>
      </c>
      <c r="S813" s="69"/>
      <c r="T813" s="68" t="s">
        <v>53</v>
      </c>
      <c r="U813" s="68" t="s">
        <v>55</v>
      </c>
      <c r="V813" s="68" t="s">
        <v>20</v>
      </c>
      <c r="W813" s="68" t="s">
        <v>19</v>
      </c>
      <c r="X813" s="68" t="s">
        <v>21</v>
      </c>
      <c r="Y813" s="68" t="s">
        <v>59</v>
      </c>
      <c r="Z813" s="70"/>
      <c r="AA813" s="32"/>
    </row>
    <row r="814" spans="1:27" s="29" customFormat="1" ht="27.75" customHeight="1" x14ac:dyDescent="0.2">
      <c r="A814" s="30"/>
      <c r="D814" s="35"/>
      <c r="E814" s="35"/>
      <c r="F814" s="35"/>
      <c r="G814" s="35"/>
      <c r="H814" s="35"/>
      <c r="J814" s="36" t="s">
        <v>1</v>
      </c>
      <c r="K814" s="37"/>
      <c r="L814" s="38"/>
      <c r="N814" s="71"/>
      <c r="O814" s="72" t="s">
        <v>45</v>
      </c>
      <c r="P814" s="72">
        <v>29</v>
      </c>
      <c r="Q814" s="72">
        <v>2</v>
      </c>
      <c r="R814" s="72">
        <f>15-Q814</f>
        <v>13</v>
      </c>
      <c r="S814" s="73"/>
      <c r="T814" s="72" t="s">
        <v>45</v>
      </c>
      <c r="U814" s="74"/>
      <c r="V814" s="74"/>
      <c r="W814" s="74">
        <f>V814+U814</f>
        <v>0</v>
      </c>
      <c r="X814" s="74"/>
      <c r="Y814" s="74">
        <f>W814-X814</f>
        <v>0</v>
      </c>
      <c r="Z814" s="70"/>
    </row>
    <row r="815" spans="1:27" s="29" customFormat="1" ht="27.75" customHeight="1" x14ac:dyDescent="0.2">
      <c r="A815" s="30"/>
      <c r="B815" s="29" t="s">
        <v>0</v>
      </c>
      <c r="C815" s="40" t="s">
        <v>219</v>
      </c>
      <c r="H815" s="41"/>
      <c r="I815" s="35"/>
      <c r="L815" s="42"/>
      <c r="M815" s="28"/>
      <c r="N815" s="75"/>
      <c r="O815" s="72" t="s">
        <v>71</v>
      </c>
      <c r="P815" s="72">
        <v>28</v>
      </c>
      <c r="Q815" s="72">
        <v>1</v>
      </c>
      <c r="R815" s="72">
        <f>IF(Q815="","",R814-Q815)</f>
        <v>12</v>
      </c>
      <c r="S815" s="63"/>
      <c r="T815" s="72" t="s">
        <v>71</v>
      </c>
      <c r="U815" s="102">
        <f>IF($J$1="January","",Y814)</f>
        <v>0</v>
      </c>
      <c r="V815" s="74"/>
      <c r="W815" s="102">
        <f>IF(U815="","",U815+V815)</f>
        <v>0</v>
      </c>
      <c r="X815" s="74"/>
      <c r="Y815" s="102">
        <f>IF(W815="","",W815-X815)</f>
        <v>0</v>
      </c>
      <c r="Z815" s="76"/>
      <c r="AA815" s="28"/>
    </row>
    <row r="816" spans="1:27" s="29" customFormat="1" ht="27.75" customHeight="1" x14ac:dyDescent="0.2">
      <c r="A816" s="30"/>
      <c r="B816" s="44" t="s">
        <v>41</v>
      </c>
      <c r="C816" s="45"/>
      <c r="F816" s="395" t="s">
        <v>43</v>
      </c>
      <c r="G816" s="395"/>
      <c r="I816" s="395" t="s">
        <v>44</v>
      </c>
      <c r="J816" s="395"/>
      <c r="K816" s="395"/>
      <c r="L816" s="46"/>
      <c r="N816" s="71"/>
      <c r="O816" s="72" t="s">
        <v>46</v>
      </c>
      <c r="P816" s="72">
        <v>31</v>
      </c>
      <c r="Q816" s="72">
        <v>0</v>
      </c>
      <c r="R816" s="72">
        <f t="shared" ref="R816" si="187">IF(Q816="","",R815-Q816)</f>
        <v>12</v>
      </c>
      <c r="S816" s="63"/>
      <c r="T816" s="72" t="s">
        <v>46</v>
      </c>
      <c r="U816" s="102">
        <f>IF($J$1="February","",Y815)</f>
        <v>0</v>
      </c>
      <c r="V816" s="74"/>
      <c r="W816" s="102">
        <f t="shared" ref="W816:W825" si="188">IF(U816="","",U816+V816)</f>
        <v>0</v>
      </c>
      <c r="X816" s="74"/>
      <c r="Y816" s="102">
        <f t="shared" ref="Y816:Y825" si="189">IF(W816="","",W816-X816)</f>
        <v>0</v>
      </c>
      <c r="Z816" s="76"/>
    </row>
    <row r="817" spans="1:27" s="29" customFormat="1" ht="27.75" customHeight="1" x14ac:dyDescent="0.2">
      <c r="A817" s="30"/>
      <c r="H817" s="47"/>
      <c r="L817" s="34"/>
      <c r="N817" s="71"/>
      <c r="O817" s="72" t="s">
        <v>47</v>
      </c>
      <c r="P817" s="72">
        <v>14</v>
      </c>
      <c r="Q817" s="72">
        <v>16</v>
      </c>
      <c r="R817" s="72">
        <v>0</v>
      </c>
      <c r="S817" s="63"/>
      <c r="T817" s="72" t="s">
        <v>47</v>
      </c>
      <c r="U817" s="102">
        <f>IF($J$1="March","",Y816)</f>
        <v>0</v>
      </c>
      <c r="V817" s="74"/>
      <c r="W817" s="102">
        <f t="shared" si="188"/>
        <v>0</v>
      </c>
      <c r="X817" s="74"/>
      <c r="Y817" s="102">
        <f t="shared" si="189"/>
        <v>0</v>
      </c>
      <c r="Z817" s="76"/>
    </row>
    <row r="818" spans="1:27" s="29" customFormat="1" ht="27.75" customHeight="1" x14ac:dyDescent="0.2">
      <c r="A818" s="30"/>
      <c r="B818" s="380" t="s">
        <v>42</v>
      </c>
      <c r="C818" s="381"/>
      <c r="F818" s="48" t="s">
        <v>64</v>
      </c>
      <c r="G818" s="10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47"/>
      <c r="I818" s="49">
        <f>IF(C822&gt;0,$K$2,C820)</f>
        <v>0</v>
      </c>
      <c r="J818" s="50" t="s">
        <v>61</v>
      </c>
      <c r="K818" s="51">
        <f>K814/$K$2*I818</f>
        <v>0</v>
      </c>
      <c r="L818" s="52"/>
      <c r="N818" s="71"/>
      <c r="O818" s="72" t="s">
        <v>48</v>
      </c>
      <c r="P818" s="72">
        <v>28</v>
      </c>
      <c r="Q818" s="72">
        <v>3</v>
      </c>
      <c r="R818" s="72">
        <v>0</v>
      </c>
      <c r="S818" s="63"/>
      <c r="T818" s="72" t="s">
        <v>48</v>
      </c>
      <c r="U818" s="102">
        <f>IF($J$1="April","",Y817)</f>
        <v>0</v>
      </c>
      <c r="V818" s="74"/>
      <c r="W818" s="102">
        <f t="shared" si="188"/>
        <v>0</v>
      </c>
      <c r="X818" s="74"/>
      <c r="Y818" s="102">
        <f t="shared" si="189"/>
        <v>0</v>
      </c>
      <c r="Z818" s="76"/>
    </row>
    <row r="819" spans="1:27" s="29" customFormat="1" ht="27.75" customHeight="1" x14ac:dyDescent="0.2">
      <c r="A819" s="30"/>
      <c r="B819" s="39"/>
      <c r="C819" s="39"/>
      <c r="F819" s="48" t="s">
        <v>20</v>
      </c>
      <c r="G819" s="10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47"/>
      <c r="I819" s="84"/>
      <c r="J819" s="50" t="s">
        <v>62</v>
      </c>
      <c r="K819" s="53">
        <f>K814/$K$2/8*I819</f>
        <v>0</v>
      </c>
      <c r="L819" s="54"/>
      <c r="N819" s="71"/>
      <c r="O819" s="72" t="s">
        <v>49</v>
      </c>
      <c r="P819" s="72">
        <v>4</v>
      </c>
      <c r="Q819" s="72">
        <v>26</v>
      </c>
      <c r="R819" s="72">
        <v>0</v>
      </c>
      <c r="S819" s="63"/>
      <c r="T819" s="72" t="s">
        <v>49</v>
      </c>
      <c r="U819" s="102">
        <f>IF($J$1="May","",Y818)</f>
        <v>0</v>
      </c>
      <c r="V819" s="74"/>
      <c r="W819" s="102">
        <f t="shared" si="188"/>
        <v>0</v>
      </c>
      <c r="X819" s="74"/>
      <c r="Y819" s="102">
        <f t="shared" si="189"/>
        <v>0</v>
      </c>
      <c r="Z819" s="76"/>
    </row>
    <row r="820" spans="1:27" s="29" customFormat="1" ht="27.75" customHeight="1" x14ac:dyDescent="0.2">
      <c r="A820" s="30"/>
      <c r="B820" s="48" t="s">
        <v>7</v>
      </c>
      <c r="C820" s="39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F820" s="48" t="s">
        <v>65</v>
      </c>
      <c r="G820" s="10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47"/>
      <c r="I820" s="387" t="s">
        <v>69</v>
      </c>
      <c r="J820" s="388"/>
      <c r="K820" s="53">
        <f>K818+K819</f>
        <v>0</v>
      </c>
      <c r="L820" s="54"/>
      <c r="N820" s="71"/>
      <c r="O820" s="72" t="s">
        <v>50</v>
      </c>
      <c r="P820" s="72"/>
      <c r="Q820" s="72"/>
      <c r="R820" s="72">
        <v>0</v>
      </c>
      <c r="S820" s="63"/>
      <c r="T820" s="72" t="s">
        <v>50</v>
      </c>
      <c r="U820" s="102">
        <f>IF($J$1="June","",Y819)</f>
        <v>0</v>
      </c>
      <c r="V820" s="74"/>
      <c r="W820" s="102">
        <f t="shared" si="188"/>
        <v>0</v>
      </c>
      <c r="X820" s="74"/>
      <c r="Y820" s="102">
        <f t="shared" si="189"/>
        <v>0</v>
      </c>
      <c r="Z820" s="76"/>
    </row>
    <row r="821" spans="1:27" s="29" customFormat="1" ht="27.75" customHeight="1" x14ac:dyDescent="0.2">
      <c r="A821" s="30"/>
      <c r="B821" s="48" t="s">
        <v>6</v>
      </c>
      <c r="C821" s="39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F821" s="48" t="s">
        <v>21</v>
      </c>
      <c r="G821" s="10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47"/>
      <c r="I821" s="387" t="s">
        <v>70</v>
      </c>
      <c r="J821" s="388"/>
      <c r="K821" s="43">
        <f>G821</f>
        <v>0</v>
      </c>
      <c r="L821" s="55"/>
      <c r="N821" s="71"/>
      <c r="O821" s="72" t="s">
        <v>51</v>
      </c>
      <c r="P821" s="72"/>
      <c r="Q821" s="72"/>
      <c r="R821" s="72">
        <v>0</v>
      </c>
      <c r="S821" s="63"/>
      <c r="T821" s="72" t="s">
        <v>51</v>
      </c>
      <c r="U821" s="102">
        <f>IF($J$1="July","",Y820)</f>
        <v>0</v>
      </c>
      <c r="V821" s="74"/>
      <c r="W821" s="102">
        <f t="shared" si="188"/>
        <v>0</v>
      </c>
      <c r="X821" s="74"/>
      <c r="Y821" s="102">
        <f t="shared" si="189"/>
        <v>0</v>
      </c>
      <c r="Z821" s="76"/>
    </row>
    <row r="822" spans="1:27" s="29" customFormat="1" ht="27.75" customHeight="1" x14ac:dyDescent="0.2">
      <c r="A822" s="30"/>
      <c r="B822" s="56" t="s">
        <v>68</v>
      </c>
      <c r="C822" s="39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F822" s="48" t="s">
        <v>67</v>
      </c>
      <c r="G822" s="10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I822" s="382" t="s">
        <v>63</v>
      </c>
      <c r="J822" s="384"/>
      <c r="K822" s="57"/>
      <c r="L822" s="58"/>
      <c r="N822" s="71"/>
      <c r="O822" s="72" t="s">
        <v>56</v>
      </c>
      <c r="P822" s="72"/>
      <c r="Q822" s="72"/>
      <c r="R822" s="72">
        <v>0</v>
      </c>
      <c r="S822" s="63"/>
      <c r="T822" s="72" t="s">
        <v>56</v>
      </c>
      <c r="U822" s="102" t="str">
        <f>IF($J$1="August","",Y821)</f>
        <v/>
      </c>
      <c r="V822" s="74"/>
      <c r="W822" s="102" t="str">
        <f t="shared" si="188"/>
        <v/>
      </c>
      <c r="X822" s="74"/>
      <c r="Y822" s="102" t="str">
        <f t="shared" si="189"/>
        <v/>
      </c>
      <c r="Z822" s="76"/>
    </row>
    <row r="823" spans="1:27" s="29" customFormat="1" ht="27.75" customHeight="1" x14ac:dyDescent="0.2">
      <c r="A823" s="30"/>
      <c r="J823" s="104"/>
      <c r="K823" s="104"/>
      <c r="L823" s="46"/>
      <c r="N823" s="71"/>
      <c r="O823" s="72" t="s">
        <v>52</v>
      </c>
      <c r="P823" s="72"/>
      <c r="Q823" s="72"/>
      <c r="R823" s="72">
        <v>0</v>
      </c>
      <c r="S823" s="63"/>
      <c r="T823" s="72" t="s">
        <v>52</v>
      </c>
      <c r="U823" s="102" t="str">
        <f>IF($J$1="September","",Y822)</f>
        <v/>
      </c>
      <c r="V823" s="74"/>
      <c r="W823" s="102" t="str">
        <f t="shared" si="188"/>
        <v/>
      </c>
      <c r="X823" s="74"/>
      <c r="Y823" s="102" t="str">
        <f t="shared" si="189"/>
        <v/>
      </c>
      <c r="Z823" s="76"/>
    </row>
    <row r="824" spans="1:27" s="29" customFormat="1" ht="27.75" customHeight="1" x14ac:dyDescent="0.2">
      <c r="A824" s="30"/>
      <c r="B824" s="396" t="s">
        <v>85</v>
      </c>
      <c r="C824" s="396"/>
      <c r="D824" s="396"/>
      <c r="E824" s="396"/>
      <c r="F824" s="396"/>
      <c r="G824" s="396"/>
      <c r="H824" s="396"/>
      <c r="I824" s="396"/>
      <c r="J824" s="396"/>
      <c r="K824" s="396"/>
      <c r="L824" s="46"/>
      <c r="N824" s="71"/>
      <c r="O824" s="72" t="s">
        <v>57</v>
      </c>
      <c r="P824" s="72"/>
      <c r="Q824" s="72"/>
      <c r="R824" s="72">
        <v>0</v>
      </c>
      <c r="S824" s="63"/>
      <c r="T824" s="72" t="s">
        <v>57</v>
      </c>
      <c r="U824" s="102" t="str">
        <f>IF($J$1="October","",Y823)</f>
        <v/>
      </c>
      <c r="V824" s="74"/>
      <c r="W824" s="102" t="str">
        <f t="shared" si="188"/>
        <v/>
      </c>
      <c r="X824" s="74"/>
      <c r="Y824" s="102" t="str">
        <f t="shared" si="189"/>
        <v/>
      </c>
      <c r="Z824" s="76"/>
    </row>
    <row r="825" spans="1:27" s="29" customFormat="1" ht="27.75" customHeight="1" x14ac:dyDescent="0.2">
      <c r="A825" s="30"/>
      <c r="B825" s="396"/>
      <c r="C825" s="396"/>
      <c r="D825" s="396"/>
      <c r="E825" s="396"/>
      <c r="F825" s="396"/>
      <c r="G825" s="396"/>
      <c r="H825" s="396"/>
      <c r="I825" s="396"/>
      <c r="J825" s="396"/>
      <c r="K825" s="396"/>
      <c r="L825" s="46"/>
      <c r="N825" s="71"/>
      <c r="O825" s="72" t="s">
        <v>58</v>
      </c>
      <c r="P825" s="72"/>
      <c r="Q825" s="72"/>
      <c r="R825" s="72">
        <v>0</v>
      </c>
      <c r="S825" s="63"/>
      <c r="T825" s="72" t="s">
        <v>58</v>
      </c>
      <c r="U825" s="102" t="str">
        <f>IF($J$1="November","",Y824)</f>
        <v/>
      </c>
      <c r="V825" s="74"/>
      <c r="W825" s="102" t="str">
        <f t="shared" si="188"/>
        <v/>
      </c>
      <c r="X825" s="74"/>
      <c r="Y825" s="102" t="str">
        <f t="shared" si="189"/>
        <v/>
      </c>
      <c r="Z825" s="76"/>
    </row>
    <row r="826" spans="1:27" s="29" customFormat="1" ht="27.75" customHeight="1" thickBot="1" x14ac:dyDescent="0.25">
      <c r="A826" s="5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1"/>
      <c r="N826" s="77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9"/>
    </row>
    <row r="827" spans="1:27" s="29" customFormat="1" ht="27.75" customHeight="1" thickBot="1" x14ac:dyDescent="0.25"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7" s="29" customFormat="1" ht="27.75" customHeight="1" x14ac:dyDescent="0.2">
      <c r="A828" s="403" t="s">
        <v>40</v>
      </c>
      <c r="B828" s="404"/>
      <c r="C828" s="404"/>
      <c r="D828" s="404"/>
      <c r="E828" s="404"/>
      <c r="F828" s="404"/>
      <c r="G828" s="404"/>
      <c r="H828" s="404"/>
      <c r="I828" s="404"/>
      <c r="J828" s="404"/>
      <c r="K828" s="404"/>
      <c r="L828" s="405"/>
      <c r="M828" s="28"/>
      <c r="N828" s="64"/>
      <c r="O828" s="377" t="s">
        <v>42</v>
      </c>
      <c r="P828" s="378"/>
      <c r="Q828" s="378"/>
      <c r="R828" s="379"/>
      <c r="S828" s="65"/>
      <c r="T828" s="377" t="s">
        <v>43</v>
      </c>
      <c r="U828" s="378"/>
      <c r="V828" s="378"/>
      <c r="W828" s="378"/>
      <c r="X828" s="378"/>
      <c r="Y828" s="379"/>
      <c r="Z828" s="66"/>
      <c r="AA828" s="28"/>
    </row>
    <row r="829" spans="1:27" s="29" customFormat="1" ht="27.75" customHeight="1" x14ac:dyDescent="0.2">
      <c r="A829" s="30"/>
      <c r="C829" s="386" t="s">
        <v>83</v>
      </c>
      <c r="D829" s="386"/>
      <c r="E829" s="386"/>
      <c r="F829" s="386"/>
      <c r="G829" s="31" t="str">
        <f>$J$1</f>
        <v>August</v>
      </c>
      <c r="H829" s="385">
        <f>$K$1</f>
        <v>2023</v>
      </c>
      <c r="I829" s="385"/>
      <c r="K829" s="32"/>
      <c r="L829" s="33"/>
      <c r="M829" s="32"/>
      <c r="N829" s="67"/>
      <c r="O829" s="68" t="s">
        <v>53</v>
      </c>
      <c r="P829" s="68" t="s">
        <v>7</v>
      </c>
      <c r="Q829" s="68" t="s">
        <v>6</v>
      </c>
      <c r="R829" s="68" t="s">
        <v>54</v>
      </c>
      <c r="S829" s="69"/>
      <c r="T829" s="68" t="s">
        <v>53</v>
      </c>
      <c r="U829" s="68" t="s">
        <v>55</v>
      </c>
      <c r="V829" s="68" t="s">
        <v>20</v>
      </c>
      <c r="W829" s="68" t="s">
        <v>19</v>
      </c>
      <c r="X829" s="68" t="s">
        <v>21</v>
      </c>
      <c r="Y829" s="68" t="s">
        <v>59</v>
      </c>
      <c r="Z829" s="70"/>
      <c r="AA829" s="32"/>
    </row>
    <row r="830" spans="1:27" s="29" customFormat="1" ht="27.75" customHeight="1" x14ac:dyDescent="0.2">
      <c r="A830" s="30"/>
      <c r="D830" s="35"/>
      <c r="E830" s="35"/>
      <c r="F830" s="35"/>
      <c r="G830" s="35"/>
      <c r="H830" s="35"/>
      <c r="J830" s="36" t="s">
        <v>1</v>
      </c>
      <c r="K830" s="37"/>
      <c r="L830" s="38"/>
      <c r="N830" s="71"/>
      <c r="O830" s="72" t="s">
        <v>45</v>
      </c>
      <c r="P830" s="72"/>
      <c r="Q830" s="72"/>
      <c r="R830" s="72">
        <f>15-Q830</f>
        <v>15</v>
      </c>
      <c r="S830" s="73"/>
      <c r="T830" s="72" t="s">
        <v>45</v>
      </c>
      <c r="U830" s="74"/>
      <c r="V830" s="74"/>
      <c r="W830" s="74">
        <f>V830+U830</f>
        <v>0</v>
      </c>
      <c r="X830" s="74"/>
      <c r="Y830" s="74">
        <f>W830-X830</f>
        <v>0</v>
      </c>
      <c r="Z830" s="70"/>
    </row>
    <row r="831" spans="1:27" s="29" customFormat="1" ht="27.75" customHeight="1" x14ac:dyDescent="0.2">
      <c r="A831" s="30"/>
      <c r="B831" s="29" t="s">
        <v>0</v>
      </c>
      <c r="C831" s="40" t="s">
        <v>218</v>
      </c>
      <c r="H831" s="41"/>
      <c r="I831" s="35"/>
      <c r="L831" s="42"/>
      <c r="M831" s="28"/>
      <c r="N831" s="75"/>
      <c r="O831" s="72" t="s">
        <v>71</v>
      </c>
      <c r="P831" s="72"/>
      <c r="Q831" s="72"/>
      <c r="R831" s="72" t="str">
        <f>IF(Q831="","",R830-Q831)</f>
        <v/>
      </c>
      <c r="S831" s="63"/>
      <c r="T831" s="72" t="s">
        <v>71</v>
      </c>
      <c r="U831" s="102">
        <f>Y830</f>
        <v>0</v>
      </c>
      <c r="V831" s="74"/>
      <c r="W831" s="102">
        <f>IF(U831="","",U831+V831)</f>
        <v>0</v>
      </c>
      <c r="X831" s="74"/>
      <c r="Y831" s="102">
        <f>IF(W831="","",W831-X831)</f>
        <v>0</v>
      </c>
      <c r="Z831" s="76"/>
      <c r="AA831" s="28"/>
    </row>
    <row r="832" spans="1:27" s="29" customFormat="1" ht="27.75" customHeight="1" x14ac:dyDescent="0.2">
      <c r="A832" s="30"/>
      <c r="B832" s="44" t="s">
        <v>41</v>
      </c>
      <c r="C832" s="62"/>
      <c r="F832" s="395" t="s">
        <v>43</v>
      </c>
      <c r="G832" s="395"/>
      <c r="I832" s="395" t="s">
        <v>44</v>
      </c>
      <c r="J832" s="395"/>
      <c r="K832" s="395"/>
      <c r="L832" s="46"/>
      <c r="N832" s="71"/>
      <c r="O832" s="72" t="s">
        <v>46</v>
      </c>
      <c r="P832" s="72"/>
      <c r="Q832" s="72"/>
      <c r="R832" s="72" t="str">
        <f t="shared" ref="R832:R841" si="190">IF(Q832="","",R831-Q832)</f>
        <v/>
      </c>
      <c r="S832" s="63"/>
      <c r="T832" s="72" t="s">
        <v>46</v>
      </c>
      <c r="U832" s="102">
        <f>IF($J$1="April",Y831,Y831)</f>
        <v>0</v>
      </c>
      <c r="V832" s="74"/>
      <c r="W832" s="102">
        <f t="shared" ref="W832:W841" si="191">IF(U832="","",U832+V832)</f>
        <v>0</v>
      </c>
      <c r="X832" s="74"/>
      <c r="Y832" s="102">
        <f t="shared" ref="Y832:Y841" si="192">IF(W832="","",W832-X832)</f>
        <v>0</v>
      </c>
      <c r="Z832" s="76"/>
    </row>
    <row r="833" spans="1:26" s="29" customFormat="1" ht="27.75" customHeight="1" x14ac:dyDescent="0.2">
      <c r="A833" s="30"/>
      <c r="H833" s="47"/>
      <c r="L833" s="34"/>
      <c r="N833" s="71"/>
      <c r="O833" s="72" t="s">
        <v>47</v>
      </c>
      <c r="P833" s="72"/>
      <c r="Q833" s="72"/>
      <c r="R833" s="72" t="str">
        <f t="shared" si="190"/>
        <v/>
      </c>
      <c r="S833" s="63"/>
      <c r="T833" s="72" t="s">
        <v>47</v>
      </c>
      <c r="U833" s="102">
        <f>IF($J$1="April",Y832,Y832)</f>
        <v>0</v>
      </c>
      <c r="V833" s="74"/>
      <c r="W833" s="102">
        <f t="shared" si="191"/>
        <v>0</v>
      </c>
      <c r="X833" s="74"/>
      <c r="Y833" s="102">
        <f t="shared" si="192"/>
        <v>0</v>
      </c>
      <c r="Z833" s="76"/>
    </row>
    <row r="834" spans="1:26" s="29" customFormat="1" ht="27.75" customHeight="1" x14ac:dyDescent="0.2">
      <c r="A834" s="30"/>
      <c r="B834" s="380" t="s">
        <v>42</v>
      </c>
      <c r="C834" s="381"/>
      <c r="F834" s="48" t="s">
        <v>64</v>
      </c>
      <c r="G834" s="43" t="str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/>
      </c>
      <c r="H834" s="47"/>
      <c r="I834" s="49"/>
      <c r="J834" s="50" t="s">
        <v>61</v>
      </c>
      <c r="K834" s="51">
        <f>K830/$K$2*I834</f>
        <v>0</v>
      </c>
      <c r="L834" s="52"/>
      <c r="N834" s="71"/>
      <c r="O834" s="72" t="s">
        <v>48</v>
      </c>
      <c r="P834" s="72"/>
      <c r="Q834" s="72"/>
      <c r="R834" s="72" t="str">
        <f t="shared" si="190"/>
        <v/>
      </c>
      <c r="S834" s="63"/>
      <c r="T834" s="72" t="s">
        <v>48</v>
      </c>
      <c r="U834" s="102">
        <f>IF($J$1="May",Y833,Y833)</f>
        <v>0</v>
      </c>
      <c r="V834" s="74"/>
      <c r="W834" s="102">
        <f t="shared" si="191"/>
        <v>0</v>
      </c>
      <c r="X834" s="74"/>
      <c r="Y834" s="102">
        <f t="shared" si="192"/>
        <v>0</v>
      </c>
      <c r="Z834" s="76"/>
    </row>
    <row r="835" spans="1:26" s="29" customFormat="1" ht="27.75" customHeight="1" x14ac:dyDescent="0.2">
      <c r="A835" s="30"/>
      <c r="B835" s="39"/>
      <c r="C835" s="39"/>
      <c r="F835" s="48" t="s">
        <v>20</v>
      </c>
      <c r="G835" s="43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47"/>
      <c r="I835" s="49"/>
      <c r="J835" s="50" t="s">
        <v>62</v>
      </c>
      <c r="K835" s="53"/>
      <c r="L835" s="54"/>
      <c r="N835" s="71"/>
      <c r="O835" s="72" t="s">
        <v>49</v>
      </c>
      <c r="P835" s="72"/>
      <c r="Q835" s="72"/>
      <c r="R835" s="72" t="str">
        <f t="shared" si="190"/>
        <v/>
      </c>
      <c r="S835" s="63"/>
      <c r="T835" s="72" t="s">
        <v>49</v>
      </c>
      <c r="U835" s="102">
        <f>IF($J$1="May",Y834,Y834)</f>
        <v>0</v>
      </c>
      <c r="V835" s="74"/>
      <c r="W835" s="102">
        <f t="shared" si="191"/>
        <v>0</v>
      </c>
      <c r="X835" s="74"/>
      <c r="Y835" s="102">
        <f t="shared" si="192"/>
        <v>0</v>
      </c>
      <c r="Z835" s="76"/>
    </row>
    <row r="836" spans="1:26" s="29" customFormat="1" ht="27.75" customHeight="1" x14ac:dyDescent="0.2">
      <c r="A836" s="30"/>
      <c r="B836" s="48" t="s">
        <v>7</v>
      </c>
      <c r="C836" s="39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F836" s="48" t="s">
        <v>65</v>
      </c>
      <c r="G836" s="43" t="str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/>
      </c>
      <c r="H836" s="47"/>
      <c r="I836" s="387" t="s">
        <v>69</v>
      </c>
      <c r="J836" s="388"/>
      <c r="K836" s="53">
        <f>K834+K835</f>
        <v>0</v>
      </c>
      <c r="L836" s="54"/>
      <c r="N836" s="71"/>
      <c r="O836" s="72" t="s">
        <v>50</v>
      </c>
      <c r="P836" s="72"/>
      <c r="Q836" s="72"/>
      <c r="R836" s="72" t="str">
        <f t="shared" si="190"/>
        <v/>
      </c>
      <c r="S836" s="63"/>
      <c r="T836" s="72" t="s">
        <v>50</v>
      </c>
      <c r="U836" s="102">
        <f>IF($J$1="May",Y835,Y835)</f>
        <v>0</v>
      </c>
      <c r="V836" s="74"/>
      <c r="W836" s="102">
        <f t="shared" si="191"/>
        <v>0</v>
      </c>
      <c r="X836" s="74"/>
      <c r="Y836" s="102">
        <f t="shared" si="192"/>
        <v>0</v>
      </c>
      <c r="Z836" s="76"/>
    </row>
    <row r="837" spans="1:26" s="29" customFormat="1" ht="27.75" customHeight="1" x14ac:dyDescent="0.2">
      <c r="A837" s="30"/>
      <c r="B837" s="48" t="s">
        <v>6</v>
      </c>
      <c r="C837" s="39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F837" s="48" t="s">
        <v>21</v>
      </c>
      <c r="G837" s="43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47"/>
      <c r="I837" s="387" t="s">
        <v>70</v>
      </c>
      <c r="J837" s="388"/>
      <c r="K837" s="43">
        <f>G837</f>
        <v>0</v>
      </c>
      <c r="L837" s="55"/>
      <c r="N837" s="71"/>
      <c r="O837" s="72" t="s">
        <v>51</v>
      </c>
      <c r="P837" s="72"/>
      <c r="Q837" s="72"/>
      <c r="R837" s="72" t="str">
        <f t="shared" si="190"/>
        <v/>
      </c>
      <c r="S837" s="63"/>
      <c r="T837" s="72" t="s">
        <v>51</v>
      </c>
      <c r="U837" s="102" t="str">
        <f>IF($J$1="September",Y836,"")</f>
        <v/>
      </c>
      <c r="V837" s="74"/>
      <c r="W837" s="102" t="str">
        <f t="shared" si="191"/>
        <v/>
      </c>
      <c r="X837" s="74"/>
      <c r="Y837" s="102" t="str">
        <f t="shared" si="192"/>
        <v/>
      </c>
      <c r="Z837" s="76"/>
    </row>
    <row r="838" spans="1:26" s="29" customFormat="1" ht="27.75" customHeight="1" x14ac:dyDescent="0.2">
      <c r="A838" s="30"/>
      <c r="B838" s="56" t="s">
        <v>68</v>
      </c>
      <c r="C838" s="39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F838" s="48" t="s">
        <v>67</v>
      </c>
      <c r="G838" s="43" t="str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/>
      </c>
      <c r="I838" s="382" t="s">
        <v>63</v>
      </c>
      <c r="J838" s="384"/>
      <c r="K838" s="57">
        <f>K836-K837</f>
        <v>0</v>
      </c>
      <c r="L838" s="58"/>
      <c r="N838" s="71"/>
      <c r="O838" s="72" t="s">
        <v>56</v>
      </c>
      <c r="P838" s="72"/>
      <c r="Q838" s="72"/>
      <c r="R838" s="72" t="str">
        <f t="shared" si="190"/>
        <v/>
      </c>
      <c r="S838" s="63"/>
      <c r="T838" s="72" t="s">
        <v>56</v>
      </c>
      <c r="U838" s="102" t="str">
        <f>IF($J$1="September",Y837,"")</f>
        <v/>
      </c>
      <c r="V838" s="74"/>
      <c r="W838" s="102" t="str">
        <f t="shared" si="191"/>
        <v/>
      </c>
      <c r="X838" s="74"/>
      <c r="Y838" s="102" t="str">
        <f t="shared" si="192"/>
        <v/>
      </c>
      <c r="Z838" s="76"/>
    </row>
    <row r="839" spans="1:26" s="29" customFormat="1" ht="27.75" customHeight="1" x14ac:dyDescent="0.2">
      <c r="A839" s="30"/>
      <c r="L839" s="46"/>
      <c r="N839" s="71"/>
      <c r="O839" s="72" t="s">
        <v>52</v>
      </c>
      <c r="P839" s="72"/>
      <c r="Q839" s="72"/>
      <c r="R839" s="72" t="str">
        <f t="shared" si="190"/>
        <v/>
      </c>
      <c r="S839" s="63"/>
      <c r="T839" s="72" t="s">
        <v>52</v>
      </c>
      <c r="U839" s="102" t="str">
        <f>IF($J$1="October",Y838,"")</f>
        <v/>
      </c>
      <c r="V839" s="74"/>
      <c r="W839" s="102" t="str">
        <f t="shared" si="191"/>
        <v/>
      </c>
      <c r="X839" s="74"/>
      <c r="Y839" s="102" t="str">
        <f t="shared" si="192"/>
        <v/>
      </c>
      <c r="Z839" s="76"/>
    </row>
    <row r="840" spans="1:26" s="29" customFormat="1" ht="27.75" customHeight="1" x14ac:dyDescent="0.2">
      <c r="A840" s="30"/>
      <c r="B840" s="396" t="s">
        <v>85</v>
      </c>
      <c r="C840" s="396"/>
      <c r="D840" s="396"/>
      <c r="E840" s="396"/>
      <c r="F840" s="396"/>
      <c r="G840" s="396"/>
      <c r="H840" s="396"/>
      <c r="I840" s="396"/>
      <c r="J840" s="396"/>
      <c r="K840" s="396"/>
      <c r="L840" s="46"/>
      <c r="N840" s="71"/>
      <c r="O840" s="72" t="s">
        <v>57</v>
      </c>
      <c r="P840" s="72"/>
      <c r="Q840" s="72"/>
      <c r="R840" s="72" t="str">
        <f t="shared" si="190"/>
        <v/>
      </c>
      <c r="S840" s="63"/>
      <c r="T840" s="72" t="s">
        <v>57</v>
      </c>
      <c r="U840" s="102" t="str">
        <f>IF($J$1="November",Y839,"")</f>
        <v/>
      </c>
      <c r="V840" s="74"/>
      <c r="W840" s="102" t="str">
        <f t="shared" si="191"/>
        <v/>
      </c>
      <c r="X840" s="74"/>
      <c r="Y840" s="102" t="str">
        <f t="shared" si="192"/>
        <v/>
      </c>
      <c r="Z840" s="76"/>
    </row>
    <row r="841" spans="1:26" s="29" customFormat="1" ht="27.75" customHeight="1" x14ac:dyDescent="0.2">
      <c r="A841" s="30"/>
      <c r="B841" s="396"/>
      <c r="C841" s="396"/>
      <c r="D841" s="396"/>
      <c r="E841" s="396"/>
      <c r="F841" s="396"/>
      <c r="G841" s="396"/>
      <c r="H841" s="396"/>
      <c r="I841" s="396"/>
      <c r="J841" s="396"/>
      <c r="K841" s="396"/>
      <c r="L841" s="46"/>
      <c r="N841" s="71"/>
      <c r="O841" s="72" t="s">
        <v>58</v>
      </c>
      <c r="P841" s="72"/>
      <c r="Q841" s="72"/>
      <c r="R841" s="72" t="str">
        <f t="shared" si="190"/>
        <v/>
      </c>
      <c r="S841" s="63"/>
      <c r="T841" s="72" t="s">
        <v>58</v>
      </c>
      <c r="U841" s="102" t="str">
        <f>IF($J$1="Dec",Y840,"")</f>
        <v/>
      </c>
      <c r="V841" s="74"/>
      <c r="W841" s="102" t="str">
        <f t="shared" si="191"/>
        <v/>
      </c>
      <c r="X841" s="74"/>
      <c r="Y841" s="102" t="str">
        <f t="shared" si="192"/>
        <v/>
      </c>
      <c r="Z841" s="76"/>
    </row>
    <row r="842" spans="1:26" s="29" customFormat="1" ht="27.75" customHeight="1" thickBot="1" x14ac:dyDescent="0.25">
      <c r="A842" s="5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1"/>
      <c r="N842" s="77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9"/>
    </row>
    <row r="843" spans="1:26" s="29" customFormat="1" ht="27.75" customHeight="1" x14ac:dyDescent="0.2"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s="29" customFormat="1" ht="27.75" customHeight="1" x14ac:dyDescent="0.2"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s="29" customFormat="1" ht="27.75" customHeight="1" x14ac:dyDescent="0.2"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27.75" customHeight="1" x14ac:dyDescent="0.25"/>
    <row r="847" spans="1:26" ht="27.75" customHeight="1" x14ac:dyDescent="0.25"/>
    <row r="848" spans="1:26" ht="27.75" customHeight="1" x14ac:dyDescent="0.25"/>
    <row r="849" ht="27.75" customHeight="1" x14ac:dyDescent="0.25"/>
    <row r="850" ht="27.75" customHeight="1" x14ac:dyDescent="0.25"/>
    <row r="851" ht="27.75" customHeight="1" x14ac:dyDescent="0.25"/>
    <row r="852" ht="27.75" customHeight="1" x14ac:dyDescent="0.25"/>
    <row r="853" ht="27.75" customHeight="1" x14ac:dyDescent="0.25"/>
    <row r="854" ht="27.75" customHeight="1" x14ac:dyDescent="0.25"/>
    <row r="855" ht="27.75" customHeight="1" x14ac:dyDescent="0.25"/>
    <row r="856" ht="27.75" customHeight="1" x14ac:dyDescent="0.25"/>
    <row r="857" ht="27.75" customHeight="1" x14ac:dyDescent="0.25"/>
    <row r="858" ht="27.75" customHeight="1" x14ac:dyDescent="0.25"/>
    <row r="859" ht="27.75" customHeight="1" x14ac:dyDescent="0.25"/>
    <row r="860" ht="27.75" customHeight="1" x14ac:dyDescent="0.25"/>
    <row r="861" ht="27.75" customHeight="1" x14ac:dyDescent="0.25"/>
  </sheetData>
  <mergeCells count="618">
    <mergeCell ref="I206:K206"/>
    <mergeCell ref="I725:J725"/>
    <mergeCell ref="I726:J726"/>
    <mergeCell ref="B728:K729"/>
    <mergeCell ref="I527:J527"/>
    <mergeCell ref="I242:J242"/>
    <mergeCell ref="A502:L502"/>
    <mergeCell ref="B448:C448"/>
    <mergeCell ref="I693:J693"/>
    <mergeCell ref="I694:J694"/>
    <mergeCell ref="I286:J286"/>
    <mergeCell ref="F688:G688"/>
    <mergeCell ref="I617:J617"/>
    <mergeCell ref="I616:J616"/>
    <mergeCell ref="I257:J257"/>
    <mergeCell ref="A262:L262"/>
    <mergeCell ref="C717:F717"/>
    <mergeCell ref="C323:F323"/>
    <mergeCell ref="I285:J285"/>
    <mergeCell ref="I330:J330"/>
    <mergeCell ref="F341:G341"/>
    <mergeCell ref="C638:F638"/>
    <mergeCell ref="C233:F233"/>
    <mergeCell ref="B238:C238"/>
    <mergeCell ref="H813:I813"/>
    <mergeCell ref="C533:F533"/>
    <mergeCell ref="I510:J510"/>
    <mergeCell ref="I512:J512"/>
    <mergeCell ref="B808:K809"/>
    <mergeCell ref="C797:F797"/>
    <mergeCell ref="H797:I797"/>
    <mergeCell ref="I724:J724"/>
    <mergeCell ref="C780:F780"/>
    <mergeCell ref="A592:L592"/>
    <mergeCell ref="I773:J773"/>
    <mergeCell ref="I581:K581"/>
    <mergeCell ref="C578:F578"/>
    <mergeCell ref="H578:I578"/>
    <mergeCell ref="A732:L732"/>
    <mergeCell ref="H548:I548"/>
    <mergeCell ref="I572:J572"/>
    <mergeCell ref="H685:I685"/>
    <mergeCell ref="A684:L684"/>
    <mergeCell ref="B643:C643"/>
    <mergeCell ref="A700:L700"/>
    <mergeCell ref="C733:F733"/>
    <mergeCell ref="I708:J708"/>
    <mergeCell ref="T412:Y412"/>
    <mergeCell ref="I467:J467"/>
    <mergeCell ref="B493:C493"/>
    <mergeCell ref="C458:F458"/>
    <mergeCell ref="A622:L622"/>
    <mergeCell ref="O547:R547"/>
    <mergeCell ref="T487:Y487"/>
    <mergeCell ref="T442:Y442"/>
    <mergeCell ref="O487:R487"/>
    <mergeCell ref="T547:Y547"/>
    <mergeCell ref="I540:J540"/>
    <mergeCell ref="T457:Y457"/>
    <mergeCell ref="T517:Y517"/>
    <mergeCell ref="T502:Y502"/>
    <mergeCell ref="F551:G551"/>
    <mergeCell ref="I551:K551"/>
    <mergeCell ref="H593:I593"/>
    <mergeCell ref="I586:J586"/>
    <mergeCell ref="A607:L607"/>
    <mergeCell ref="F832:G832"/>
    <mergeCell ref="B508:C508"/>
    <mergeCell ref="I120:J120"/>
    <mergeCell ref="O472:R472"/>
    <mergeCell ref="I632:J632"/>
    <mergeCell ref="B840:K841"/>
    <mergeCell ref="I566:K566"/>
    <mergeCell ref="F476:G476"/>
    <mergeCell ref="O502:R502"/>
    <mergeCell ref="I121:J121"/>
    <mergeCell ref="A292:L292"/>
    <mergeCell ref="B313:C313"/>
    <mergeCell ref="C308:F308"/>
    <mergeCell ref="F431:G431"/>
    <mergeCell ref="I600:J600"/>
    <mergeCell ref="I461:K461"/>
    <mergeCell ref="A517:L517"/>
    <mergeCell ref="B598:C598"/>
    <mergeCell ref="I601:J601"/>
    <mergeCell ref="A562:L562"/>
    <mergeCell ref="F566:G566"/>
    <mergeCell ref="A382:L382"/>
    <mergeCell ref="F536:G536"/>
    <mergeCell ref="I536:K536"/>
    <mergeCell ref="B834:C834"/>
    <mergeCell ref="T607:Y607"/>
    <mergeCell ref="T202:Y202"/>
    <mergeCell ref="O700:R700"/>
    <mergeCell ref="O442:R442"/>
    <mergeCell ref="F446:G446"/>
    <mergeCell ref="I451:J451"/>
    <mergeCell ref="O412:R412"/>
    <mergeCell ref="F704:G704"/>
    <mergeCell ref="I704:K704"/>
    <mergeCell ref="F356:G356"/>
    <mergeCell ref="I356:K356"/>
    <mergeCell ref="I482:J482"/>
    <mergeCell ref="A577:L577"/>
    <mergeCell ref="A637:L637"/>
    <mergeCell ref="B463:C463"/>
    <mergeCell ref="F491:G491"/>
    <mergeCell ref="I495:J495"/>
    <mergeCell ref="I496:J496"/>
    <mergeCell ref="C593:F593"/>
    <mergeCell ref="I497:J497"/>
    <mergeCell ref="B680:K681"/>
    <mergeCell ref="B658:C658"/>
    <mergeCell ref="F656:G656"/>
    <mergeCell ref="T217:Y217"/>
    <mergeCell ref="T187:Y187"/>
    <mergeCell ref="I678:J678"/>
    <mergeCell ref="C188:F188"/>
    <mergeCell ref="H188:I188"/>
    <mergeCell ref="H669:I669"/>
    <mergeCell ref="F672:G672"/>
    <mergeCell ref="I672:K672"/>
    <mergeCell ref="I197:J197"/>
    <mergeCell ref="I677:J677"/>
    <mergeCell ref="B193:C193"/>
    <mergeCell ref="T668:Y668"/>
    <mergeCell ref="I676:J676"/>
    <mergeCell ref="I602:J602"/>
    <mergeCell ref="F596:G596"/>
    <mergeCell ref="T532:Y532"/>
    <mergeCell ref="B253:C253"/>
    <mergeCell ref="I645:J645"/>
    <mergeCell ref="T622:Y622"/>
    <mergeCell ref="H203:I203"/>
    <mergeCell ref="C203:F203"/>
    <mergeCell ref="O202:R202"/>
    <mergeCell ref="T232:Y232"/>
    <mergeCell ref="T307:Y307"/>
    <mergeCell ref="T716:Y716"/>
    <mergeCell ref="T472:Y472"/>
    <mergeCell ref="B538:C538"/>
    <mergeCell ref="I570:J570"/>
    <mergeCell ref="H128:I128"/>
    <mergeCell ref="C1:I1"/>
    <mergeCell ref="I692:J692"/>
    <mergeCell ref="B178:C178"/>
    <mergeCell ref="I41:K41"/>
    <mergeCell ref="F56:G56"/>
    <mergeCell ref="I596:K596"/>
    <mergeCell ref="C38:F38"/>
    <mergeCell ref="B43:C43"/>
    <mergeCell ref="I45:J45"/>
    <mergeCell ref="I212:J212"/>
    <mergeCell ref="H173:I173"/>
    <mergeCell ref="F176:G176"/>
    <mergeCell ref="I176:K176"/>
    <mergeCell ref="F611:G611"/>
    <mergeCell ref="H608:I608"/>
    <mergeCell ref="I688:K688"/>
    <mergeCell ref="I60:J60"/>
    <mergeCell ref="C83:F83"/>
    <mergeCell ref="A187:L187"/>
    <mergeCell ref="B58:C58"/>
    <mergeCell ref="A127:L127"/>
    <mergeCell ref="C143:F143"/>
    <mergeCell ref="C53:F53"/>
    <mergeCell ref="I167:J167"/>
    <mergeCell ref="B208:C208"/>
    <mergeCell ref="I226:J226"/>
    <mergeCell ref="I56:K56"/>
    <mergeCell ref="I491:K491"/>
    <mergeCell ref="I345:J345"/>
    <mergeCell ref="H488:I488"/>
    <mergeCell ref="I287:J287"/>
    <mergeCell ref="F281:G281"/>
    <mergeCell ref="F461:G461"/>
    <mergeCell ref="I465:J465"/>
    <mergeCell ref="I466:J466"/>
    <mergeCell ref="H428:I428"/>
    <mergeCell ref="I301:J301"/>
    <mergeCell ref="I165:J165"/>
    <mergeCell ref="I166:J166"/>
    <mergeCell ref="A142:L142"/>
    <mergeCell ref="F131:G131"/>
    <mergeCell ref="I131:K131"/>
    <mergeCell ref="B133:C133"/>
    <mergeCell ref="I150:J150"/>
    <mergeCell ref="I151:J151"/>
    <mergeCell ref="I152:J152"/>
    <mergeCell ref="C128:F128"/>
    <mergeCell ref="O127:R127"/>
    <mergeCell ref="T142:Y142"/>
    <mergeCell ref="I191:K191"/>
    <mergeCell ref="I182:J182"/>
    <mergeCell ref="F41:G41"/>
    <mergeCell ref="I181:J181"/>
    <mergeCell ref="A172:L172"/>
    <mergeCell ref="B163:C163"/>
    <mergeCell ref="H113:I113"/>
    <mergeCell ref="A112:L112"/>
    <mergeCell ref="B148:C148"/>
    <mergeCell ref="I46:J46"/>
    <mergeCell ref="I47:J47"/>
    <mergeCell ref="I122:J122"/>
    <mergeCell ref="C113:F113"/>
    <mergeCell ref="T172:Y172"/>
    <mergeCell ref="C173:F173"/>
    <mergeCell ref="O157:R157"/>
    <mergeCell ref="I180:J180"/>
    <mergeCell ref="C158:F158"/>
    <mergeCell ref="H158:I158"/>
    <mergeCell ref="A157:L157"/>
    <mergeCell ref="F206:G206"/>
    <mergeCell ref="F251:G251"/>
    <mergeCell ref="T82:Y82"/>
    <mergeCell ref="T157:Y157"/>
    <mergeCell ref="I101:K101"/>
    <mergeCell ref="B103:C103"/>
    <mergeCell ref="C98:F98"/>
    <mergeCell ref="A202:L202"/>
    <mergeCell ref="O82:R82"/>
    <mergeCell ref="A232:L232"/>
    <mergeCell ref="O217:R217"/>
    <mergeCell ref="T127:Y127"/>
    <mergeCell ref="H98:I98"/>
    <mergeCell ref="I107:J107"/>
    <mergeCell ref="T247:Y247"/>
    <mergeCell ref="B118:C118"/>
    <mergeCell ref="H143:I143"/>
    <mergeCell ref="F146:G146"/>
    <mergeCell ref="I146:K146"/>
    <mergeCell ref="F86:G86"/>
    <mergeCell ref="I86:K86"/>
    <mergeCell ref="I116:K116"/>
    <mergeCell ref="O112:R112"/>
    <mergeCell ref="A442:L442"/>
    <mergeCell ref="I431:K431"/>
    <mergeCell ref="H353:I353"/>
    <mergeCell ref="I360:J360"/>
    <mergeCell ref="I315:J315"/>
    <mergeCell ref="I300:J300"/>
    <mergeCell ref="F326:G326"/>
    <mergeCell ref="I376:J376"/>
    <mergeCell ref="B373:C373"/>
    <mergeCell ref="I302:J302"/>
    <mergeCell ref="B343:C343"/>
    <mergeCell ref="B358:C358"/>
    <mergeCell ref="C218:F218"/>
    <mergeCell ref="I241:J241"/>
    <mergeCell ref="F221:G221"/>
    <mergeCell ref="A307:L307"/>
    <mergeCell ref="I270:J270"/>
    <mergeCell ref="I271:J271"/>
    <mergeCell ref="I272:J272"/>
    <mergeCell ref="H278:I278"/>
    <mergeCell ref="H293:I293"/>
    <mergeCell ref="C248:F248"/>
    <mergeCell ref="I266:K266"/>
    <mergeCell ref="T262:Y262"/>
    <mergeCell ref="T397:Y397"/>
    <mergeCell ref="I391:J391"/>
    <mergeCell ref="O307:R307"/>
    <mergeCell ref="O352:R352"/>
    <mergeCell ref="I437:J437"/>
    <mergeCell ref="C428:F428"/>
    <mergeCell ref="I255:J255"/>
    <mergeCell ref="H323:I323"/>
    <mergeCell ref="C338:F338"/>
    <mergeCell ref="I317:J317"/>
    <mergeCell ref="I362:J362"/>
    <mergeCell ref="I420:J420"/>
    <mergeCell ref="I421:J421"/>
    <mergeCell ref="F416:G416"/>
    <mergeCell ref="O292:R292"/>
    <mergeCell ref="F311:G311"/>
    <mergeCell ref="I256:J256"/>
    <mergeCell ref="I416:K416"/>
    <mergeCell ref="O397:R397"/>
    <mergeCell ref="I405:J405"/>
    <mergeCell ref="I406:J406"/>
    <mergeCell ref="A322:L322"/>
    <mergeCell ref="H338:I338"/>
    <mergeCell ref="I332:J332"/>
    <mergeCell ref="A277:L277"/>
    <mergeCell ref="I281:K281"/>
    <mergeCell ref="I251:K251"/>
    <mergeCell ref="H218:I218"/>
    <mergeCell ref="B268:C268"/>
    <mergeCell ref="C293:F293"/>
    <mergeCell ref="O247:R247"/>
    <mergeCell ref="I221:K221"/>
    <mergeCell ref="B223:C223"/>
    <mergeCell ref="I225:J225"/>
    <mergeCell ref="B283:C283"/>
    <mergeCell ref="I542:J542"/>
    <mergeCell ref="C548:F548"/>
    <mergeCell ref="B388:C388"/>
    <mergeCell ref="B433:C433"/>
    <mergeCell ref="I361:J361"/>
    <mergeCell ref="I392:J392"/>
    <mergeCell ref="C413:F413"/>
    <mergeCell ref="A472:L472"/>
    <mergeCell ref="C473:F473"/>
    <mergeCell ref="C416:E416"/>
    <mergeCell ref="A532:L532"/>
    <mergeCell ref="I511:J511"/>
    <mergeCell ref="T352:Y352"/>
    <mergeCell ref="C353:F353"/>
    <mergeCell ref="O716:R716"/>
    <mergeCell ref="H413:I413"/>
    <mergeCell ref="I662:J662"/>
    <mergeCell ref="I660:J660"/>
    <mergeCell ref="O427:R427"/>
    <mergeCell ref="O367:R367"/>
    <mergeCell ref="A367:L367"/>
    <mergeCell ref="I401:K401"/>
    <mergeCell ref="B403:C403"/>
    <mergeCell ref="I390:J390"/>
    <mergeCell ref="I630:J630"/>
    <mergeCell ref="I481:J481"/>
    <mergeCell ref="C623:F623"/>
    <mergeCell ref="C398:F398"/>
    <mergeCell ref="H398:I398"/>
    <mergeCell ref="F401:G401"/>
    <mergeCell ref="B613:C613"/>
    <mergeCell ref="I435:J435"/>
    <mergeCell ref="I436:J436"/>
    <mergeCell ref="I476:K476"/>
    <mergeCell ref="C608:F608"/>
    <mergeCell ref="I641:K641"/>
    <mergeCell ref="I838:J838"/>
    <mergeCell ref="B712:K713"/>
    <mergeCell ref="I709:J709"/>
    <mergeCell ref="B775:K776"/>
    <mergeCell ref="I710:J710"/>
    <mergeCell ref="I832:K832"/>
    <mergeCell ref="B418:C418"/>
    <mergeCell ref="B706:C706"/>
    <mergeCell ref="C829:F829"/>
    <mergeCell ref="I720:K720"/>
    <mergeCell ref="H701:I701"/>
    <mergeCell ref="I821:J821"/>
    <mergeCell ref="I822:J822"/>
    <mergeCell ref="C813:F813"/>
    <mergeCell ref="A652:L652"/>
    <mergeCell ref="I631:J631"/>
    <mergeCell ref="H764:I764"/>
    <mergeCell ref="B785:C785"/>
    <mergeCell ref="B760:K761"/>
    <mergeCell ref="I787:J787"/>
    <mergeCell ref="I789:J789"/>
    <mergeCell ref="C563:F563"/>
    <mergeCell ref="H563:I563"/>
    <mergeCell ref="H829:I829"/>
    <mergeCell ref="T700:Y700"/>
    <mergeCell ref="A716:L716"/>
    <mergeCell ref="B722:C722"/>
    <mergeCell ref="A828:L828"/>
    <mergeCell ref="A748:L748"/>
    <mergeCell ref="H749:I749"/>
    <mergeCell ref="C764:F764"/>
    <mergeCell ref="I736:K736"/>
    <mergeCell ref="A812:L812"/>
    <mergeCell ref="B818:C818"/>
    <mergeCell ref="I805:J805"/>
    <mergeCell ref="A796:L796"/>
    <mergeCell ref="B802:C802"/>
    <mergeCell ref="B769:C769"/>
    <mergeCell ref="I771:J771"/>
    <mergeCell ref="F736:G736"/>
    <mergeCell ref="I752:K752"/>
    <mergeCell ref="F752:G752"/>
    <mergeCell ref="I788:J788"/>
    <mergeCell ref="B744:K745"/>
    <mergeCell ref="A763:L763"/>
    <mergeCell ref="I800:K800"/>
    <mergeCell ref="F816:G816"/>
    <mergeCell ref="I756:J756"/>
    <mergeCell ref="O7:R7"/>
    <mergeCell ref="A7:L7"/>
    <mergeCell ref="O262:R262"/>
    <mergeCell ref="I196:J196"/>
    <mergeCell ref="I227:J227"/>
    <mergeCell ref="I105:J105"/>
    <mergeCell ref="H233:I233"/>
    <mergeCell ref="F236:G236"/>
    <mergeCell ref="I236:K236"/>
    <mergeCell ref="I92:J92"/>
    <mergeCell ref="F191:G191"/>
    <mergeCell ref="I240:J240"/>
    <mergeCell ref="A97:L97"/>
    <mergeCell ref="I106:J106"/>
    <mergeCell ref="A247:L247"/>
    <mergeCell ref="O232:R232"/>
    <mergeCell ref="A217:L217"/>
    <mergeCell ref="H248:I248"/>
    <mergeCell ref="O22:R22"/>
    <mergeCell ref="I61:J61"/>
    <mergeCell ref="A52:L52"/>
    <mergeCell ref="H38:I38"/>
    <mergeCell ref="I211:J211"/>
    <mergeCell ref="I210:J210"/>
    <mergeCell ref="O812:R812"/>
    <mergeCell ref="F296:G296"/>
    <mergeCell ref="I296:K296"/>
    <mergeCell ref="B298:C298"/>
    <mergeCell ref="I346:J346"/>
    <mergeCell ref="I347:J347"/>
    <mergeCell ref="B738:C738"/>
    <mergeCell ref="I758:J758"/>
    <mergeCell ref="I541:J541"/>
    <mergeCell ref="F800:G800"/>
    <mergeCell ref="I326:K326"/>
    <mergeCell ref="O684:R684"/>
    <mergeCell ref="O457:R457"/>
    <mergeCell ref="I316:J316"/>
    <mergeCell ref="F581:G581"/>
    <mergeCell ref="F386:G386"/>
    <mergeCell ref="I386:K386"/>
    <mergeCell ref="A352:L352"/>
    <mergeCell ref="A668:L668"/>
    <mergeCell ref="O577:R577"/>
    <mergeCell ref="A337:L337"/>
    <mergeCell ref="I311:K311"/>
    <mergeCell ref="I341:K341"/>
    <mergeCell ref="I741:J741"/>
    <mergeCell ref="O796:R796"/>
    <mergeCell ref="I772:J772"/>
    <mergeCell ref="A412:L412"/>
    <mergeCell ref="O748:R748"/>
    <mergeCell ref="H653:I653"/>
    <mergeCell ref="I452:J452"/>
    <mergeCell ref="H473:I473"/>
    <mergeCell ref="O592:R592"/>
    <mergeCell ref="O652:R652"/>
    <mergeCell ref="I422:J422"/>
    <mergeCell ref="I656:K656"/>
    <mergeCell ref="B553:C553"/>
    <mergeCell ref="I555:J555"/>
    <mergeCell ref="I556:J556"/>
    <mergeCell ref="B583:C583"/>
    <mergeCell ref="A457:L457"/>
    <mergeCell ref="C749:F749"/>
    <mergeCell ref="B478:C478"/>
    <mergeCell ref="I767:K767"/>
    <mergeCell ref="H733:I733"/>
    <mergeCell ref="I626:K626"/>
    <mergeCell ref="O562:R562"/>
    <mergeCell ref="F626:G626"/>
    <mergeCell ref="I783:K783"/>
    <mergeCell ref="T732:Y732"/>
    <mergeCell ref="B754:C754"/>
    <mergeCell ref="B568:C568"/>
    <mergeCell ref="F641:G641"/>
    <mergeCell ref="B690:C690"/>
    <mergeCell ref="H623:I623"/>
    <mergeCell ref="T748:Y748"/>
    <mergeCell ref="T592:Y592"/>
    <mergeCell ref="T779:Y779"/>
    <mergeCell ref="O779:R779"/>
    <mergeCell ref="I757:J757"/>
    <mergeCell ref="O732:R732"/>
    <mergeCell ref="T637:Y637"/>
    <mergeCell ref="I740:J740"/>
    <mergeCell ref="I587:J587"/>
    <mergeCell ref="O622:R622"/>
    <mergeCell ref="I661:J661"/>
    <mergeCell ref="B696:K697"/>
    <mergeCell ref="T763:Y763"/>
    <mergeCell ref="O607:R607"/>
    <mergeCell ref="O637:R637"/>
    <mergeCell ref="T684:Y684"/>
    <mergeCell ref="T652:Y652"/>
    <mergeCell ref="C653:F653"/>
    <mergeCell ref="I837:J837"/>
    <mergeCell ref="I77:J77"/>
    <mergeCell ref="I742:J742"/>
    <mergeCell ref="A779:L779"/>
    <mergeCell ref="C278:F278"/>
    <mergeCell ref="I615:J615"/>
    <mergeCell ref="I611:K611"/>
    <mergeCell ref="C488:F488"/>
    <mergeCell ref="H263:I263"/>
    <mergeCell ref="C503:F503"/>
    <mergeCell ref="C263:F263"/>
    <mergeCell ref="I806:J806"/>
    <mergeCell ref="I836:J836"/>
    <mergeCell ref="F266:G266"/>
    <mergeCell ref="I90:J90"/>
    <mergeCell ref="H368:I368"/>
    <mergeCell ref="F371:G371"/>
    <mergeCell ref="I91:J91"/>
    <mergeCell ref="C685:F685"/>
    <mergeCell ref="F783:G783"/>
    <mergeCell ref="A82:L82"/>
    <mergeCell ref="F116:G116"/>
    <mergeCell ref="I407:J407"/>
    <mergeCell ref="C701:F701"/>
    <mergeCell ref="O67:R67"/>
    <mergeCell ref="A67:L67"/>
    <mergeCell ref="C669:F669"/>
    <mergeCell ref="O322:R322"/>
    <mergeCell ref="H503:I503"/>
    <mergeCell ref="F506:G506"/>
    <mergeCell ref="I506:K506"/>
    <mergeCell ref="B674:C674"/>
    <mergeCell ref="O382:R382"/>
    <mergeCell ref="C383:F383"/>
    <mergeCell ref="H383:I383"/>
    <mergeCell ref="I480:J480"/>
    <mergeCell ref="O187:R187"/>
    <mergeCell ref="I195:J195"/>
    <mergeCell ref="I446:K446"/>
    <mergeCell ref="O337:R337"/>
    <mergeCell ref="B73:C73"/>
    <mergeCell ref="O97:R97"/>
    <mergeCell ref="B328:C328"/>
    <mergeCell ref="I450:J450"/>
    <mergeCell ref="I331:J331"/>
    <mergeCell ref="I375:J375"/>
    <mergeCell ref="A397:L397"/>
    <mergeCell ref="H458:I458"/>
    <mergeCell ref="T828:Y828"/>
    <mergeCell ref="T812:Y812"/>
    <mergeCell ref="T577:Y577"/>
    <mergeCell ref="T562:Y562"/>
    <mergeCell ref="I820:J820"/>
    <mergeCell ref="I525:J525"/>
    <mergeCell ref="I526:J526"/>
    <mergeCell ref="I816:K816"/>
    <mergeCell ref="I585:J585"/>
    <mergeCell ref="B824:K825"/>
    <mergeCell ref="I571:J571"/>
    <mergeCell ref="O532:R532"/>
    <mergeCell ref="O828:R828"/>
    <mergeCell ref="I804:J804"/>
    <mergeCell ref="F767:G767"/>
    <mergeCell ref="H780:I780"/>
    <mergeCell ref="H717:I717"/>
    <mergeCell ref="F720:G720"/>
    <mergeCell ref="O763:R763"/>
    <mergeCell ref="B664:K665"/>
    <mergeCell ref="I646:J646"/>
    <mergeCell ref="B628:C628"/>
    <mergeCell ref="O668:R668"/>
    <mergeCell ref="T796:Y796"/>
    <mergeCell ref="T7:Y7"/>
    <mergeCell ref="I30:J30"/>
    <mergeCell ref="I31:J31"/>
    <mergeCell ref="I647:J647"/>
    <mergeCell ref="A547:L547"/>
    <mergeCell ref="I557:J557"/>
    <mergeCell ref="C443:F443"/>
    <mergeCell ref="C518:F518"/>
    <mergeCell ref="H518:I518"/>
    <mergeCell ref="F521:G521"/>
    <mergeCell ref="H308:I308"/>
    <mergeCell ref="B523:C523"/>
    <mergeCell ref="I521:K521"/>
    <mergeCell ref="T427:Y427"/>
    <mergeCell ref="C368:F368"/>
    <mergeCell ref="I377:J377"/>
    <mergeCell ref="A427:L427"/>
    <mergeCell ref="H638:I638"/>
    <mergeCell ref="H533:I533"/>
    <mergeCell ref="A487:L487"/>
    <mergeCell ref="O517:R517"/>
    <mergeCell ref="H443:I44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T112:Y112"/>
    <mergeCell ref="C68:F68"/>
    <mergeCell ref="H68:I68"/>
    <mergeCell ref="F71:G71"/>
    <mergeCell ref="O37:R37"/>
    <mergeCell ref="B88:C88"/>
    <mergeCell ref="O52:R52"/>
    <mergeCell ref="T52:Y52"/>
    <mergeCell ref="T37:Y37"/>
    <mergeCell ref="I32:J32"/>
    <mergeCell ref="A37:L37"/>
    <mergeCell ref="I62:J62"/>
    <mergeCell ref="I76:J76"/>
    <mergeCell ref="H83:I83"/>
    <mergeCell ref="I75:J75"/>
    <mergeCell ref="H53:I53"/>
    <mergeCell ref="T382:Y382"/>
    <mergeCell ref="B28:C28"/>
    <mergeCell ref="I26:K26"/>
    <mergeCell ref="H23:I23"/>
    <mergeCell ref="C23:F23"/>
    <mergeCell ref="F26:G26"/>
    <mergeCell ref="I371:K371"/>
    <mergeCell ref="I71:K71"/>
    <mergeCell ref="T67:Y67"/>
    <mergeCell ref="T337:Y337"/>
    <mergeCell ref="T322:Y322"/>
    <mergeCell ref="T97:Y97"/>
    <mergeCell ref="T292:Y292"/>
    <mergeCell ref="T367:Y367"/>
    <mergeCell ref="F101:G101"/>
    <mergeCell ref="F161:G161"/>
    <mergeCell ref="I161:K161"/>
    <mergeCell ref="O142:R142"/>
    <mergeCell ref="I135:J135"/>
    <mergeCell ref="I136:J136"/>
    <mergeCell ref="I137:J137"/>
    <mergeCell ref="O172:R172"/>
    <mergeCell ref="T277:Y277"/>
    <mergeCell ref="O277:R277"/>
  </mergeCells>
  <phoneticPr fontId="3" type="noConversion"/>
  <printOptions horizontalCentered="1"/>
  <pageMargins left="0" right="0" top="0.25" bottom="1" header="0.5" footer="0.5"/>
  <pageSetup paperSize="37" scale="43" fitToHeight="0" orientation="landscape" r:id="rId1"/>
  <headerFooter alignWithMargins="0"/>
  <rowBreaks count="42" manualBreakCount="42">
    <brk id="20" max="16383" man="1"/>
    <brk id="35" max="11" man="1"/>
    <brk id="50" max="11" man="1"/>
    <brk id="65" max="11" man="1"/>
    <brk id="80" max="11" man="1"/>
    <brk id="95" max="11" man="1"/>
    <brk id="110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305" max="11" man="1"/>
    <brk id="335" max="11" man="1"/>
    <brk id="350" max="11" man="1"/>
    <brk id="365" max="11" man="1"/>
    <brk id="380" max="11" man="1"/>
    <brk id="395" max="11" man="1"/>
    <brk id="410" max="11" man="1"/>
    <brk id="425" max="11" man="1"/>
    <brk id="440" max="11" man="1"/>
    <brk id="455" max="11" man="1"/>
    <brk id="470" max="11" man="1"/>
    <brk id="485" max="11" man="1"/>
    <brk id="500" max="11" man="1"/>
    <brk id="515" max="11" man="1"/>
    <brk id="530" max="11" man="1"/>
    <brk id="545" max="11" man="1"/>
    <brk id="560" max="11" man="1"/>
    <brk id="575" max="11" man="1"/>
    <brk id="590" max="11" man="1"/>
    <brk id="605" max="11" man="1"/>
    <brk id="620" max="11" man="1"/>
    <brk id="635" max="11" man="1"/>
    <brk id="650" max="11" man="1"/>
    <brk id="698" max="11" man="1"/>
    <brk id="73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8" t="s">
        <v>142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</row>
    <row r="2" spans="1:26" ht="48.75" customHeight="1" x14ac:dyDescent="0.2">
      <c r="A2" s="152" t="s">
        <v>96</v>
      </c>
      <c r="B2" s="153" t="s">
        <v>111</v>
      </c>
      <c r="C2" s="153" t="s">
        <v>109</v>
      </c>
      <c r="D2" s="153" t="s">
        <v>110</v>
      </c>
      <c r="E2" s="153" t="s">
        <v>112</v>
      </c>
      <c r="F2" s="153" t="s">
        <v>113</v>
      </c>
      <c r="G2" s="153" t="s">
        <v>114</v>
      </c>
      <c r="H2" s="154" t="s">
        <v>115</v>
      </c>
      <c r="I2" s="154" t="s">
        <v>131</v>
      </c>
      <c r="J2" s="154" t="s">
        <v>138</v>
      </c>
      <c r="K2" s="154" t="s">
        <v>139</v>
      </c>
      <c r="L2" s="154" t="s">
        <v>140</v>
      </c>
      <c r="M2" s="154" t="s">
        <v>141</v>
      </c>
      <c r="N2" s="154" t="s">
        <v>148</v>
      </c>
      <c r="O2" s="154" t="s">
        <v>150</v>
      </c>
      <c r="P2" s="154" t="s">
        <v>155</v>
      </c>
      <c r="Q2" s="154" t="s">
        <v>156</v>
      </c>
      <c r="R2" s="158" t="s">
        <v>143</v>
      </c>
      <c r="S2" s="2"/>
      <c r="T2" s="14"/>
      <c r="U2" s="2"/>
      <c r="V2" s="2"/>
      <c r="W2" s="108"/>
      <c r="X2" s="2"/>
      <c r="Y2" s="2"/>
    </row>
    <row r="3" spans="1:26" ht="20.25" customHeight="1" x14ac:dyDescent="0.25">
      <c r="A3" s="156" t="s">
        <v>97</v>
      </c>
      <c r="B3" s="146">
        <v>100000</v>
      </c>
      <c r="C3" s="147">
        <v>100000</v>
      </c>
      <c r="D3" s="147">
        <v>100000</v>
      </c>
      <c r="E3" s="147">
        <v>100000</v>
      </c>
      <c r="F3" s="147">
        <v>100000</v>
      </c>
      <c r="G3" s="147">
        <v>100000</v>
      </c>
      <c r="H3" s="159">
        <v>100000</v>
      </c>
      <c r="I3" s="159">
        <v>100000</v>
      </c>
      <c r="J3" s="159">
        <v>100000</v>
      </c>
      <c r="K3" s="159">
        <v>0</v>
      </c>
      <c r="L3" s="159">
        <v>100000</v>
      </c>
      <c r="M3" s="159">
        <v>100000</v>
      </c>
      <c r="N3" s="159">
        <v>100000</v>
      </c>
      <c r="O3" s="159">
        <v>100000</v>
      </c>
      <c r="P3" s="159">
        <v>100000</v>
      </c>
      <c r="Q3" s="159">
        <v>100000</v>
      </c>
      <c r="R3" s="159">
        <f>Q3-P3</f>
        <v>0</v>
      </c>
      <c r="S3" s="2"/>
      <c r="T3" s="14"/>
      <c r="U3" s="2"/>
      <c r="V3" s="2"/>
      <c r="W3" s="108"/>
      <c r="X3" s="2"/>
      <c r="Y3" s="2"/>
      <c r="Z3" s="8"/>
    </row>
    <row r="4" spans="1:26" ht="20.25" customHeight="1" x14ac:dyDescent="0.25">
      <c r="A4" s="157" t="s">
        <v>36</v>
      </c>
      <c r="B4" s="148">
        <v>60000</v>
      </c>
      <c r="C4" s="149">
        <v>60000</v>
      </c>
      <c r="D4" s="149">
        <v>60000</v>
      </c>
      <c r="E4" s="149">
        <v>60000</v>
      </c>
      <c r="F4" s="149">
        <v>60000</v>
      </c>
      <c r="G4" s="149">
        <v>60000</v>
      </c>
      <c r="H4" s="160">
        <v>60000</v>
      </c>
      <c r="I4" s="160">
        <v>60000</v>
      </c>
      <c r="J4" s="160">
        <v>60000</v>
      </c>
      <c r="K4" s="160">
        <v>60000</v>
      </c>
      <c r="L4" s="159">
        <v>60000</v>
      </c>
      <c r="M4" s="159">
        <v>60000</v>
      </c>
      <c r="N4" s="159">
        <v>60000</v>
      </c>
      <c r="O4" s="159">
        <v>62000</v>
      </c>
      <c r="P4" s="159">
        <v>62000</v>
      </c>
      <c r="Q4" s="159">
        <v>62000</v>
      </c>
      <c r="R4" s="159">
        <f t="shared" ref="R4:R15" si="0">Q4-P4</f>
        <v>0</v>
      </c>
      <c r="S4" s="2"/>
      <c r="T4" s="108"/>
      <c r="U4" s="2"/>
      <c r="V4" s="2"/>
      <c r="W4" s="108"/>
      <c r="X4" s="2"/>
      <c r="Y4" s="2"/>
    </row>
    <row r="5" spans="1:26" ht="20.25" customHeight="1" x14ac:dyDescent="0.25">
      <c r="A5" s="155" t="s">
        <v>34</v>
      </c>
      <c r="B5" s="150">
        <v>73206</v>
      </c>
      <c r="C5" s="149">
        <v>87000</v>
      </c>
      <c r="D5" s="149">
        <v>65000</v>
      </c>
      <c r="E5" s="149">
        <v>67000</v>
      </c>
      <c r="F5" s="149">
        <v>65000</v>
      </c>
      <c r="G5" s="149">
        <v>66000</v>
      </c>
      <c r="H5" s="160">
        <v>88000</v>
      </c>
      <c r="I5" s="160">
        <v>103489.58333333333</v>
      </c>
      <c r="J5" s="160">
        <v>87822.580645161288</v>
      </c>
      <c r="K5" s="160">
        <v>84933.333333333328</v>
      </c>
      <c r="L5" s="159">
        <v>66000</v>
      </c>
      <c r="M5" s="159">
        <v>103483.87096774194</v>
      </c>
      <c r="N5" s="159">
        <v>118000</v>
      </c>
      <c r="O5" s="159">
        <v>117387.09677419355</v>
      </c>
      <c r="P5" s="159">
        <v>119000</v>
      </c>
      <c r="Q5" s="159">
        <v>94000</v>
      </c>
      <c r="R5" s="159">
        <f t="shared" si="0"/>
        <v>-25000</v>
      </c>
      <c r="S5" s="2"/>
      <c r="T5" s="108"/>
      <c r="U5" s="2"/>
      <c r="V5" s="2"/>
      <c r="W5" s="108"/>
      <c r="X5" s="2"/>
      <c r="Y5" s="2"/>
    </row>
    <row r="6" spans="1:26" ht="20.25" customHeight="1" x14ac:dyDescent="0.25">
      <c r="A6" s="155" t="s">
        <v>98</v>
      </c>
      <c r="B6" s="150">
        <v>147448.27586206896</v>
      </c>
      <c r="C6" s="149">
        <v>116709.67741935482</v>
      </c>
      <c r="D6" s="149">
        <v>32250</v>
      </c>
      <c r="E6" s="149">
        <v>32250</v>
      </c>
      <c r="F6" s="149">
        <v>32250</v>
      </c>
      <c r="G6" s="149">
        <v>32250</v>
      </c>
      <c r="H6" s="160">
        <v>32250</v>
      </c>
      <c r="I6" s="160">
        <v>29300</v>
      </c>
      <c r="J6" s="160">
        <v>31750</v>
      </c>
      <c r="K6" s="160">
        <v>40875</v>
      </c>
      <c r="L6" s="159">
        <v>31500</v>
      </c>
      <c r="M6" s="159">
        <v>31500</v>
      </c>
      <c r="N6" s="159">
        <v>31500</v>
      </c>
      <c r="O6" s="159">
        <v>31500</v>
      </c>
      <c r="P6" s="159">
        <f>'Salary Sheets'!Q27</f>
        <v>126000</v>
      </c>
      <c r="Q6" s="159">
        <v>37258.06451612903</v>
      </c>
      <c r="R6" s="159">
        <f t="shared" si="0"/>
        <v>-88741.93548387097</v>
      </c>
      <c r="S6" s="108"/>
      <c r="T6" s="14"/>
      <c r="U6" s="2"/>
      <c r="V6" s="2"/>
      <c r="W6" s="108"/>
      <c r="X6" s="2"/>
      <c r="Y6" s="2"/>
    </row>
    <row r="7" spans="1:26" ht="20.25" customHeight="1" x14ac:dyDescent="0.25">
      <c r="A7" s="155" t="s">
        <v>99</v>
      </c>
      <c r="B7" s="150">
        <v>132799.31034482759</v>
      </c>
      <c r="C7" s="149">
        <v>63387.096774193546</v>
      </c>
      <c r="D7" s="149">
        <v>41481.25</v>
      </c>
      <c r="E7" s="149">
        <v>53254.032258064515</v>
      </c>
      <c r="F7" s="149">
        <v>42143.75</v>
      </c>
      <c r="G7" s="149">
        <v>30919.354838709678</v>
      </c>
      <c r="H7" s="160">
        <v>35761.088709677424</v>
      </c>
      <c r="I7" s="160">
        <v>99415.625</v>
      </c>
      <c r="J7" s="160">
        <v>97959.677419354834</v>
      </c>
      <c r="K7" s="160">
        <v>54868.75</v>
      </c>
      <c r="L7" s="159">
        <v>52703.629032258061</v>
      </c>
      <c r="M7" s="159">
        <v>53987.145161290318</v>
      </c>
      <c r="N7" s="159">
        <v>92420.758928571435</v>
      </c>
      <c r="O7" s="159">
        <v>81163.548387096773</v>
      </c>
      <c r="P7" s="159">
        <v>72583.333333333328</v>
      </c>
      <c r="Q7" s="159">
        <v>75645.161290322576</v>
      </c>
      <c r="R7" s="159">
        <f t="shared" si="0"/>
        <v>3061.8279569892475</v>
      </c>
      <c r="S7" s="108"/>
      <c r="T7" s="14"/>
      <c r="U7" s="113"/>
      <c r="V7" s="113"/>
      <c r="W7" s="113"/>
      <c r="X7" s="113"/>
      <c r="Y7" s="2"/>
    </row>
    <row r="8" spans="1:26" ht="20.25" customHeight="1" x14ac:dyDescent="0.25">
      <c r="A8" s="155" t="s">
        <v>35</v>
      </c>
      <c r="B8" s="150">
        <v>372668.96551724145</v>
      </c>
      <c r="C8" s="149">
        <v>306071.05846774194</v>
      </c>
      <c r="D8" s="149">
        <v>205928.33333333331</v>
      </c>
      <c r="E8" s="149">
        <v>255428.46774193548</v>
      </c>
      <c r="F8" s="149">
        <v>285739.58333333343</v>
      </c>
      <c r="G8" s="149">
        <v>169628.98387096776</v>
      </c>
      <c r="H8" s="160">
        <v>214618.54838709679</v>
      </c>
      <c r="I8" s="160">
        <v>263865.91666666669</v>
      </c>
      <c r="J8" s="160">
        <v>288039.31451612909</v>
      </c>
      <c r="K8" s="160">
        <v>261683.95833333337</v>
      </c>
      <c r="L8" s="159">
        <v>193254.97580645161</v>
      </c>
      <c r="M8" s="159">
        <v>212582.85483870967</v>
      </c>
      <c r="N8" s="159">
        <v>232213.1696428571</v>
      </c>
      <c r="O8" s="159">
        <v>241484.47580645161</v>
      </c>
      <c r="P8" s="159">
        <f>'Salary Sheets'!Q46</f>
        <v>308965.72580645164</v>
      </c>
      <c r="Q8" s="159">
        <v>201483.87096774194</v>
      </c>
      <c r="R8" s="159">
        <f t="shared" si="0"/>
        <v>-107481.8548387097</v>
      </c>
      <c r="S8" s="108"/>
      <c r="T8" s="14"/>
      <c r="U8" s="2"/>
      <c r="V8" s="2"/>
      <c r="W8" s="108"/>
      <c r="X8" s="2"/>
      <c r="Y8" s="2"/>
    </row>
    <row r="9" spans="1:26" ht="20.25" customHeight="1" x14ac:dyDescent="0.25">
      <c r="A9" s="155" t="s">
        <v>100</v>
      </c>
      <c r="B9" s="150">
        <v>120506.03448275861</v>
      </c>
      <c r="C9" s="149">
        <v>131841.12903225809</v>
      </c>
      <c r="D9" s="149">
        <v>104362.49999999999</v>
      </c>
      <c r="E9" s="149">
        <v>104752.41935483871</v>
      </c>
      <c r="F9" s="149">
        <v>113883.33333333334</v>
      </c>
      <c r="G9" s="149">
        <v>105737.90322580645</v>
      </c>
      <c r="H9" s="160">
        <v>103883.06451612903</v>
      </c>
      <c r="I9" s="160">
        <v>109841.66666666667</v>
      </c>
      <c r="J9" s="160">
        <v>117032.25806451612</v>
      </c>
      <c r="K9" s="160">
        <v>105759.16666666667</v>
      </c>
      <c r="L9" s="159">
        <v>119633.06451612904</v>
      </c>
      <c r="M9" s="159">
        <v>122745.96774193548</v>
      </c>
      <c r="N9" s="159">
        <v>113383.92857142855</v>
      </c>
      <c r="O9" s="159">
        <v>100282.25806451612</v>
      </c>
      <c r="P9" s="159">
        <v>116254.16666666666</v>
      </c>
      <c r="Q9" s="159">
        <v>121334.67741935483</v>
      </c>
      <c r="R9" s="159">
        <f t="shared" si="0"/>
        <v>5080.5107526881766</v>
      </c>
      <c r="S9" s="108"/>
      <c r="T9" s="14"/>
      <c r="U9" s="2"/>
      <c r="V9" s="2"/>
      <c r="W9" s="108"/>
      <c r="X9" s="2"/>
      <c r="Y9" s="2"/>
      <c r="Z9" s="14"/>
    </row>
    <row r="10" spans="1:26" ht="20.25" customHeight="1" x14ac:dyDescent="0.25">
      <c r="A10" s="155" t="s">
        <v>101</v>
      </c>
      <c r="B10" s="150">
        <v>93330.732758620696</v>
      </c>
      <c r="C10" s="149">
        <v>87991.93548387097</v>
      </c>
      <c r="D10" s="149">
        <v>61687.5</v>
      </c>
      <c r="E10" s="149">
        <v>72469.354838709682</v>
      </c>
      <c r="F10" s="149">
        <v>92054.166666666672</v>
      </c>
      <c r="G10" s="149">
        <v>92983.870967741939</v>
      </c>
      <c r="H10" s="160">
        <v>95745.967741935485</v>
      </c>
      <c r="I10" s="160">
        <v>91266.666666666657</v>
      </c>
      <c r="J10" s="160">
        <v>82338.709677419363</v>
      </c>
      <c r="K10" s="160">
        <v>87658.333333333328</v>
      </c>
      <c r="L10" s="159">
        <v>98245.967741935485</v>
      </c>
      <c r="M10" s="159">
        <v>104427.41935483871</v>
      </c>
      <c r="N10" s="159">
        <v>89080.357142857145</v>
      </c>
      <c r="O10" s="159">
        <v>87447.580645161288</v>
      </c>
      <c r="P10" s="159">
        <v>92458.333333333343</v>
      </c>
      <c r="Q10" s="159">
        <v>89770.161290322576</v>
      </c>
      <c r="R10" s="159">
        <f t="shared" si="0"/>
        <v>-2688.1720430107671</v>
      </c>
      <c r="S10" s="108"/>
      <c r="T10" s="14"/>
      <c r="U10" s="8"/>
      <c r="V10" s="8"/>
      <c r="W10" s="128"/>
      <c r="X10" s="8"/>
      <c r="Y10" s="2"/>
      <c r="Z10" s="14"/>
    </row>
    <row r="11" spans="1:26" ht="20.25" customHeight="1" x14ac:dyDescent="0.25">
      <c r="A11" s="155" t="s">
        <v>102</v>
      </c>
      <c r="B11" s="150">
        <v>47469.310344827587</v>
      </c>
      <c r="C11" s="149">
        <v>29145.16129032258</v>
      </c>
      <c r="D11" s="149">
        <v>27083.333333333332</v>
      </c>
      <c r="E11" s="149">
        <v>28830.645161290322</v>
      </c>
      <c r="F11" s="149">
        <v>27083.333333333332</v>
      </c>
      <c r="G11" s="149">
        <v>29145.16129032258</v>
      </c>
      <c r="H11" s="160">
        <v>45596.774193548386</v>
      </c>
      <c r="I11" s="160">
        <v>45641.666666666672</v>
      </c>
      <c r="J11" s="160">
        <v>48903.225806451621</v>
      </c>
      <c r="K11" s="160">
        <v>39968.75</v>
      </c>
      <c r="L11" s="159">
        <v>48483.870967741939</v>
      </c>
      <c r="M11" s="159">
        <v>52201.612903225803</v>
      </c>
      <c r="N11" s="159">
        <v>67227.678571428565</v>
      </c>
      <c r="O11" s="159">
        <v>107939.51612903226</v>
      </c>
      <c r="P11" s="159">
        <v>81066.666666666672</v>
      </c>
      <c r="Q11" s="159">
        <v>84967.741935483878</v>
      </c>
      <c r="R11" s="159">
        <f t="shared" si="0"/>
        <v>3901.075268817207</v>
      </c>
      <c r="S11" s="108"/>
      <c r="T11" s="14"/>
      <c r="U11" s="2"/>
      <c r="V11" s="2"/>
      <c r="W11" s="108"/>
      <c r="X11" s="2"/>
      <c r="Y11" s="8"/>
    </row>
    <row r="12" spans="1:26" ht="36" customHeight="1" x14ac:dyDescent="0.25">
      <c r="A12" s="277" t="s">
        <v>154</v>
      </c>
      <c r="B12" s="150"/>
      <c r="C12" s="149"/>
      <c r="D12" s="149"/>
      <c r="E12" s="149"/>
      <c r="F12" s="149"/>
      <c r="G12" s="149"/>
      <c r="H12" s="160"/>
      <c r="I12" s="160"/>
      <c r="J12" s="160"/>
      <c r="K12" s="160"/>
      <c r="L12" s="159"/>
      <c r="M12" s="159"/>
      <c r="N12" s="159"/>
      <c r="O12" s="159"/>
      <c r="P12" s="159">
        <f>'Salary Sheets'!Q79</f>
        <v>314028.22580645158</v>
      </c>
      <c r="Q12" s="159">
        <v>254832.25806451612</v>
      </c>
      <c r="R12" s="159">
        <f t="shared" si="0"/>
        <v>-59195.967741935456</v>
      </c>
      <c r="S12" s="108"/>
      <c r="T12" s="14"/>
      <c r="U12" s="2"/>
      <c r="V12" s="2"/>
      <c r="W12" s="108"/>
      <c r="X12" s="2"/>
      <c r="Y12" s="8"/>
    </row>
    <row r="13" spans="1:26" ht="20.25" customHeight="1" x14ac:dyDescent="0.25">
      <c r="A13" s="155" t="s">
        <v>157</v>
      </c>
      <c r="B13" s="150"/>
      <c r="C13" s="149"/>
      <c r="D13" s="149"/>
      <c r="E13" s="149"/>
      <c r="F13" s="149"/>
      <c r="G13" s="149"/>
      <c r="H13" s="160"/>
      <c r="I13" s="160"/>
      <c r="J13" s="160"/>
      <c r="K13" s="160"/>
      <c r="L13" s="159"/>
      <c r="M13" s="159"/>
      <c r="N13" s="159"/>
      <c r="O13" s="159"/>
      <c r="P13" s="159" t="e">
        <f>'Salary Sheets'!#REF!</f>
        <v>#REF!</v>
      </c>
      <c r="Q13" s="159" t="e">
        <f>'Salary Sheets'!#REF!</f>
        <v>#REF!</v>
      </c>
      <c r="R13" s="159" t="e">
        <f t="shared" si="0"/>
        <v>#REF!</v>
      </c>
      <c r="S13" s="108"/>
      <c r="T13" s="14"/>
      <c r="U13" s="2"/>
      <c r="V13" s="2"/>
      <c r="W13" s="108"/>
      <c r="X13" s="2"/>
      <c r="Y13" s="8"/>
    </row>
    <row r="14" spans="1:26" ht="20.25" customHeight="1" x14ac:dyDescent="0.25">
      <c r="A14" s="155" t="s">
        <v>153</v>
      </c>
      <c r="B14" s="150">
        <v>160366.37931034484</v>
      </c>
      <c r="C14" s="150">
        <v>169366.93548387097</v>
      </c>
      <c r="D14" s="150">
        <v>177360</v>
      </c>
      <c r="E14" s="150">
        <v>201414.11290322582</v>
      </c>
      <c r="F14" s="150">
        <v>185683.33333333334</v>
      </c>
      <c r="G14" s="150">
        <v>178671.93548387097</v>
      </c>
      <c r="H14" s="160">
        <v>186343.54838709679</v>
      </c>
      <c r="I14" s="160">
        <v>183710</v>
      </c>
      <c r="J14" s="160">
        <v>208798.38709677421</v>
      </c>
      <c r="K14" s="160">
        <v>172205.83333333334</v>
      </c>
      <c r="L14" s="159">
        <v>99483.870967741939</v>
      </c>
      <c r="M14" s="159">
        <v>104608.87096774192</v>
      </c>
      <c r="N14" s="159">
        <v>156408.92857142858</v>
      </c>
      <c r="O14" s="159">
        <v>106806.45161290321</v>
      </c>
      <c r="P14" s="159">
        <v>127450</v>
      </c>
      <c r="Q14" s="159">
        <v>0</v>
      </c>
      <c r="R14" s="159">
        <f t="shared" si="0"/>
        <v>-127450</v>
      </c>
      <c r="S14" s="2"/>
      <c r="T14" s="14"/>
      <c r="U14" s="2"/>
      <c r="V14" s="2"/>
      <c r="W14" s="108"/>
      <c r="X14" s="2"/>
      <c r="Y14" s="8"/>
      <c r="Z14" s="14"/>
    </row>
    <row r="15" spans="1:26" ht="31.5" x14ac:dyDescent="0.2">
      <c r="A15" s="161" t="s">
        <v>151</v>
      </c>
      <c r="B15" s="151">
        <v>214942.75862068965</v>
      </c>
      <c r="C15" s="150">
        <v>204628.70967741933</v>
      </c>
      <c r="D15" s="150">
        <v>91566.666666666672</v>
      </c>
      <c r="E15" s="150">
        <v>100387.09677419355</v>
      </c>
      <c r="F15" s="150">
        <v>41733.333333333336</v>
      </c>
      <c r="G15" s="150">
        <v>2580.6451612903224</v>
      </c>
      <c r="H15" s="160">
        <v>34870.967741935485</v>
      </c>
      <c r="I15" s="160">
        <v>61920.833333333336</v>
      </c>
      <c r="J15" s="160">
        <v>44959.677419354841</v>
      </c>
      <c r="K15" s="160">
        <v>38666.666666666672</v>
      </c>
      <c r="L15" s="159">
        <v>39516.129032258061</v>
      </c>
      <c r="M15" s="159">
        <v>43000</v>
      </c>
      <c r="N15" s="159">
        <v>50142.857142857145</v>
      </c>
      <c r="O15" s="159">
        <v>102443.54838709676</v>
      </c>
      <c r="P15" s="159" t="e">
        <f>'Salary Sheets'!#REF!</f>
        <v>#REF!</v>
      </c>
      <c r="Q15" s="159" t="e">
        <f>'Salary Sheets'!#REF!</f>
        <v>#REF!</v>
      </c>
      <c r="R15" s="159" t="e">
        <f t="shared" si="0"/>
        <v>#REF!</v>
      </c>
      <c r="S15" s="2"/>
      <c r="U15" s="8"/>
      <c r="V15" s="8"/>
      <c r="W15" s="128"/>
      <c r="X15" s="8"/>
      <c r="Y15" s="8"/>
      <c r="Z15" s="14"/>
    </row>
    <row r="16" spans="1:26" ht="29.25" customHeight="1" x14ac:dyDescent="0.2">
      <c r="A16" s="207" t="s">
        <v>103</v>
      </c>
      <c r="B16" s="207">
        <f t="shared" ref="B16:R16" si="1">SUM(B3:B15)</f>
        <v>1522737.7672413792</v>
      </c>
      <c r="C16" s="207">
        <f t="shared" si="1"/>
        <v>1356141.7036290322</v>
      </c>
      <c r="D16" s="207">
        <f t="shared" si="1"/>
        <v>966719.58333333326</v>
      </c>
      <c r="E16" s="207">
        <f t="shared" si="1"/>
        <v>1075786.1290322579</v>
      </c>
      <c r="F16" s="207">
        <f>SUM(F3:F15)</f>
        <v>1045570.8333333336</v>
      </c>
      <c r="G16" s="207">
        <f>SUM(G3:G15)</f>
        <v>867917.8548387097</v>
      </c>
      <c r="H16" s="207">
        <f>SUM(H3:H15)</f>
        <v>997069.95967741939</v>
      </c>
      <c r="I16" s="207">
        <f>SUM(I3:I15)</f>
        <v>1148451.9583333333</v>
      </c>
      <c r="J16" s="207">
        <f>SUM(J3:J15)</f>
        <v>1167603.8306451614</v>
      </c>
      <c r="K16" s="207">
        <f t="shared" si="1"/>
        <v>946619.79166666674</v>
      </c>
      <c r="L16" s="207">
        <f t="shared" ref="L16:P16" si="2">SUM(L3:L15)</f>
        <v>908821.50806451624</v>
      </c>
      <c r="M16" s="207">
        <f t="shared" si="2"/>
        <v>988537.74193548388</v>
      </c>
      <c r="N16" s="207">
        <f t="shared" si="2"/>
        <v>1110377.6785714284</v>
      </c>
      <c r="O16" s="207">
        <f t="shared" si="2"/>
        <v>1138454.4758064516</v>
      </c>
      <c r="P16" s="207" t="e">
        <f t="shared" si="2"/>
        <v>#REF!</v>
      </c>
      <c r="Q16" s="207" t="e">
        <f>SUM(Q3:Q15)</f>
        <v>#REF!</v>
      </c>
      <c r="R16" s="207" t="e">
        <f t="shared" si="1"/>
        <v>#REF!</v>
      </c>
      <c r="S16" s="8"/>
      <c r="W16" s="12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27"/>
  <sheetViews>
    <sheetView workbookViewId="0">
      <selection activeCell="F26" sqref="F2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8" t="s">
        <v>182</v>
      </c>
      <c r="B1" s="418"/>
      <c r="C1" s="418"/>
      <c r="D1" s="418"/>
      <c r="E1" s="418"/>
    </row>
    <row r="2" spans="1:5" ht="18" x14ac:dyDescent="0.2">
      <c r="A2" s="313" t="s">
        <v>192</v>
      </c>
      <c r="B2" s="312"/>
      <c r="C2" s="314" t="s">
        <v>190</v>
      </c>
      <c r="D2" s="314" t="s">
        <v>191</v>
      </c>
      <c r="E2" s="314" t="s">
        <v>2</v>
      </c>
    </row>
    <row r="3" spans="1:5" ht="15.75" customHeight="1" x14ac:dyDescent="0.25">
      <c r="A3" s="156" t="s">
        <v>129</v>
      </c>
      <c r="B3" s="423" t="s">
        <v>201</v>
      </c>
      <c r="C3" s="315">
        <v>24500</v>
      </c>
      <c r="D3" s="315">
        <v>2000</v>
      </c>
      <c r="E3" s="159">
        <f t="shared" ref="E3:E6" si="0">D3+C3</f>
        <v>26500</v>
      </c>
    </row>
    <row r="4" spans="1:5" ht="15.75" x14ac:dyDescent="0.25">
      <c r="A4" s="156" t="s">
        <v>144</v>
      </c>
      <c r="B4" s="424"/>
      <c r="C4" s="315">
        <v>25000</v>
      </c>
      <c r="D4" s="315">
        <v>2000</v>
      </c>
      <c r="E4" s="159">
        <f t="shared" si="0"/>
        <v>27000</v>
      </c>
    </row>
    <row r="5" spans="1:5" ht="15.75" x14ac:dyDescent="0.25">
      <c r="A5" s="156" t="s">
        <v>200</v>
      </c>
      <c r="B5" s="424"/>
      <c r="C5" s="315">
        <v>32500</v>
      </c>
      <c r="D5" s="315">
        <v>2000</v>
      </c>
      <c r="E5" s="159">
        <f t="shared" si="0"/>
        <v>34500</v>
      </c>
    </row>
    <row r="6" spans="1:5" ht="15.75" x14ac:dyDescent="0.25">
      <c r="A6" s="156" t="s">
        <v>176</v>
      </c>
      <c r="B6" s="425"/>
      <c r="C6" s="315">
        <v>21000</v>
      </c>
      <c r="D6" s="315">
        <v>1000</v>
      </c>
      <c r="E6" s="159">
        <f t="shared" si="0"/>
        <v>22000</v>
      </c>
    </row>
    <row r="7" spans="1:5" ht="20.25" customHeight="1" x14ac:dyDescent="0.25">
      <c r="A7" s="156" t="s">
        <v>183</v>
      </c>
      <c r="B7" s="420" t="s">
        <v>189</v>
      </c>
      <c r="C7" s="159">
        <v>40000</v>
      </c>
      <c r="D7" s="159">
        <v>5000</v>
      </c>
      <c r="E7" s="159">
        <f>D7+C7</f>
        <v>45000</v>
      </c>
    </row>
    <row r="8" spans="1:5" ht="20.25" customHeight="1" x14ac:dyDescent="0.25">
      <c r="A8" s="157" t="s">
        <v>184</v>
      </c>
      <c r="B8" s="421"/>
      <c r="C8" s="160">
        <v>55000</v>
      </c>
      <c r="D8" s="160">
        <v>5000</v>
      </c>
      <c r="E8" s="159">
        <f t="shared" ref="E8:E14" si="1">D8+C8</f>
        <v>60000</v>
      </c>
    </row>
    <row r="9" spans="1:5" ht="20.25" customHeight="1" x14ac:dyDescent="0.25">
      <c r="A9" s="155" t="s">
        <v>78</v>
      </c>
      <c r="B9" s="421"/>
      <c r="C9" s="160">
        <v>30000</v>
      </c>
      <c r="D9" s="160">
        <v>5000</v>
      </c>
      <c r="E9" s="159">
        <f t="shared" si="1"/>
        <v>35000</v>
      </c>
    </row>
    <row r="10" spans="1:5" ht="20.25" customHeight="1" x14ac:dyDescent="0.25">
      <c r="A10" s="155" t="s">
        <v>185</v>
      </c>
      <c r="B10" s="421"/>
      <c r="C10" s="160">
        <v>38000</v>
      </c>
      <c r="D10" s="160">
        <v>5000</v>
      </c>
      <c r="E10" s="159">
        <f t="shared" si="1"/>
        <v>43000</v>
      </c>
    </row>
    <row r="11" spans="1:5" ht="20.25" customHeight="1" x14ac:dyDescent="0.25">
      <c r="A11" s="155" t="s">
        <v>186</v>
      </c>
      <c r="B11" s="421"/>
      <c r="C11" s="160">
        <v>28000</v>
      </c>
      <c r="D11" s="160">
        <v>3000</v>
      </c>
      <c r="E11" s="159">
        <f t="shared" si="1"/>
        <v>31000</v>
      </c>
    </row>
    <row r="12" spans="1:5" ht="20.25" customHeight="1" x14ac:dyDescent="0.25">
      <c r="A12" s="155" t="s">
        <v>187</v>
      </c>
      <c r="B12" s="421"/>
      <c r="C12" s="160">
        <v>22000</v>
      </c>
      <c r="D12" s="160">
        <v>3000</v>
      </c>
      <c r="E12" s="159">
        <f t="shared" si="1"/>
        <v>25000</v>
      </c>
    </row>
    <row r="13" spans="1:5" ht="20.25" customHeight="1" x14ac:dyDescent="0.25">
      <c r="A13" s="155" t="s">
        <v>188</v>
      </c>
      <c r="B13" s="421"/>
      <c r="C13" s="160">
        <v>24000</v>
      </c>
      <c r="D13" s="160">
        <v>2000</v>
      </c>
      <c r="E13" s="159">
        <f t="shared" si="1"/>
        <v>26000</v>
      </c>
    </row>
    <row r="14" spans="1:5" ht="20.25" customHeight="1" x14ac:dyDescent="0.25">
      <c r="A14" s="335" t="s">
        <v>74</v>
      </c>
      <c r="B14" s="421"/>
      <c r="C14" s="336">
        <v>27000</v>
      </c>
      <c r="D14" s="336">
        <v>3000</v>
      </c>
      <c r="E14" s="316">
        <f t="shared" si="1"/>
        <v>30000</v>
      </c>
    </row>
    <row r="15" spans="1:5" ht="20.25" customHeight="1" x14ac:dyDescent="0.25">
      <c r="A15" s="337" t="s">
        <v>194</v>
      </c>
      <c r="B15" s="422" t="s">
        <v>193</v>
      </c>
      <c r="C15" s="338">
        <v>54000</v>
      </c>
      <c r="D15" s="338">
        <v>5000</v>
      </c>
      <c r="E15" s="338">
        <f t="shared" ref="E15:E26" si="2">D15+C15</f>
        <v>59000</v>
      </c>
    </row>
    <row r="16" spans="1:5" ht="36" customHeight="1" x14ac:dyDescent="0.25">
      <c r="A16" s="339" t="s">
        <v>195</v>
      </c>
      <c r="B16" s="422"/>
      <c r="C16" s="338">
        <v>27500</v>
      </c>
      <c r="D16" s="338">
        <v>2000</v>
      </c>
      <c r="E16" s="338">
        <f t="shared" si="2"/>
        <v>29500</v>
      </c>
    </row>
    <row r="17" spans="1:5" ht="20.25" customHeight="1" x14ac:dyDescent="0.25">
      <c r="A17" s="337" t="s">
        <v>196</v>
      </c>
      <c r="B17" s="422"/>
      <c r="C17" s="338">
        <v>22500</v>
      </c>
      <c r="D17" s="338">
        <v>2000</v>
      </c>
      <c r="E17" s="338">
        <f t="shared" si="2"/>
        <v>24500</v>
      </c>
    </row>
    <row r="18" spans="1:5" ht="20.25" customHeight="1" x14ac:dyDescent="0.25">
      <c r="A18" s="337" t="s">
        <v>197</v>
      </c>
      <c r="B18" s="422"/>
      <c r="C18" s="338">
        <v>22500</v>
      </c>
      <c r="D18" s="338">
        <v>2000</v>
      </c>
      <c r="E18" s="338">
        <f t="shared" si="2"/>
        <v>24500</v>
      </c>
    </row>
    <row r="19" spans="1:5" ht="15.75" x14ac:dyDescent="0.25">
      <c r="A19" s="337" t="s">
        <v>75</v>
      </c>
      <c r="B19" s="426">
        <v>45017</v>
      </c>
      <c r="C19" s="338">
        <v>45000</v>
      </c>
      <c r="D19" s="338">
        <v>5000</v>
      </c>
      <c r="E19" s="338">
        <f t="shared" si="2"/>
        <v>50000</v>
      </c>
    </row>
    <row r="20" spans="1:5" ht="15.75" x14ac:dyDescent="0.25">
      <c r="A20" s="337" t="s">
        <v>198</v>
      </c>
      <c r="B20" s="426"/>
      <c r="C20" s="338">
        <v>19000</v>
      </c>
      <c r="D20" s="338">
        <v>3000</v>
      </c>
      <c r="E20" s="338">
        <f t="shared" si="2"/>
        <v>22000</v>
      </c>
    </row>
    <row r="21" spans="1:5" ht="15.75" x14ac:dyDescent="0.25">
      <c r="A21" s="337" t="s">
        <v>149</v>
      </c>
      <c r="B21" s="426"/>
      <c r="C21" s="338">
        <v>47000</v>
      </c>
      <c r="D21" s="338">
        <v>3000</v>
      </c>
      <c r="E21" s="338">
        <f t="shared" si="2"/>
        <v>50000</v>
      </c>
    </row>
    <row r="22" spans="1:5" ht="15.75" x14ac:dyDescent="0.25">
      <c r="A22" s="337" t="s">
        <v>204</v>
      </c>
      <c r="B22" s="317">
        <v>45047</v>
      </c>
      <c r="C22" s="338">
        <v>25000</v>
      </c>
      <c r="D22" s="338">
        <v>30000</v>
      </c>
      <c r="E22" s="338">
        <f t="shared" si="2"/>
        <v>55000</v>
      </c>
    </row>
    <row r="23" spans="1:5" ht="15.75" x14ac:dyDescent="0.25">
      <c r="A23" s="337" t="s">
        <v>129</v>
      </c>
      <c r="B23" s="419" t="s">
        <v>214</v>
      </c>
      <c r="C23" s="338">
        <v>26500</v>
      </c>
      <c r="D23" s="338">
        <v>3000</v>
      </c>
      <c r="E23" s="338">
        <f t="shared" si="2"/>
        <v>29500</v>
      </c>
    </row>
    <row r="24" spans="1:5" ht="15.75" x14ac:dyDescent="0.25">
      <c r="A24" s="337" t="s">
        <v>144</v>
      </c>
      <c r="B24" s="419"/>
      <c r="C24" s="338">
        <v>27000</v>
      </c>
      <c r="D24" s="338">
        <v>3000</v>
      </c>
      <c r="E24" s="338">
        <f t="shared" si="2"/>
        <v>30000</v>
      </c>
    </row>
    <row r="25" spans="1:5" ht="15.75" x14ac:dyDescent="0.25">
      <c r="A25" s="337" t="s">
        <v>200</v>
      </c>
      <c r="B25" s="419"/>
      <c r="C25" s="338">
        <v>34500</v>
      </c>
      <c r="D25" s="338">
        <v>3000</v>
      </c>
      <c r="E25" s="338">
        <f t="shared" si="2"/>
        <v>37500</v>
      </c>
    </row>
    <row r="26" spans="1:5" ht="15.75" x14ac:dyDescent="0.25">
      <c r="A26" s="337" t="s">
        <v>176</v>
      </c>
      <c r="B26" s="419"/>
      <c r="C26" s="338">
        <v>22000</v>
      </c>
      <c r="D26" s="338">
        <v>3000</v>
      </c>
      <c r="E26" s="338">
        <f t="shared" si="2"/>
        <v>25000</v>
      </c>
    </row>
    <row r="27" spans="1:5" ht="15.75" x14ac:dyDescent="0.2">
      <c r="E27" s="316"/>
    </row>
  </sheetData>
  <autoFilter ref="A2:E2" xr:uid="{69971A69-1AB5-4F7A-A4C2-73A1E09F711B}"/>
  <mergeCells count="6">
    <mergeCell ref="B23:B26"/>
    <mergeCell ref="B7:B14"/>
    <mergeCell ref="A1:E1"/>
    <mergeCell ref="B15:B18"/>
    <mergeCell ref="B3:B6"/>
    <mergeCell ref="B19:B21"/>
  </mergeCells>
  <phoneticPr fontId="5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2023-09-11T09:07:45Z</cp:lastPrinted>
  <dcterms:created xsi:type="dcterms:W3CDTF">2007-01-04T05:01:09Z</dcterms:created>
  <dcterms:modified xsi:type="dcterms:W3CDTF">2023-10-07T10:36:43Z</dcterms:modified>
</cp:coreProperties>
</file>