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Pioneer\PES\Office salaries\"/>
    </mc:Choice>
  </mc:AlternateContent>
  <xr:revisionPtr revIDLastSave="0" documentId="13_ncr:1_{68BA0E51-CC78-4D4F-A62D-2604B2837EB6}" xr6:coauthVersionLast="47" xr6:coauthVersionMax="47" xr10:uidLastSave="{00000000-0000-0000-0000-000000000000}"/>
  <bookViews>
    <workbookView xWindow="-120" yWindow="-120" windowWidth="29040" windowHeight="15840" tabRatio="824" activeTab="1" xr2:uid="{00000000-000D-0000-FFFF-FFFF00000000}"/>
  </bookViews>
  <sheets>
    <sheet name="Salary Sheets" sheetId="1" r:id="rId1"/>
    <sheet name="Salary Record" sheetId="8" r:id="rId2"/>
    <sheet name="Salary summary" sheetId="12" r:id="rId3"/>
    <sheet name="Salary increment" sheetId="13" r:id="rId4"/>
  </sheets>
  <definedNames>
    <definedName name="_xlnm._FilterDatabase" localSheetId="3" hidden="1">'Salary increment'!$A$2:$E$2</definedName>
    <definedName name="_xlnm._FilterDatabase" localSheetId="0" hidden="1">'Salary Sheets'!$A$3:$Z$92</definedName>
    <definedName name="_xlnm.Print_Area" localSheetId="1">'Salary Record'!$A$167:$L$740</definedName>
    <definedName name="_xlnm.Print_Area" localSheetId="0">'Salary Sheets'!$A$1:$Q$78</definedName>
    <definedName name="_xlnm.Print_Titles" localSheetId="0">'Salary Sheets'!$3:$3</definedName>
  </definedNames>
  <calcPr calcId="181029"/>
  <fileRecoveryPr autoRecover="0"/>
</workbook>
</file>

<file path=xl/calcChain.xml><?xml version="1.0" encoding="utf-8"?>
<calcChain xmlns="http://schemas.openxmlformats.org/spreadsheetml/2006/main">
  <c r="V478" i="8" l="1"/>
  <c r="K335" i="8" l="1"/>
  <c r="W79" i="8" l="1"/>
  <c r="Y287" i="8" l="1"/>
  <c r="V207" i="8"/>
  <c r="U303" i="8"/>
  <c r="W303" i="8" s="1"/>
  <c r="Y303" i="8" s="1"/>
  <c r="K32" i="8" l="1"/>
  <c r="V255" i="8" l="1"/>
  <c r="V383" i="8"/>
  <c r="W426" i="8"/>
  <c r="Y426" i="8" s="1"/>
  <c r="U427" i="8" s="1"/>
  <c r="W427" i="8" s="1"/>
  <c r="Y427" i="8" s="1"/>
  <c r="U428" i="8" s="1"/>
  <c r="W428" i="8" s="1"/>
  <c r="Y428" i="8" s="1"/>
  <c r="U429" i="8" s="1"/>
  <c r="W429" i="8" s="1"/>
  <c r="Y429" i="8" s="1"/>
  <c r="U430" i="8" s="1"/>
  <c r="W430" i="8" s="1"/>
  <c r="Y430" i="8" s="1"/>
  <c r="U431" i="8" s="1"/>
  <c r="W431" i="8" s="1"/>
  <c r="Y431" i="8" s="1"/>
  <c r="W410" i="8"/>
  <c r="Y410" i="8" s="1"/>
  <c r="U411" i="8" s="1"/>
  <c r="W411" i="8" s="1"/>
  <c r="Y411" i="8" s="1"/>
  <c r="U412" i="8" s="1"/>
  <c r="W412" i="8" s="1"/>
  <c r="Y412" i="8" s="1"/>
  <c r="U413" i="8" s="1"/>
  <c r="W413" i="8" s="1"/>
  <c r="Y413" i="8" s="1"/>
  <c r="U414" i="8" s="1"/>
  <c r="W414" i="8" s="1"/>
  <c r="Y414" i="8" s="1"/>
  <c r="U415" i="8" s="1"/>
  <c r="W415" i="8" s="1"/>
  <c r="Y415" i="8" s="1"/>
  <c r="W394" i="8"/>
  <c r="Y394" i="8" s="1"/>
  <c r="U395" i="8" s="1"/>
  <c r="W395" i="8" s="1"/>
  <c r="Y395" i="8" s="1"/>
  <c r="U396" i="8" s="1"/>
  <c r="W396" i="8" s="1"/>
  <c r="Y396" i="8" s="1"/>
  <c r="U397" i="8" s="1"/>
  <c r="W397" i="8" s="1"/>
  <c r="Y397" i="8" s="1"/>
  <c r="U398" i="8" s="1"/>
  <c r="W398" i="8" s="1"/>
  <c r="Y398" i="8" s="1"/>
  <c r="U399" i="8" s="1"/>
  <c r="W399" i="8" s="1"/>
  <c r="Y399" i="8" s="1"/>
  <c r="V271" i="8"/>
  <c r="V351" i="8"/>
  <c r="V367" i="8"/>
  <c r="V143" i="8"/>
  <c r="V606" i="8"/>
  <c r="V574" i="8"/>
  <c r="V494" i="8"/>
  <c r="V111" i="8"/>
  <c r="E22" i="13"/>
  <c r="V493" i="8" l="1"/>
  <c r="V126" i="8"/>
  <c r="B42" i="1"/>
  <c r="R712" i="8"/>
  <c r="R713" i="8" s="1"/>
  <c r="R714" i="8" s="1"/>
  <c r="W696" i="8"/>
  <c r="Y696" i="8" s="1"/>
  <c r="U697" i="8" s="1"/>
  <c r="W697" i="8" s="1"/>
  <c r="Y697" i="8" s="1"/>
  <c r="U698" i="8" s="1"/>
  <c r="W698" i="8" s="1"/>
  <c r="Y698" i="8" s="1"/>
  <c r="U699" i="8" s="1"/>
  <c r="W699" i="8" s="1"/>
  <c r="Y699" i="8" s="1"/>
  <c r="U700" i="8" s="1"/>
  <c r="W700" i="8" s="1"/>
  <c r="Y700" i="8" s="1"/>
  <c r="U701" i="8" s="1"/>
  <c r="V254" i="8" l="1"/>
  <c r="V222" i="8"/>
  <c r="K74" i="8"/>
  <c r="W728" i="8" l="1"/>
  <c r="Y728" i="8" s="1"/>
  <c r="U729" i="8" s="1"/>
  <c r="W729" i="8" s="1"/>
  <c r="Y729" i="8" s="1"/>
  <c r="U730" i="8" s="1"/>
  <c r="W730" i="8" s="1"/>
  <c r="Y730" i="8" s="1"/>
  <c r="U731" i="8" s="1"/>
  <c r="W731" i="8" s="1"/>
  <c r="Y731" i="8" s="1"/>
  <c r="U732" i="8" s="1"/>
  <c r="W732" i="8" s="1"/>
  <c r="Y732" i="8" s="1"/>
  <c r="K202" i="8"/>
  <c r="E21" i="13"/>
  <c r="G8" i="8"/>
  <c r="H8" i="8"/>
  <c r="R9" i="8"/>
  <c r="R10" i="8" s="1"/>
  <c r="R11" i="8" s="1"/>
  <c r="R12" i="8" s="1"/>
  <c r="W9" i="8"/>
  <c r="Y9" i="8" s="1"/>
  <c r="U10" i="8"/>
  <c r="W10" i="8" s="1"/>
  <c r="Y10" i="8" s="1"/>
  <c r="U11" i="8"/>
  <c r="W11" i="8" s="1"/>
  <c r="Y11" i="8" s="1"/>
  <c r="U12" i="8" s="1"/>
  <c r="I13" i="8"/>
  <c r="K13" i="8" s="1"/>
  <c r="R13" i="8"/>
  <c r="R14" i="8" s="1"/>
  <c r="G14" i="8"/>
  <c r="K14" i="8"/>
  <c r="C15" i="8"/>
  <c r="R15" i="8"/>
  <c r="U15" i="8"/>
  <c r="W15" i="8" s="1"/>
  <c r="Y15" i="8" s="1"/>
  <c r="C16" i="8"/>
  <c r="G16" i="8"/>
  <c r="K16" i="8" s="1"/>
  <c r="U16" i="8"/>
  <c r="W16" i="8" s="1"/>
  <c r="Y16" i="8" s="1"/>
  <c r="U17" i="8"/>
  <c r="W17" i="8" s="1"/>
  <c r="Y17" i="8" s="1"/>
  <c r="U18" i="8"/>
  <c r="W18" i="8" s="1"/>
  <c r="Y18" i="8" s="1"/>
  <c r="U19" i="8"/>
  <c r="W19" i="8" s="1"/>
  <c r="Y19" i="8" s="1"/>
  <c r="R20" i="8"/>
  <c r="U20" i="8"/>
  <c r="W20" i="8" s="1"/>
  <c r="Y20" i="8" s="1"/>
  <c r="G24" i="8"/>
  <c r="H24" i="8"/>
  <c r="W25" i="8"/>
  <c r="Y25" i="8" s="1"/>
  <c r="U26" i="8" s="1"/>
  <c r="W26" i="8" s="1"/>
  <c r="Y26" i="8" s="1"/>
  <c r="R27" i="8"/>
  <c r="W27" i="8"/>
  <c r="Y27" i="8" s="1"/>
  <c r="R28" i="8"/>
  <c r="W28" i="8"/>
  <c r="Y28" i="8" s="1"/>
  <c r="R29" i="8"/>
  <c r="G30" i="8"/>
  <c r="K30" i="8"/>
  <c r="K31" i="8" s="1"/>
  <c r="K33" i="8" s="1"/>
  <c r="R30" i="8"/>
  <c r="C31" i="8"/>
  <c r="R31" i="8"/>
  <c r="W31" i="8"/>
  <c r="Y31" i="8" s="1"/>
  <c r="C32" i="8"/>
  <c r="G32" i="8"/>
  <c r="R32" i="8"/>
  <c r="W32" i="8"/>
  <c r="Y32" i="8" s="1"/>
  <c r="R33" i="8"/>
  <c r="W33" i="8"/>
  <c r="Y33" i="8" s="1"/>
  <c r="R34" i="8"/>
  <c r="W34" i="8"/>
  <c r="Y34" i="8" s="1"/>
  <c r="R35" i="8"/>
  <c r="W35" i="8"/>
  <c r="Y35" i="8" s="1"/>
  <c r="R36" i="8"/>
  <c r="W36" i="8"/>
  <c r="Y36" i="8" s="1"/>
  <c r="C33" i="8" l="1"/>
  <c r="C17" i="8"/>
  <c r="K15" i="8"/>
  <c r="K17" i="8" s="1"/>
  <c r="U29" i="8"/>
  <c r="W12" i="8"/>
  <c r="K378" i="8"/>
  <c r="X142" i="8"/>
  <c r="W29" i="8" l="1"/>
  <c r="Y12" i="8"/>
  <c r="E6" i="13"/>
  <c r="E5" i="13"/>
  <c r="E4" i="13"/>
  <c r="E3" i="13"/>
  <c r="Y29" i="8" l="1"/>
  <c r="U13" i="8"/>
  <c r="E20" i="13"/>
  <c r="E19" i="13"/>
  <c r="V237" i="8"/>
  <c r="V253" i="8"/>
  <c r="K90" i="8"/>
  <c r="U30" i="8" l="1"/>
  <c r="W13" i="8"/>
  <c r="E18" i="13"/>
  <c r="E17" i="13"/>
  <c r="E16" i="13"/>
  <c r="E15" i="13"/>
  <c r="E8" i="13"/>
  <c r="E9" i="13"/>
  <c r="E10" i="13"/>
  <c r="E11" i="13"/>
  <c r="E12" i="13"/>
  <c r="E13" i="13"/>
  <c r="E14" i="13"/>
  <c r="E7" i="13"/>
  <c r="K521" i="8"/>
  <c r="K553" i="8"/>
  <c r="K505" i="8"/>
  <c r="W30" i="8" l="1"/>
  <c r="Y30" i="8" s="1"/>
  <c r="G33" i="8" s="1"/>
  <c r="G29" i="8"/>
  <c r="G31" i="8"/>
  <c r="Y13" i="8"/>
  <c r="P76" i="8"/>
  <c r="K138" i="8"/>
  <c r="P539" i="8"/>
  <c r="V140" i="8"/>
  <c r="U14" i="8" l="1"/>
  <c r="B84" i="1"/>
  <c r="V220" i="8"/>
  <c r="V252" i="8"/>
  <c r="V332" i="8"/>
  <c r="K58" i="8"/>
  <c r="W63" i="1"/>
  <c r="W65" i="1" s="1"/>
  <c r="E114" i="1"/>
  <c r="E115" i="1" s="1"/>
  <c r="K633" i="8"/>
  <c r="K234" i="8"/>
  <c r="W14" i="8" l="1"/>
  <c r="G13" i="8"/>
  <c r="V251" i="8"/>
  <c r="V139" i="8"/>
  <c r="K250" i="8"/>
  <c r="K218" i="8"/>
  <c r="K664" i="8"/>
  <c r="Y14" i="8" l="1"/>
  <c r="G17" i="8" s="1"/>
  <c r="G15" i="8"/>
  <c r="R108" i="8"/>
  <c r="R110" i="8"/>
  <c r="R111" i="8" s="1"/>
  <c r="R112" i="8"/>
  <c r="R113" i="8"/>
  <c r="R114" i="8"/>
  <c r="R115" i="8"/>
  <c r="R116" i="8"/>
  <c r="R117" i="8"/>
  <c r="R448" i="8"/>
  <c r="R449" i="8"/>
  <c r="R450" i="8"/>
  <c r="R451" i="8"/>
  <c r="R452" i="8"/>
  <c r="R453" i="8"/>
  <c r="R540" i="8"/>
  <c r="R541" i="8" s="1"/>
  <c r="R542" i="8"/>
  <c r="R543" i="8"/>
  <c r="R544" i="8"/>
  <c r="R545" i="8"/>
  <c r="R546" i="8"/>
  <c r="R547" i="8"/>
  <c r="R548" i="8"/>
  <c r="R538" i="8"/>
  <c r="R416" i="8"/>
  <c r="R417" i="8"/>
  <c r="R418" i="8"/>
  <c r="R419" i="8"/>
  <c r="R420" i="8"/>
  <c r="R421" i="8"/>
  <c r="R400" i="8"/>
  <c r="R401" i="8"/>
  <c r="R402" i="8"/>
  <c r="R403" i="8"/>
  <c r="R404" i="8"/>
  <c r="R405" i="8"/>
  <c r="R384" i="8"/>
  <c r="R385" i="8"/>
  <c r="R386" i="8"/>
  <c r="R387" i="8"/>
  <c r="R388" i="8"/>
  <c r="R389" i="8"/>
  <c r="R277" i="8"/>
  <c r="R274" i="8"/>
  <c r="R275" i="8"/>
  <c r="R276" i="8"/>
  <c r="R272" i="8"/>
  <c r="R273" i="8"/>
  <c r="R266" i="8"/>
  <c r="R267" i="8" s="1"/>
  <c r="R268" i="8" s="1"/>
  <c r="R269" i="8" s="1"/>
  <c r="R270" i="8" s="1"/>
  <c r="R271" i="8" s="1"/>
  <c r="R318" i="8"/>
  <c r="R320" i="8"/>
  <c r="R321" i="8"/>
  <c r="R322" i="8"/>
  <c r="R323" i="8"/>
  <c r="R324" i="8"/>
  <c r="R325" i="8"/>
  <c r="R317" i="8"/>
  <c r="V42" i="8"/>
  <c r="V138" i="8" l="1"/>
  <c r="V250" i="8"/>
  <c r="W330" i="8"/>
  <c r="R218" i="8"/>
  <c r="R219" i="8" s="1"/>
  <c r="R220" i="8" s="1"/>
  <c r="R221" i="8" s="1"/>
  <c r="R222" i="8" s="1"/>
  <c r="R224" i="8" s="1"/>
  <c r="R225" i="8" s="1"/>
  <c r="R226" i="8" s="1"/>
  <c r="R227" i="8" s="1"/>
  <c r="R228" i="8" s="1"/>
  <c r="R229" i="8" s="1"/>
  <c r="R394" i="8"/>
  <c r="R395" i="8" s="1"/>
  <c r="R396" i="8" s="1"/>
  <c r="R397" i="8" s="1"/>
  <c r="R398" i="8" s="1"/>
  <c r="R399" i="8" s="1"/>
  <c r="R378" i="8"/>
  <c r="R186" i="8"/>
  <c r="R664" i="8"/>
  <c r="R170" i="8"/>
  <c r="W234" i="8" l="1"/>
  <c r="W154" i="8" l="1"/>
  <c r="Y154" i="8" s="1"/>
  <c r="U155" i="8" s="1"/>
  <c r="W155" i="8" s="1"/>
  <c r="Y155" i="8" s="1"/>
  <c r="U156" i="8" s="1"/>
  <c r="W156" i="8" s="1"/>
  <c r="Y156" i="8" s="1"/>
  <c r="U157" i="8" s="1"/>
  <c r="W157" i="8" s="1"/>
  <c r="Y157" i="8" s="1"/>
  <c r="U158" i="8" s="1"/>
  <c r="W158" i="8" s="1"/>
  <c r="Y158" i="8" s="1"/>
  <c r="U159" i="8" s="1"/>
  <c r="W159" i="8" s="1"/>
  <c r="Y159" i="8" s="1"/>
  <c r="U160" i="8" s="1"/>
  <c r="W160" i="8" s="1"/>
  <c r="Y160" i="8" s="1"/>
  <c r="U161" i="8" s="1"/>
  <c r="W161" i="8" s="1"/>
  <c r="Y161" i="8" s="1"/>
  <c r="U162" i="8" s="1"/>
  <c r="W162" i="8" s="1"/>
  <c r="Y162" i="8" s="1"/>
  <c r="U163" i="8" s="1"/>
  <c r="W163" i="8" s="1"/>
  <c r="Y163" i="8" s="1"/>
  <c r="U164" i="8" s="1"/>
  <c r="W164" i="8" s="1"/>
  <c r="Y164" i="8" s="1"/>
  <c r="U165" i="8" s="1"/>
  <c r="W165" i="8" s="1"/>
  <c r="Y165" i="8" s="1"/>
  <c r="K585" i="8"/>
  <c r="K617" i="8"/>
  <c r="K601" i="8"/>
  <c r="K569" i="8"/>
  <c r="K266" i="8" l="1"/>
  <c r="H25" i="1" l="1"/>
  <c r="B57" i="1" l="1"/>
  <c r="B56" i="1" l="1"/>
  <c r="R213" i="8" l="1"/>
  <c r="R211" i="8"/>
  <c r="R212" i="8" s="1"/>
  <c r="R202" i="8"/>
  <c r="R203" i="8" s="1"/>
  <c r="R204" i="8" s="1"/>
  <c r="R205" i="8" s="1"/>
  <c r="R206" i="8" s="1"/>
  <c r="R207" i="8" s="1"/>
  <c r="R208" i="8" s="1"/>
  <c r="R209" i="8" s="1"/>
  <c r="R210" i="8" s="1"/>
  <c r="R484" i="8"/>
  <c r="R473" i="8"/>
  <c r="R474" i="8" s="1"/>
  <c r="R475" i="8" s="1"/>
  <c r="R476" i="8" s="1"/>
  <c r="R477" i="8" s="1"/>
  <c r="R478" i="8" s="1"/>
  <c r="R479" i="8" s="1"/>
  <c r="R480" i="8" s="1"/>
  <c r="R481" i="8" s="1"/>
  <c r="R482" i="8" s="1"/>
  <c r="R483" i="8" s="1"/>
  <c r="R442" i="8"/>
  <c r="R443" i="8" s="1"/>
  <c r="R444" i="8" s="1"/>
  <c r="R445" i="8" s="1"/>
  <c r="R446" i="8" s="1"/>
  <c r="R447" i="8" s="1"/>
  <c r="R410" i="8"/>
  <c r="R411" i="8" s="1"/>
  <c r="R412" i="8" s="1"/>
  <c r="R413" i="8" s="1"/>
  <c r="R414" i="8" s="1"/>
  <c r="R415" i="8" s="1"/>
  <c r="R379" i="8"/>
  <c r="R380" i="8" s="1"/>
  <c r="R381" i="8" s="1"/>
  <c r="R382" i="8" s="1"/>
  <c r="R383" i="8" s="1"/>
  <c r="R101" i="8"/>
  <c r="R100" i="8"/>
  <c r="R90" i="8"/>
  <c r="R91" i="8" s="1"/>
  <c r="R92" i="8" s="1"/>
  <c r="R93" i="8" s="1"/>
  <c r="R94" i="8" s="1"/>
  <c r="R95" i="8" s="1"/>
  <c r="R96" i="8" s="1"/>
  <c r="R97" i="8" s="1"/>
  <c r="R98" i="8" s="1"/>
  <c r="R99" i="8" s="1"/>
  <c r="R260" i="8"/>
  <c r="R251" i="8"/>
  <c r="R315" i="8"/>
  <c r="R316" i="8" s="1"/>
  <c r="R234" i="8"/>
  <c r="R235" i="8" s="1"/>
  <c r="R236" i="8" s="1"/>
  <c r="R237" i="8" s="1"/>
  <c r="R238" i="8" s="1"/>
  <c r="R239" i="8" s="1"/>
  <c r="R244" i="8"/>
  <c r="R187" i="8"/>
  <c r="R188" i="8" s="1"/>
  <c r="R189" i="8" s="1"/>
  <c r="R190" i="8" s="1"/>
  <c r="R191" i="8" s="1"/>
  <c r="R192" i="8" s="1"/>
  <c r="R193" i="8" s="1"/>
  <c r="R194" i="8" s="1"/>
  <c r="R195" i="8" s="1"/>
  <c r="R197" i="8"/>
  <c r="R196" i="8"/>
  <c r="R665" i="8"/>
  <c r="R666" i="8" s="1"/>
  <c r="R667" i="8" s="1"/>
  <c r="R668" i="8" s="1"/>
  <c r="R669" i="8" s="1"/>
  <c r="R670" i="8" s="1"/>
  <c r="R671" i="8" s="1"/>
  <c r="R672" i="8" s="1"/>
  <c r="R673" i="8" s="1"/>
  <c r="R675" i="8"/>
  <c r="R674" i="8"/>
  <c r="R171" i="8"/>
  <c r="R172" i="8" s="1"/>
  <c r="R173" i="8" s="1"/>
  <c r="R174" i="8" s="1"/>
  <c r="R175" i="8" s="1"/>
  <c r="R176" i="8" s="1"/>
  <c r="R177" i="8" s="1"/>
  <c r="R178" i="8" s="1"/>
  <c r="R179" i="8" s="1"/>
  <c r="R180" i="8" s="1"/>
  <c r="R181" i="8"/>
  <c r="R165" i="8"/>
  <c r="R164" i="8"/>
  <c r="R154" i="8"/>
  <c r="R155" i="8" s="1"/>
  <c r="R156" i="8" s="1"/>
  <c r="R157" i="8" s="1"/>
  <c r="R158" i="8" s="1"/>
  <c r="R159" i="8" s="1"/>
  <c r="R160" i="8" s="1"/>
  <c r="R161" i="8" s="1"/>
  <c r="R162" i="8" s="1"/>
  <c r="R163" i="8" s="1"/>
  <c r="R149" i="8"/>
  <c r="R138" i="8"/>
  <c r="R139" i="8" s="1"/>
  <c r="R140" i="8" s="1"/>
  <c r="R141" i="8" s="1"/>
  <c r="R142" i="8" s="1"/>
  <c r="R143" i="8" s="1"/>
  <c r="R144" i="8" s="1"/>
  <c r="R145" i="8" s="1"/>
  <c r="R146" i="8" s="1"/>
  <c r="R147" i="8" s="1"/>
  <c r="R148" i="8" s="1"/>
  <c r="R660" i="8"/>
  <c r="R659" i="8"/>
  <c r="R653" i="8"/>
  <c r="R654" i="8" s="1"/>
  <c r="R655" i="8" s="1"/>
  <c r="R656" i="8" s="1"/>
  <c r="R657" i="8" s="1"/>
  <c r="R658" i="8" s="1"/>
  <c r="R650" i="8"/>
  <c r="R651" i="8" s="1"/>
  <c r="R58" i="8"/>
  <c r="W250" i="8" l="1"/>
  <c r="R77" i="1" l="1"/>
  <c r="S52" i="1"/>
  <c r="R45" i="1"/>
  <c r="R27" i="1"/>
  <c r="S20" i="1"/>
  <c r="R20" i="1"/>
  <c r="R4" i="12" l="1"/>
  <c r="R5" i="12"/>
  <c r="R7" i="12"/>
  <c r="R9" i="12"/>
  <c r="R10" i="12"/>
  <c r="R11" i="12"/>
  <c r="R14" i="12"/>
  <c r="R3" i="12"/>
  <c r="K654" i="8" l="1"/>
  <c r="O16" i="12" l="1"/>
  <c r="N16" i="12" l="1"/>
  <c r="L16" i="12" l="1"/>
  <c r="M16" i="12" l="1"/>
  <c r="J16" i="12" l="1"/>
  <c r="I16" i="12"/>
  <c r="H16" i="12"/>
  <c r="G16" i="12"/>
  <c r="F16" i="12"/>
  <c r="E16" i="12"/>
  <c r="D16" i="12"/>
  <c r="C16" i="12"/>
  <c r="B16" i="12"/>
  <c r="K16" i="12"/>
  <c r="R691" i="8" l="1"/>
  <c r="R688" i="8"/>
  <c r="R687" i="8"/>
  <c r="R681" i="8"/>
  <c r="R682" i="8" s="1"/>
  <c r="R683" i="8" s="1"/>
  <c r="R684" i="8" s="1"/>
  <c r="R685" i="8" s="1"/>
  <c r="R686" i="8" s="1"/>
  <c r="R736" i="8"/>
  <c r="R737" i="8" s="1"/>
  <c r="R738" i="8" s="1"/>
  <c r="R59" i="8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K717" i="8" l="1"/>
  <c r="K431" i="8" l="1"/>
  <c r="J50" i="1" s="1"/>
  <c r="W655" i="8" l="1"/>
  <c r="K79" i="8" l="1"/>
  <c r="B31" i="1" l="1"/>
  <c r="C109" i="1" l="1"/>
  <c r="R11" i="1" l="1"/>
  <c r="R619" i="8" l="1"/>
  <c r="W553" i="8" l="1"/>
  <c r="Y553" i="8" s="1"/>
  <c r="U554" i="8" s="1"/>
  <c r="W554" i="8" s="1"/>
  <c r="Y554" i="8" s="1"/>
  <c r="U555" i="8" s="1"/>
  <c r="W555" i="8" s="1"/>
  <c r="Y555" i="8" s="1"/>
  <c r="U556" i="8" s="1"/>
  <c r="W556" i="8" s="1"/>
  <c r="Y556" i="8" s="1"/>
  <c r="U557" i="8" s="1"/>
  <c r="W557" i="8" s="1"/>
  <c r="Y557" i="8" s="1"/>
  <c r="U558" i="8" s="1"/>
  <c r="W558" i="8" s="1"/>
  <c r="Y558" i="8" s="1"/>
  <c r="U559" i="8" s="1"/>
  <c r="W559" i="8" s="1"/>
  <c r="Y559" i="8" s="1"/>
  <c r="U560" i="8" s="1"/>
  <c r="W560" i="8" s="1"/>
  <c r="Y560" i="8" s="1"/>
  <c r="W601" i="8"/>
  <c r="Y601" i="8" s="1"/>
  <c r="W521" i="8"/>
  <c r="Y521" i="8" s="1"/>
  <c r="U522" i="8" s="1"/>
  <c r="W522" i="8" s="1"/>
  <c r="Y522" i="8" s="1"/>
  <c r="U523" i="8" s="1"/>
  <c r="W523" i="8" s="1"/>
  <c r="Y523" i="8" s="1"/>
  <c r="U524" i="8" s="1"/>
  <c r="W524" i="8" s="1"/>
  <c r="Y524" i="8" s="1"/>
  <c r="U525" i="8" s="1"/>
  <c r="W525" i="8" s="1"/>
  <c r="Y525" i="8" s="1"/>
  <c r="U526" i="8" s="1"/>
  <c r="W526" i="8" s="1"/>
  <c r="Y526" i="8" s="1"/>
  <c r="U527" i="8" s="1"/>
  <c r="W527" i="8" s="1"/>
  <c r="Y527" i="8" s="1"/>
  <c r="U528" i="8" s="1"/>
  <c r="W528" i="8" s="1"/>
  <c r="Y528" i="8" s="1"/>
  <c r="W314" i="8"/>
  <c r="Y314" i="8" s="1"/>
  <c r="U315" i="8" s="1"/>
  <c r="W218" i="8"/>
  <c r="Y218" i="8" s="1"/>
  <c r="U219" i="8" s="1"/>
  <c r="W219" i="8" s="1"/>
  <c r="Y219" i="8" s="1"/>
  <c r="U220" i="8" s="1"/>
  <c r="W220" i="8" s="1"/>
  <c r="Y220" i="8" s="1"/>
  <c r="W489" i="8"/>
  <c r="Y489" i="8" s="1"/>
  <c r="W74" i="8"/>
  <c r="Y74" i="8" s="1"/>
  <c r="U75" i="8" s="1"/>
  <c r="W75" i="8" s="1"/>
  <c r="Y75" i="8" s="1"/>
  <c r="U76" i="8" s="1"/>
  <c r="W76" i="8" s="1"/>
  <c r="Y76" i="8" s="1"/>
  <c r="U77" i="8" s="1"/>
  <c r="W77" i="8" s="1"/>
  <c r="Y77" i="8" s="1"/>
  <c r="U78" i="8" s="1"/>
  <c r="W78" i="8" s="1"/>
  <c r="Y78" i="8" s="1"/>
  <c r="Y79" i="8" s="1"/>
  <c r="U80" i="8" s="1"/>
  <c r="W80" i="8" s="1"/>
  <c r="Y80" i="8" s="1"/>
  <c r="U81" i="8" s="1"/>
  <c r="W81" i="8" s="1"/>
  <c r="Y81" i="8" s="1"/>
  <c r="U82" i="8" s="1"/>
  <c r="W82" i="8" s="1"/>
  <c r="Y82" i="8" s="1"/>
  <c r="U83" i="8" s="1"/>
  <c r="W83" i="8" s="1"/>
  <c r="Y83" i="8" s="1"/>
  <c r="U722" i="8"/>
  <c r="W722" i="8" s="1"/>
  <c r="Y722" i="8" s="1"/>
  <c r="U723" i="8" s="1"/>
  <c r="W723" i="8" s="1"/>
  <c r="Y723" i="8" s="1"/>
  <c r="W106" i="8"/>
  <c r="Y106" i="8" s="1"/>
  <c r="U107" i="8" s="1"/>
  <c r="W107" i="8" s="1"/>
  <c r="Y107" i="8" s="1"/>
  <c r="U108" i="8" s="1"/>
  <c r="W108" i="8" s="1"/>
  <c r="Y108" i="8" s="1"/>
  <c r="U109" i="8" s="1"/>
  <c r="W109" i="8" s="1"/>
  <c r="Y109" i="8" s="1"/>
  <c r="U110" i="8" s="1"/>
  <c r="W110" i="8" s="1"/>
  <c r="Y110" i="8" s="1"/>
  <c r="U111" i="8" s="1"/>
  <c r="W111" i="8" s="1"/>
  <c r="Y111" i="8" s="1"/>
  <c r="U112" i="8" s="1"/>
  <c r="W112" i="8" s="1"/>
  <c r="Y112" i="8" s="1"/>
  <c r="U113" i="8" s="1"/>
  <c r="W113" i="8" s="1"/>
  <c r="Y113" i="8" s="1"/>
  <c r="U114" i="8" s="1"/>
  <c r="W114" i="8" s="1"/>
  <c r="Y114" i="8" s="1"/>
  <c r="U115" i="8" s="1"/>
  <c r="W115" i="8" s="1"/>
  <c r="Y115" i="8" s="1"/>
  <c r="W202" i="8"/>
  <c r="Y202" i="8" s="1"/>
  <c r="U203" i="8" s="1"/>
  <c r="W203" i="8" s="1"/>
  <c r="Y203" i="8" s="1"/>
  <c r="U204" i="8" s="1"/>
  <c r="W204" i="8" s="1"/>
  <c r="Y204" i="8" s="1"/>
  <c r="U205" i="8" s="1"/>
  <c r="W664" i="8"/>
  <c r="Y664" i="8" s="1"/>
  <c r="U665" i="8" s="1"/>
  <c r="W362" i="8"/>
  <c r="Y362" i="8" s="1"/>
  <c r="W473" i="8"/>
  <c r="Y473" i="8" s="1"/>
  <c r="U474" i="8" s="1"/>
  <c r="W474" i="8" s="1"/>
  <c r="Y474" i="8" s="1"/>
  <c r="U475" i="8" s="1"/>
  <c r="W475" i="8" s="1"/>
  <c r="Y475" i="8" s="1"/>
  <c r="W585" i="8"/>
  <c r="Y585" i="8" s="1"/>
  <c r="U586" i="8" s="1"/>
  <c r="W586" i="8" s="1"/>
  <c r="Y586" i="8" s="1"/>
  <c r="U587" i="8" s="1"/>
  <c r="W587" i="8" s="1"/>
  <c r="Y587" i="8" s="1"/>
  <c r="U588" i="8" s="1"/>
  <c r="W588" i="8" s="1"/>
  <c r="Y588" i="8" s="1"/>
  <c r="U589" i="8" s="1"/>
  <c r="W589" i="8" s="1"/>
  <c r="Y589" i="8" s="1"/>
  <c r="U590" i="8" s="1"/>
  <c r="W590" i="8" s="1"/>
  <c r="Y590" i="8" s="1"/>
  <c r="U591" i="8" s="1"/>
  <c r="W591" i="8" s="1"/>
  <c r="Y591" i="8" s="1"/>
  <c r="U592" i="8" s="1"/>
  <c r="W592" i="8" s="1"/>
  <c r="Y592" i="8" s="1"/>
  <c r="U593" i="8" s="1"/>
  <c r="W593" i="8" s="1"/>
  <c r="Y593" i="8" s="1"/>
  <c r="U594" i="8" s="1"/>
  <c r="W594" i="8" s="1"/>
  <c r="Y594" i="8" s="1"/>
  <c r="U595" i="8" s="1"/>
  <c r="W595" i="8" s="1"/>
  <c r="Y595" i="8" s="1"/>
  <c r="U596" i="8" s="1"/>
  <c r="W596" i="8" s="1"/>
  <c r="Y596" i="8" s="1"/>
  <c r="W680" i="8"/>
  <c r="Y680" i="8" s="1"/>
  <c r="U681" i="8" s="1"/>
  <c r="W617" i="8"/>
  <c r="Y617" i="8" s="1"/>
  <c r="U618" i="8" s="1"/>
  <c r="W618" i="8" s="1"/>
  <c r="Y618" i="8" s="1"/>
  <c r="U619" i="8" s="1"/>
  <c r="W619" i="8" s="1"/>
  <c r="Y619" i="8" s="1"/>
  <c r="U620" i="8" s="1"/>
  <c r="W620" i="8" s="1"/>
  <c r="Y620" i="8" s="1"/>
  <c r="W872" i="8"/>
  <c r="Y872" i="8" s="1"/>
  <c r="U873" i="8" s="1"/>
  <c r="W873" i="8" s="1"/>
  <c r="Y873" i="8" s="1"/>
  <c r="U874" i="8" s="1"/>
  <c r="W874" i="8" s="1"/>
  <c r="Y874" i="8" s="1"/>
  <c r="U875" i="8" s="1"/>
  <c r="W875" i="8" s="1"/>
  <c r="Y875" i="8" s="1"/>
  <c r="U876" i="8" s="1"/>
  <c r="W876" i="8" s="1"/>
  <c r="Y876" i="8" s="1"/>
  <c r="U877" i="8" s="1"/>
  <c r="W877" i="8" s="1"/>
  <c r="Y877" i="8" s="1"/>
  <c r="U878" i="8" s="1"/>
  <c r="W878" i="8" s="1"/>
  <c r="Y878" i="8" s="1"/>
  <c r="U879" i="8" s="1"/>
  <c r="W879" i="8" s="1"/>
  <c r="Y879" i="8" s="1"/>
  <c r="U880" i="8" s="1"/>
  <c r="W880" i="8" s="1"/>
  <c r="Y880" i="8" s="1"/>
  <c r="U881" i="8" s="1"/>
  <c r="W881" i="8" s="1"/>
  <c r="Y881" i="8" s="1"/>
  <c r="U882" i="8" s="1"/>
  <c r="W882" i="8" s="1"/>
  <c r="Y882" i="8" s="1"/>
  <c r="U883" i="8" s="1"/>
  <c r="W883" i="8" s="1"/>
  <c r="Y883" i="8" s="1"/>
  <c r="W840" i="8"/>
  <c r="Y840" i="8" s="1"/>
  <c r="U841" i="8" s="1"/>
  <c r="W841" i="8" s="1"/>
  <c r="Y841" i="8" s="1"/>
  <c r="U842" i="8" s="1"/>
  <c r="W842" i="8" s="1"/>
  <c r="Y842" i="8" s="1"/>
  <c r="U843" i="8" s="1"/>
  <c r="W843" i="8" s="1"/>
  <c r="Y843" i="8" s="1"/>
  <c r="U844" i="8" s="1"/>
  <c r="W844" i="8" s="1"/>
  <c r="Y844" i="8" s="1"/>
  <c r="U845" i="8" s="1"/>
  <c r="W845" i="8" s="1"/>
  <c r="Y845" i="8" s="1"/>
  <c r="U846" i="8" s="1"/>
  <c r="W846" i="8" s="1"/>
  <c r="Y846" i="8" s="1"/>
  <c r="U847" i="8" s="1"/>
  <c r="W847" i="8" s="1"/>
  <c r="Y847" i="8" s="1"/>
  <c r="U848" i="8" s="1"/>
  <c r="W848" i="8" s="1"/>
  <c r="Y848" i="8" s="1"/>
  <c r="U849" i="8" s="1"/>
  <c r="W849" i="8" s="1"/>
  <c r="Y849" i="8" s="1"/>
  <c r="U850" i="8" s="1"/>
  <c r="W850" i="8" s="1"/>
  <c r="Y850" i="8" s="1"/>
  <c r="U851" i="8" s="1"/>
  <c r="W851" i="8" s="1"/>
  <c r="Y851" i="8" s="1"/>
  <c r="W633" i="8"/>
  <c r="Y633" i="8" s="1"/>
  <c r="U634" i="8" s="1"/>
  <c r="W634" i="8" s="1"/>
  <c r="Y634" i="8" s="1"/>
  <c r="U635" i="8" s="1"/>
  <c r="W635" i="8" s="1"/>
  <c r="Y635" i="8" s="1"/>
  <c r="U636" i="8" s="1"/>
  <c r="W636" i="8" s="1"/>
  <c r="Y636" i="8" s="1"/>
  <c r="W442" i="8"/>
  <c r="Y442" i="8" s="1"/>
  <c r="U443" i="8" s="1"/>
  <c r="W537" i="8"/>
  <c r="Y537" i="8" s="1"/>
  <c r="W378" i="8"/>
  <c r="Y378" i="8" s="1"/>
  <c r="U379" i="8" s="1"/>
  <c r="W379" i="8" s="1"/>
  <c r="Y379" i="8" s="1"/>
  <c r="U380" i="8" s="1"/>
  <c r="W380" i="8" s="1"/>
  <c r="Y380" i="8" s="1"/>
  <c r="U381" i="8" s="1"/>
  <c r="W381" i="8" s="1"/>
  <c r="Y381" i="8" s="1"/>
  <c r="U382" i="8" s="1"/>
  <c r="W382" i="8" s="1"/>
  <c r="Y382" i="8" s="1"/>
  <c r="W90" i="8"/>
  <c r="Y90" i="8" s="1"/>
  <c r="U91" i="8" s="1"/>
  <c r="U621" i="8" l="1"/>
  <c r="W621" i="8" s="1"/>
  <c r="Y621" i="8" s="1"/>
  <c r="U637" i="8"/>
  <c r="W637" i="8" s="1"/>
  <c r="Y637" i="8" s="1"/>
  <c r="U490" i="8"/>
  <c r="W490" i="8" s="1"/>
  <c r="Y490" i="8" s="1"/>
  <c r="U476" i="8"/>
  <c r="W476" i="8" s="1"/>
  <c r="Y476" i="8" s="1"/>
  <c r="U477" i="8" s="1"/>
  <c r="U221" i="8"/>
  <c r="W221" i="8" s="1"/>
  <c r="Y221" i="8" s="1"/>
  <c r="U222" i="8" s="1"/>
  <c r="U363" i="8"/>
  <c r="W363" i="8" s="1"/>
  <c r="Y363" i="8" s="1"/>
  <c r="U602" i="8"/>
  <c r="W602" i="8" s="1"/>
  <c r="Y602" i="8" s="1"/>
  <c r="U116" i="8"/>
  <c r="W116" i="8" s="1"/>
  <c r="Y116" i="8" s="1"/>
  <c r="W117" i="8" s="1"/>
  <c r="Y117" i="8" s="1"/>
  <c r="U84" i="8"/>
  <c r="W84" i="8" s="1"/>
  <c r="Y84" i="8" s="1"/>
  <c r="W85" i="8" s="1"/>
  <c r="Y85" i="8" s="1"/>
  <c r="W562" i="8"/>
  <c r="Y562" i="8" s="1"/>
  <c r="W563" i="8" s="1"/>
  <c r="Y563" i="8" s="1"/>
  <c r="W564" i="8" s="1"/>
  <c r="Y564" i="8" s="1"/>
  <c r="U561" i="8"/>
  <c r="W561" i="8" s="1"/>
  <c r="Y561" i="8" s="1"/>
  <c r="W530" i="8"/>
  <c r="Y530" i="8" s="1"/>
  <c r="U531" i="8" s="1"/>
  <c r="W531" i="8" s="1"/>
  <c r="Y531" i="8" s="1"/>
  <c r="U532" i="8" s="1"/>
  <c r="W532" i="8" s="1"/>
  <c r="Y532" i="8" s="1"/>
  <c r="U529" i="8"/>
  <c r="W529" i="8" s="1"/>
  <c r="Y529" i="8" s="1"/>
  <c r="U383" i="8"/>
  <c r="W383" i="8" s="1"/>
  <c r="Y383" i="8" s="1"/>
  <c r="U400" i="8"/>
  <c r="W400" i="8" s="1"/>
  <c r="Y400" i="8" s="1"/>
  <c r="U401" i="8" s="1"/>
  <c r="W401" i="8" s="1"/>
  <c r="Y401" i="8" s="1"/>
  <c r="U402" i="8" s="1"/>
  <c r="W402" i="8" s="1"/>
  <c r="Y402" i="8" s="1"/>
  <c r="U403" i="8" s="1"/>
  <c r="W403" i="8" s="1"/>
  <c r="Y403" i="8" s="1"/>
  <c r="U404" i="8" s="1"/>
  <c r="W404" i="8" s="1"/>
  <c r="Y404" i="8" s="1"/>
  <c r="U405" i="8" s="1"/>
  <c r="W405" i="8" s="1"/>
  <c r="Y405" i="8" s="1"/>
  <c r="W205" i="8"/>
  <c r="Y205" i="8" s="1"/>
  <c r="U206" i="8" s="1"/>
  <c r="W315" i="8"/>
  <c r="Y315" i="8" s="1"/>
  <c r="U316" i="8" s="1"/>
  <c r="W538" i="8"/>
  <c r="Y538" i="8" s="1"/>
  <c r="W443" i="8"/>
  <c r="Y443" i="8" s="1"/>
  <c r="U444" i="8" s="1"/>
  <c r="W681" i="8"/>
  <c r="Y681" i="8" s="1"/>
  <c r="W91" i="8"/>
  <c r="Y91" i="8" s="1"/>
  <c r="U92" i="8" s="1"/>
  <c r="W665" i="8"/>
  <c r="Y665" i="8" s="1"/>
  <c r="U666" i="8" s="1"/>
  <c r="D109" i="1"/>
  <c r="U638" i="8" l="1"/>
  <c r="W638" i="8" s="1"/>
  <c r="Y638" i="8" s="1"/>
  <c r="W639" i="8" s="1"/>
  <c r="Y639" i="8" s="1"/>
  <c r="U640" i="8" s="1"/>
  <c r="W640" i="8" s="1"/>
  <c r="Y640" i="8" s="1"/>
  <c r="U641" i="8" s="1"/>
  <c r="W641" i="8" s="1"/>
  <c r="Y641" i="8" s="1"/>
  <c r="U642" i="8" s="1"/>
  <c r="W642" i="8" s="1"/>
  <c r="Y642" i="8" s="1"/>
  <c r="U643" i="8" s="1"/>
  <c r="W643" i="8" s="1"/>
  <c r="Y643" i="8" s="1"/>
  <c r="U644" i="8" s="1"/>
  <c r="W644" i="8" s="1"/>
  <c r="Y644" i="8" s="1"/>
  <c r="U622" i="8"/>
  <c r="W622" i="8" s="1"/>
  <c r="Y622" i="8" s="1"/>
  <c r="W623" i="8" s="1"/>
  <c r="Y623" i="8" s="1"/>
  <c r="U624" i="8" s="1"/>
  <c r="W624" i="8" s="1"/>
  <c r="Y624" i="8" s="1"/>
  <c r="U625" i="8" s="1"/>
  <c r="W625" i="8" s="1"/>
  <c r="Y625" i="8" s="1"/>
  <c r="U626" i="8" s="1"/>
  <c r="W626" i="8" s="1"/>
  <c r="Y626" i="8" s="1"/>
  <c r="U627" i="8" s="1"/>
  <c r="W627" i="8" s="1"/>
  <c r="Y627" i="8" s="1"/>
  <c r="U628" i="8" s="1"/>
  <c r="W628" i="8" s="1"/>
  <c r="Y628" i="8" s="1"/>
  <c r="U491" i="8"/>
  <c r="W491" i="8" s="1"/>
  <c r="Y491" i="8" s="1"/>
  <c r="W222" i="8"/>
  <c r="Y222" i="8" s="1"/>
  <c r="W477" i="8"/>
  <c r="Y477" i="8" s="1"/>
  <c r="U364" i="8"/>
  <c r="W364" i="8" s="1"/>
  <c r="Y364" i="8" s="1"/>
  <c r="U603" i="8"/>
  <c r="W603" i="8" s="1"/>
  <c r="Y603" i="8" s="1"/>
  <c r="U604" i="8" s="1"/>
  <c r="W604" i="8" s="1"/>
  <c r="Y604" i="8" s="1"/>
  <c r="U605" i="8" s="1"/>
  <c r="W605" i="8" s="1"/>
  <c r="Y605" i="8" s="1"/>
  <c r="U606" i="8" s="1"/>
  <c r="U682" i="8"/>
  <c r="W682" i="8" s="1"/>
  <c r="Y682" i="8" s="1"/>
  <c r="W387" i="8"/>
  <c r="Y387" i="8" s="1"/>
  <c r="U388" i="8" s="1"/>
  <c r="W388" i="8" s="1"/>
  <c r="Y388" i="8" s="1"/>
  <c r="U389" i="8" s="1"/>
  <c r="W389" i="8" s="1"/>
  <c r="Y389" i="8" s="1"/>
  <c r="W384" i="8"/>
  <c r="Y384" i="8" s="1"/>
  <c r="U385" i="8" s="1"/>
  <c r="W385" i="8" s="1"/>
  <c r="Y385" i="8" s="1"/>
  <c r="U386" i="8" s="1"/>
  <c r="W386" i="8" s="1"/>
  <c r="Y386" i="8" s="1"/>
  <c r="W206" i="8"/>
  <c r="Y206" i="8" s="1"/>
  <c r="W539" i="8"/>
  <c r="Y539" i="8" s="1"/>
  <c r="W316" i="8"/>
  <c r="Y316" i="8" s="1"/>
  <c r="U317" i="8" s="1"/>
  <c r="W92" i="8"/>
  <c r="Y92" i="8" s="1"/>
  <c r="U93" i="8" s="1"/>
  <c r="W444" i="8"/>
  <c r="Y444" i="8" s="1"/>
  <c r="U445" i="8" s="1"/>
  <c r="W701" i="8"/>
  <c r="Y701" i="8" s="1"/>
  <c r="W666" i="8"/>
  <c r="Y666" i="8" s="1"/>
  <c r="U667" i="8" s="1"/>
  <c r="U478" i="8" l="1"/>
  <c r="W478" i="8" s="1"/>
  <c r="Y478" i="8" s="1"/>
  <c r="W479" i="8" s="1"/>
  <c r="Y479" i="8" s="1"/>
  <c r="U480" i="8" s="1"/>
  <c r="W480" i="8" s="1"/>
  <c r="Y480" i="8" s="1"/>
  <c r="U223" i="8"/>
  <c r="W223" i="8" s="1"/>
  <c r="Y223" i="8" s="1"/>
  <c r="W224" i="8" s="1"/>
  <c r="Y224" i="8" s="1"/>
  <c r="U225" i="8" s="1"/>
  <c r="W225" i="8" s="1"/>
  <c r="Y225" i="8" s="1"/>
  <c r="U207" i="8"/>
  <c r="W207" i="8" s="1"/>
  <c r="Y207" i="8" s="1"/>
  <c r="W208" i="8" s="1"/>
  <c r="Y208" i="8" s="1"/>
  <c r="W209" i="8" s="1"/>
  <c r="Y209" i="8" s="1"/>
  <c r="W210" i="8" s="1"/>
  <c r="Y210" i="8" s="1"/>
  <c r="W211" i="8" s="1"/>
  <c r="Y211" i="8" s="1"/>
  <c r="U492" i="8"/>
  <c r="W492" i="8" s="1"/>
  <c r="Y492" i="8" s="1"/>
  <c r="U683" i="8"/>
  <c r="W683" i="8" s="1"/>
  <c r="Y683" i="8" s="1"/>
  <c r="U684" i="8" s="1"/>
  <c r="U365" i="8"/>
  <c r="W365" i="8" s="1"/>
  <c r="Y365" i="8" s="1"/>
  <c r="U366" i="8" s="1"/>
  <c r="W317" i="8"/>
  <c r="Y317" i="8" s="1"/>
  <c r="W318" i="8" s="1"/>
  <c r="Y318" i="8" s="1"/>
  <c r="U319" i="8" s="1"/>
  <c r="W212" i="8"/>
  <c r="Y212" i="8" s="1"/>
  <c r="W606" i="8"/>
  <c r="Y606" i="8" s="1"/>
  <c r="W686" i="8"/>
  <c r="Y686" i="8" s="1"/>
  <c r="W687" i="8" s="1"/>
  <c r="Y687" i="8" s="1"/>
  <c r="U688" i="8" s="1"/>
  <c r="W688" i="8" s="1"/>
  <c r="Y688" i="8" s="1"/>
  <c r="U689" i="8" s="1"/>
  <c r="W689" i="8" s="1"/>
  <c r="Y689" i="8" s="1"/>
  <c r="U690" i="8" s="1"/>
  <c r="W690" i="8" s="1"/>
  <c r="Y690" i="8" s="1"/>
  <c r="U691" i="8" s="1"/>
  <c r="W691" i="8" s="1"/>
  <c r="Y691" i="8" s="1"/>
  <c r="W93" i="8"/>
  <c r="Y93" i="8" s="1"/>
  <c r="U94" i="8" s="1"/>
  <c r="W445" i="8"/>
  <c r="Y445" i="8" s="1"/>
  <c r="U446" i="8" s="1"/>
  <c r="W540" i="8"/>
  <c r="Y540" i="8" s="1"/>
  <c r="W702" i="8"/>
  <c r="Y702" i="8" s="1"/>
  <c r="W667" i="8"/>
  <c r="Y667" i="8" s="1"/>
  <c r="U668" i="8" s="1"/>
  <c r="U493" i="8" l="1"/>
  <c r="W493" i="8" s="1"/>
  <c r="Y493" i="8" s="1"/>
  <c r="W366" i="8"/>
  <c r="Y366" i="8" s="1"/>
  <c r="W684" i="8"/>
  <c r="Y684" i="8" s="1"/>
  <c r="U685" i="8" s="1"/>
  <c r="W685" i="8" s="1"/>
  <c r="Y685" i="8" s="1"/>
  <c r="W213" i="8"/>
  <c r="Y213" i="8" s="1"/>
  <c r="U226" i="8"/>
  <c r="W226" i="8" s="1"/>
  <c r="Y226" i="8" s="1"/>
  <c r="U481" i="8"/>
  <c r="W481" i="8" s="1"/>
  <c r="Y481" i="8" s="1"/>
  <c r="U482" i="8" s="1"/>
  <c r="W482" i="8" s="1"/>
  <c r="Y482" i="8" s="1"/>
  <c r="U483" i="8" s="1"/>
  <c r="W483" i="8" s="1"/>
  <c r="Y483" i="8" s="1"/>
  <c r="U484" i="8" s="1"/>
  <c r="W484" i="8" s="1"/>
  <c r="Y484" i="8" s="1"/>
  <c r="U416" i="8"/>
  <c r="W416" i="8" s="1"/>
  <c r="Y416" i="8" s="1"/>
  <c r="U417" i="8" s="1"/>
  <c r="W417" i="8" s="1"/>
  <c r="Y417" i="8" s="1"/>
  <c r="U418" i="8" s="1"/>
  <c r="W418" i="8" s="1"/>
  <c r="Y418" i="8" s="1"/>
  <c r="U419" i="8" s="1"/>
  <c r="W419" i="8" s="1"/>
  <c r="Y419" i="8" s="1"/>
  <c r="W420" i="8" s="1"/>
  <c r="Y420" i="8" s="1"/>
  <c r="W421" i="8" s="1"/>
  <c r="Y421" i="8" s="1"/>
  <c r="W607" i="8"/>
  <c r="Y607" i="8" s="1"/>
  <c r="W446" i="8"/>
  <c r="Y446" i="8" s="1"/>
  <c r="U447" i="8" s="1"/>
  <c r="W541" i="8"/>
  <c r="Y541" i="8" s="1"/>
  <c r="W668" i="8"/>
  <c r="Y668" i="8" s="1"/>
  <c r="U669" i="8" s="1"/>
  <c r="W94" i="8"/>
  <c r="Y94" i="8" s="1"/>
  <c r="U95" i="8" s="1"/>
  <c r="W703" i="8"/>
  <c r="Y703" i="8" s="1"/>
  <c r="W319" i="8"/>
  <c r="Y319" i="8" s="1"/>
  <c r="U367" i="8" l="1"/>
  <c r="W367" i="8" s="1"/>
  <c r="Y367" i="8" s="1"/>
  <c r="W368" i="8" s="1"/>
  <c r="Y368" i="8" s="1"/>
  <c r="U369" i="8" s="1"/>
  <c r="W369" i="8" s="1"/>
  <c r="Y369" i="8" s="1"/>
  <c r="U370" i="8" s="1"/>
  <c r="W370" i="8" s="1"/>
  <c r="Y370" i="8" s="1"/>
  <c r="U371" i="8" s="1"/>
  <c r="W371" i="8" s="1"/>
  <c r="Y371" i="8" s="1"/>
  <c r="U372" i="8" s="1"/>
  <c r="W372" i="8" s="1"/>
  <c r="Y372" i="8" s="1"/>
  <c r="U373" i="8" s="1"/>
  <c r="W373" i="8" s="1"/>
  <c r="Y373" i="8" s="1"/>
  <c r="U494" i="8"/>
  <c r="W494" i="8" s="1"/>
  <c r="Y494" i="8" s="1"/>
  <c r="W495" i="8" s="1"/>
  <c r="Y495" i="8" s="1"/>
  <c r="W496" i="8" s="1"/>
  <c r="Y496" i="8" s="1"/>
  <c r="U497" i="8" s="1"/>
  <c r="W497" i="8" s="1"/>
  <c r="Y497" i="8" s="1"/>
  <c r="U498" i="8" s="1"/>
  <c r="W498" i="8" s="1"/>
  <c r="Y498" i="8" s="1"/>
  <c r="U499" i="8" s="1"/>
  <c r="W499" i="8" s="1"/>
  <c r="Y499" i="8" s="1"/>
  <c r="U500" i="8" s="1"/>
  <c r="W500" i="8" s="1"/>
  <c r="Y500" i="8" s="1"/>
  <c r="U227" i="8"/>
  <c r="W227" i="8" s="1"/>
  <c r="Y227" i="8" s="1"/>
  <c r="W608" i="8"/>
  <c r="Y608" i="8" s="1"/>
  <c r="W542" i="8"/>
  <c r="Y542" i="8" s="1"/>
  <c r="W447" i="8"/>
  <c r="Y447" i="8" s="1"/>
  <c r="W95" i="8"/>
  <c r="Y95" i="8" s="1"/>
  <c r="W669" i="8"/>
  <c r="Y669" i="8" s="1"/>
  <c r="W704" i="8"/>
  <c r="Y704" i="8" s="1"/>
  <c r="W320" i="8"/>
  <c r="Y320" i="8" s="1"/>
  <c r="U321" i="8" s="1"/>
  <c r="U228" i="8" l="1"/>
  <c r="W228" i="8" s="1"/>
  <c r="Y228" i="8" s="1"/>
  <c r="W609" i="8"/>
  <c r="Y609" i="8" s="1"/>
  <c r="W543" i="8"/>
  <c r="Y543" i="8" s="1"/>
  <c r="W544" i="8" s="1"/>
  <c r="Y544" i="8" s="1"/>
  <c r="W96" i="8"/>
  <c r="Y96" i="8" s="1"/>
  <c r="W670" i="8"/>
  <c r="Y670" i="8" s="1"/>
  <c r="W448" i="8"/>
  <c r="Y448" i="8" s="1"/>
  <c r="W705" i="8"/>
  <c r="Y705" i="8" s="1"/>
  <c r="W321" i="8"/>
  <c r="Y321" i="8" s="1"/>
  <c r="U322" i="8" s="1"/>
  <c r="U229" i="8" l="1"/>
  <c r="W229" i="8" s="1"/>
  <c r="Y229" i="8" s="1"/>
  <c r="W610" i="8"/>
  <c r="Y610" i="8" s="1"/>
  <c r="U545" i="8"/>
  <c r="W545" i="8" s="1"/>
  <c r="Y545" i="8" s="1"/>
  <c r="W546" i="8" s="1"/>
  <c r="Y546" i="8" s="1"/>
  <c r="W547" i="8" s="1"/>
  <c r="Y547" i="8" s="1"/>
  <c r="W548" i="8" s="1"/>
  <c r="Y548" i="8" s="1"/>
  <c r="W449" i="8"/>
  <c r="Y449" i="8" s="1"/>
  <c r="W97" i="8"/>
  <c r="Y97" i="8" s="1"/>
  <c r="U671" i="8"/>
  <c r="W671" i="8" s="1"/>
  <c r="Y671" i="8" s="1"/>
  <c r="W706" i="8"/>
  <c r="Y706" i="8" s="1"/>
  <c r="W322" i="8"/>
  <c r="Y322" i="8" s="1"/>
  <c r="U323" i="8" s="1"/>
  <c r="H43" i="1"/>
  <c r="E43" i="1"/>
  <c r="B43" i="1"/>
  <c r="W611" i="8" l="1"/>
  <c r="Y611" i="8" s="1"/>
  <c r="W612" i="8" s="1"/>
  <c r="Y612" i="8" s="1"/>
  <c r="W98" i="8"/>
  <c r="Y98" i="8" s="1"/>
  <c r="U672" i="8"/>
  <c r="W672" i="8" s="1"/>
  <c r="Y672" i="8" s="1"/>
  <c r="W450" i="8"/>
  <c r="Y450" i="8" s="1"/>
  <c r="W707" i="8"/>
  <c r="Y707" i="8" s="1"/>
  <c r="W323" i="8"/>
  <c r="Y323" i="8" s="1"/>
  <c r="U324" i="8" s="1"/>
  <c r="U673" i="8" l="1"/>
  <c r="W673" i="8" s="1"/>
  <c r="Y673" i="8" s="1"/>
  <c r="W451" i="8"/>
  <c r="Y451" i="8" s="1"/>
  <c r="W99" i="8"/>
  <c r="Y99" i="8" s="1"/>
  <c r="W324" i="8"/>
  <c r="Y324" i="8" s="1"/>
  <c r="U325" i="8" s="1"/>
  <c r="W100" i="8" l="1"/>
  <c r="Y100" i="8" s="1"/>
  <c r="W452" i="8"/>
  <c r="Y452" i="8" s="1"/>
  <c r="U674" i="8"/>
  <c r="W674" i="8" s="1"/>
  <c r="Y674" i="8" s="1"/>
  <c r="W325" i="8"/>
  <c r="Y325" i="8" s="1"/>
  <c r="W453" i="8" l="1"/>
  <c r="Y453" i="8" s="1"/>
  <c r="W101" i="8"/>
  <c r="Y101" i="8" s="1"/>
  <c r="U675" i="8"/>
  <c r="W675" i="8" s="1"/>
  <c r="Y675" i="8" s="1"/>
  <c r="K383" i="8" l="1"/>
  <c r="B66" i="1" l="1"/>
  <c r="R625" i="8" l="1"/>
  <c r="W351" i="8" l="1"/>
  <c r="R283" i="8" l="1"/>
  <c r="K111" i="8" l="1"/>
  <c r="B49" i="1" l="1"/>
  <c r="R362" i="8" l="1"/>
  <c r="R363" i="8" s="1"/>
  <c r="R364" i="8" l="1"/>
  <c r="R365" i="8" s="1"/>
  <c r="R366" i="8" s="1"/>
  <c r="R367" i="8" s="1"/>
  <c r="R368" i="8" s="1"/>
  <c r="R369" i="8" s="1"/>
  <c r="R370" i="8" s="1"/>
  <c r="R371" i="8" s="1"/>
  <c r="R372" i="8" s="1"/>
  <c r="R373" i="8" s="1"/>
  <c r="B76" i="1"/>
  <c r="R562" i="8" l="1"/>
  <c r="C561" i="8" s="1"/>
  <c r="G560" i="8"/>
  <c r="K560" i="8" s="1"/>
  <c r="C560" i="8"/>
  <c r="G23" i="1" s="1"/>
  <c r="C559" i="8"/>
  <c r="F23" i="1" s="1"/>
  <c r="K558" i="8"/>
  <c r="J23" i="1" s="1"/>
  <c r="G558" i="8"/>
  <c r="M23" i="1" s="1"/>
  <c r="H552" i="8"/>
  <c r="G552" i="8"/>
  <c r="C609" i="8"/>
  <c r="G608" i="8"/>
  <c r="C608" i="8"/>
  <c r="G30" i="1" s="1"/>
  <c r="C607" i="8"/>
  <c r="F30" i="1" s="1"/>
  <c r="K606" i="8"/>
  <c r="J30" i="1" s="1"/>
  <c r="G606" i="8"/>
  <c r="M30" i="1" s="1"/>
  <c r="H600" i="8"/>
  <c r="G600" i="8"/>
  <c r="U437" i="8"/>
  <c r="W437" i="8" s="1"/>
  <c r="Y437" i="8" s="1"/>
  <c r="R437" i="8"/>
  <c r="R435" i="8"/>
  <c r="G433" i="8"/>
  <c r="C433" i="8"/>
  <c r="G50" i="1" s="1"/>
  <c r="C432" i="8"/>
  <c r="F50" i="1" s="1"/>
  <c r="G431" i="8"/>
  <c r="M50" i="1" s="1"/>
  <c r="H425" i="8"/>
  <c r="G425" i="8"/>
  <c r="G273" i="8"/>
  <c r="C273" i="8"/>
  <c r="G61" i="1" s="1"/>
  <c r="C272" i="8"/>
  <c r="F61" i="1" s="1"/>
  <c r="K271" i="8"/>
  <c r="J61" i="1" s="1"/>
  <c r="G271" i="8"/>
  <c r="M61" i="1" s="1"/>
  <c r="W266" i="8"/>
  <c r="Y266" i="8" s="1"/>
  <c r="U267" i="8" s="1"/>
  <c r="W267" i="8" s="1"/>
  <c r="Y267" i="8" s="1"/>
  <c r="U268" i="8" s="1"/>
  <c r="H265" i="8"/>
  <c r="G265" i="8"/>
  <c r="C529" i="8"/>
  <c r="G528" i="8"/>
  <c r="C528" i="8"/>
  <c r="G24" i="1" s="1"/>
  <c r="C527" i="8"/>
  <c r="F24" i="1" s="1"/>
  <c r="K526" i="8"/>
  <c r="J24" i="1" s="1"/>
  <c r="G526" i="8"/>
  <c r="M24" i="1" s="1"/>
  <c r="H520" i="8"/>
  <c r="G520" i="8"/>
  <c r="G129" i="8"/>
  <c r="C129" i="8"/>
  <c r="G17" i="1" s="1"/>
  <c r="C128" i="8"/>
  <c r="K127" i="8"/>
  <c r="J17" i="1" s="1"/>
  <c r="G127" i="8"/>
  <c r="M17" i="1" s="1"/>
  <c r="W122" i="8"/>
  <c r="Y122" i="8" s="1"/>
  <c r="H121" i="8"/>
  <c r="G121" i="8"/>
  <c r="G321" i="8"/>
  <c r="K321" i="8" s="1"/>
  <c r="C321" i="8"/>
  <c r="G58" i="1" s="1"/>
  <c r="C320" i="8"/>
  <c r="F58" i="1" s="1"/>
  <c r="K319" i="8"/>
  <c r="J58" i="1" s="1"/>
  <c r="G319" i="8"/>
  <c r="M58" i="1" s="1"/>
  <c r="C322" i="8"/>
  <c r="H313" i="8"/>
  <c r="G313" i="8"/>
  <c r="G225" i="8"/>
  <c r="O43" i="1" s="1"/>
  <c r="C225" i="8"/>
  <c r="G43" i="1" s="1"/>
  <c r="C224" i="8"/>
  <c r="F43" i="1" s="1"/>
  <c r="K223" i="8"/>
  <c r="G223" i="8"/>
  <c r="M43" i="1" s="1"/>
  <c r="H217" i="8"/>
  <c r="G217" i="8"/>
  <c r="G496" i="8"/>
  <c r="K496" i="8" s="1"/>
  <c r="C496" i="8"/>
  <c r="G69" i="1" s="1"/>
  <c r="C495" i="8"/>
  <c r="K494" i="8"/>
  <c r="J69" i="1" s="1"/>
  <c r="G494" i="8"/>
  <c r="M69" i="1" s="1"/>
  <c r="R490" i="8"/>
  <c r="R491" i="8" s="1"/>
  <c r="R492" i="8" s="1"/>
  <c r="R495" i="8" s="1"/>
  <c r="R496" i="8" s="1"/>
  <c r="R497" i="8" s="1"/>
  <c r="H488" i="8"/>
  <c r="G488" i="8"/>
  <c r="G417" i="8"/>
  <c r="O49" i="1" s="1"/>
  <c r="C417" i="8"/>
  <c r="G49" i="1" s="1"/>
  <c r="C416" i="8"/>
  <c r="C418" i="8"/>
  <c r="I414" i="8" s="1"/>
  <c r="K415" i="8"/>
  <c r="J49" i="1" s="1"/>
  <c r="G415" i="8"/>
  <c r="M49" i="1" s="1"/>
  <c r="H409" i="8"/>
  <c r="G409" i="8"/>
  <c r="G81" i="8"/>
  <c r="K81" i="8" s="1"/>
  <c r="C81" i="8"/>
  <c r="G14" i="1" s="1"/>
  <c r="C80" i="8"/>
  <c r="C82" i="8"/>
  <c r="J14" i="1"/>
  <c r="G79" i="8"/>
  <c r="M14" i="1" s="1"/>
  <c r="H73" i="8"/>
  <c r="G73" i="8"/>
  <c r="G719" i="8"/>
  <c r="C719" i="8"/>
  <c r="G91" i="1" s="1"/>
  <c r="C718" i="8"/>
  <c r="J91" i="1"/>
  <c r="G717" i="8"/>
  <c r="M91" i="1" s="1"/>
  <c r="C720" i="8"/>
  <c r="H711" i="8"/>
  <c r="G711" i="8"/>
  <c r="G401" i="8"/>
  <c r="K401" i="8" s="1"/>
  <c r="C401" i="8"/>
  <c r="G48" i="1" s="1"/>
  <c r="C400" i="8"/>
  <c r="F48" i="1" s="1"/>
  <c r="K399" i="8"/>
  <c r="G399" i="8"/>
  <c r="M48" i="1" s="1"/>
  <c r="H393" i="8"/>
  <c r="G393" i="8"/>
  <c r="U819" i="8"/>
  <c r="W819" i="8" s="1"/>
  <c r="Y819" i="8" s="1"/>
  <c r="R818" i="8"/>
  <c r="U816" i="8"/>
  <c r="W816" i="8" s="1"/>
  <c r="Y816" i="8" s="1"/>
  <c r="U817" i="8" s="1"/>
  <c r="W817" i="8" s="1"/>
  <c r="Y817" i="8" s="1"/>
  <c r="U818" i="8" s="1"/>
  <c r="R815" i="8"/>
  <c r="G815" i="8"/>
  <c r="K815" i="8" s="1"/>
  <c r="C815" i="8"/>
  <c r="C814" i="8"/>
  <c r="K813" i="8"/>
  <c r="G813" i="8"/>
  <c r="R810" i="8"/>
  <c r="W808" i="8"/>
  <c r="Y808" i="8" s="1"/>
  <c r="U809" i="8" s="1"/>
  <c r="W809" i="8" s="1"/>
  <c r="Y809" i="8" s="1"/>
  <c r="U810" i="8" s="1"/>
  <c r="W810" i="8" s="1"/>
  <c r="Y810" i="8" s="1"/>
  <c r="U811" i="8" s="1"/>
  <c r="W811" i="8" s="1"/>
  <c r="Y811" i="8" s="1"/>
  <c r="U812" i="8" s="1"/>
  <c r="W812" i="8" s="1"/>
  <c r="Y812" i="8" s="1"/>
  <c r="U813" i="8" s="1"/>
  <c r="W813" i="8" s="1"/>
  <c r="Y813" i="8" s="1"/>
  <c r="U814" i="8" s="1"/>
  <c r="W814" i="8" s="1"/>
  <c r="Y814" i="8" s="1"/>
  <c r="U815" i="8" s="1"/>
  <c r="W815" i="8" s="1"/>
  <c r="Y815" i="8" s="1"/>
  <c r="H807" i="8"/>
  <c r="G807" i="8"/>
  <c r="U803" i="8"/>
  <c r="W803" i="8" s="1"/>
  <c r="Y803" i="8" s="1"/>
  <c r="R803" i="8"/>
  <c r="R802" i="8"/>
  <c r="R801" i="8"/>
  <c r="U800" i="8"/>
  <c r="W800" i="8" s="1"/>
  <c r="Y800" i="8" s="1"/>
  <c r="U801" i="8" s="1"/>
  <c r="W801" i="8" s="1"/>
  <c r="Y801" i="8" s="1"/>
  <c r="U802" i="8" s="1"/>
  <c r="R800" i="8"/>
  <c r="R799" i="8"/>
  <c r="G799" i="8"/>
  <c r="K799" i="8" s="1"/>
  <c r="C799" i="8"/>
  <c r="R798" i="8"/>
  <c r="C798" i="8"/>
  <c r="R797" i="8"/>
  <c r="K797" i="8"/>
  <c r="G797" i="8"/>
  <c r="R796" i="8"/>
  <c r="K796" i="8"/>
  <c r="R795" i="8"/>
  <c r="W792" i="8"/>
  <c r="Y792" i="8" s="1"/>
  <c r="U793" i="8" s="1"/>
  <c r="W793" i="8" s="1"/>
  <c r="Y793" i="8" s="1"/>
  <c r="U794" i="8" s="1"/>
  <c r="W794" i="8" s="1"/>
  <c r="Y794" i="8" s="1"/>
  <c r="U795" i="8" s="1"/>
  <c r="W795" i="8" s="1"/>
  <c r="Y795" i="8" s="1"/>
  <c r="U796" i="8" s="1"/>
  <c r="W796" i="8" s="1"/>
  <c r="Y796" i="8" s="1"/>
  <c r="U797" i="8" s="1"/>
  <c r="W797" i="8" s="1"/>
  <c r="Y797" i="8" s="1"/>
  <c r="U798" i="8" s="1"/>
  <c r="W798" i="8" s="1"/>
  <c r="Y798" i="8" s="1"/>
  <c r="U799" i="8" s="1"/>
  <c r="W799" i="8" s="1"/>
  <c r="Y799" i="8" s="1"/>
  <c r="H791" i="8"/>
  <c r="G791" i="8"/>
  <c r="G113" i="8"/>
  <c r="K113" i="8" s="1"/>
  <c r="C113" i="8"/>
  <c r="G67" i="1" s="1"/>
  <c r="C112" i="8"/>
  <c r="F67" i="1" s="1"/>
  <c r="G111" i="8"/>
  <c r="M67" i="1" s="1"/>
  <c r="H105" i="8"/>
  <c r="G105" i="8"/>
  <c r="G209" i="8"/>
  <c r="C209" i="8"/>
  <c r="G41" i="1" s="1"/>
  <c r="C208" i="8"/>
  <c r="F41" i="1" s="1"/>
  <c r="K207" i="8"/>
  <c r="J41" i="1" s="1"/>
  <c r="G207" i="8"/>
  <c r="M41" i="1" s="1"/>
  <c r="H201" i="8"/>
  <c r="G201" i="8"/>
  <c r="R788" i="8"/>
  <c r="R787" i="8"/>
  <c r="R786" i="8"/>
  <c r="R785" i="8"/>
  <c r="R784" i="8"/>
  <c r="G784" i="8"/>
  <c r="K784" i="8" s="1"/>
  <c r="C784" i="8"/>
  <c r="R783" i="8"/>
  <c r="C783" i="8"/>
  <c r="R782" i="8"/>
  <c r="K782" i="8"/>
  <c r="G782" i="8"/>
  <c r="R781" i="8"/>
  <c r="K781" i="8"/>
  <c r="R780" i="8"/>
  <c r="W779" i="8"/>
  <c r="Y779" i="8" s="1"/>
  <c r="W780" i="8" s="1"/>
  <c r="Y780" i="8" s="1"/>
  <c r="W781" i="8" s="1"/>
  <c r="Y781" i="8" s="1"/>
  <c r="W782" i="8" s="1"/>
  <c r="Y782" i="8" s="1"/>
  <c r="W783" i="8" s="1"/>
  <c r="Y783" i="8" s="1"/>
  <c r="W784" i="8" s="1"/>
  <c r="Y784" i="8" s="1"/>
  <c r="W785" i="8" s="1"/>
  <c r="Y785" i="8" s="1"/>
  <c r="W786" i="8" s="1"/>
  <c r="Y786" i="8" s="1"/>
  <c r="R779" i="8"/>
  <c r="W778" i="8"/>
  <c r="Y778" i="8" s="1"/>
  <c r="R778" i="8"/>
  <c r="W777" i="8"/>
  <c r="Y777" i="8" s="1"/>
  <c r="H776" i="8"/>
  <c r="G776" i="8"/>
  <c r="U772" i="8"/>
  <c r="W772" i="8" s="1"/>
  <c r="Y772" i="8" s="1"/>
  <c r="R772" i="8"/>
  <c r="R771" i="8"/>
  <c r="R770" i="8"/>
  <c r="U769" i="8"/>
  <c r="W769" i="8" s="1"/>
  <c r="Y769" i="8" s="1"/>
  <c r="U770" i="8" s="1"/>
  <c r="W770" i="8" s="1"/>
  <c r="Y770" i="8" s="1"/>
  <c r="U771" i="8" s="1"/>
  <c r="R769" i="8"/>
  <c r="R768" i="8"/>
  <c r="G768" i="8"/>
  <c r="K768" i="8" s="1"/>
  <c r="C768" i="8"/>
  <c r="R767" i="8"/>
  <c r="C767" i="8"/>
  <c r="R766" i="8"/>
  <c r="K766" i="8"/>
  <c r="G766" i="8"/>
  <c r="R765" i="8"/>
  <c r="K765" i="8"/>
  <c r="R764" i="8"/>
  <c r="R763" i="8"/>
  <c r="R762" i="8"/>
  <c r="W761" i="8"/>
  <c r="Y761" i="8" s="1"/>
  <c r="U762" i="8" s="1"/>
  <c r="W762" i="8" s="1"/>
  <c r="Y762" i="8" s="1"/>
  <c r="U763" i="8" s="1"/>
  <c r="W763" i="8" s="1"/>
  <c r="Y763" i="8" s="1"/>
  <c r="U764" i="8" s="1"/>
  <c r="W764" i="8" s="1"/>
  <c r="Y764" i="8" s="1"/>
  <c r="U765" i="8" s="1"/>
  <c r="W765" i="8" s="1"/>
  <c r="Y765" i="8" s="1"/>
  <c r="U766" i="8" s="1"/>
  <c r="W766" i="8" s="1"/>
  <c r="Y766" i="8" s="1"/>
  <c r="U767" i="8" s="1"/>
  <c r="W767" i="8" s="1"/>
  <c r="Y767" i="8" s="1"/>
  <c r="U768" i="8" s="1"/>
  <c r="W768" i="8" s="1"/>
  <c r="Y768" i="8" s="1"/>
  <c r="H760" i="8"/>
  <c r="G760" i="8"/>
  <c r="R753" i="8"/>
  <c r="G752" i="8"/>
  <c r="K752" i="8" s="1"/>
  <c r="C752" i="8"/>
  <c r="C751" i="8"/>
  <c r="R750" i="8"/>
  <c r="K750" i="8"/>
  <c r="G750" i="8"/>
  <c r="R747" i="8"/>
  <c r="R746" i="8"/>
  <c r="W745" i="8"/>
  <c r="Y745" i="8" s="1"/>
  <c r="U746" i="8" s="1"/>
  <c r="W746" i="8" s="1"/>
  <c r="Y746" i="8" s="1"/>
  <c r="U747" i="8" s="1"/>
  <c r="W747" i="8" s="1"/>
  <c r="Y747" i="8" s="1"/>
  <c r="U748" i="8" s="1"/>
  <c r="W748" i="8" s="1"/>
  <c r="Y748" i="8" s="1"/>
  <c r="U749" i="8" s="1"/>
  <c r="W749" i="8" s="1"/>
  <c r="H744" i="8"/>
  <c r="G744" i="8"/>
  <c r="G671" i="8"/>
  <c r="K671" i="8" s="1"/>
  <c r="C671" i="8"/>
  <c r="G40" i="1" s="1"/>
  <c r="C670" i="8"/>
  <c r="F40" i="1" s="1"/>
  <c r="K669" i="8"/>
  <c r="J40" i="1" s="1"/>
  <c r="G669" i="8"/>
  <c r="M40" i="1" s="1"/>
  <c r="H663" i="8"/>
  <c r="G663" i="8"/>
  <c r="G369" i="8"/>
  <c r="K369" i="8" s="1"/>
  <c r="C369" i="8"/>
  <c r="G56" i="1" s="1"/>
  <c r="C368" i="8"/>
  <c r="K367" i="8"/>
  <c r="J56" i="1" s="1"/>
  <c r="G367" i="8"/>
  <c r="M56" i="1" s="1"/>
  <c r="C370" i="8"/>
  <c r="H361" i="8"/>
  <c r="G361" i="8"/>
  <c r="G480" i="8"/>
  <c r="O68" i="1" s="1"/>
  <c r="C480" i="8"/>
  <c r="G68" i="1" s="1"/>
  <c r="C479" i="8"/>
  <c r="K478" i="8"/>
  <c r="J68" i="1" s="1"/>
  <c r="G478" i="8"/>
  <c r="M68" i="1" s="1"/>
  <c r="H472" i="8"/>
  <c r="G472" i="8"/>
  <c r="G88" i="1"/>
  <c r="F88" i="1"/>
  <c r="J88" i="1"/>
  <c r="M88" i="1"/>
  <c r="G592" i="8"/>
  <c r="K592" i="8" s="1"/>
  <c r="C592" i="8"/>
  <c r="G32" i="1" s="1"/>
  <c r="C591" i="8"/>
  <c r="F32" i="1" s="1"/>
  <c r="K590" i="8"/>
  <c r="J32" i="1" s="1"/>
  <c r="G590" i="8"/>
  <c r="M32" i="1" s="1"/>
  <c r="H584" i="8"/>
  <c r="G584" i="8"/>
  <c r="R469" i="8"/>
  <c r="R468" i="8"/>
  <c r="R467" i="8"/>
  <c r="R466" i="8"/>
  <c r="R465" i="8"/>
  <c r="G465" i="8"/>
  <c r="K465" i="8" s="1"/>
  <c r="C465" i="8"/>
  <c r="G66" i="1" s="1"/>
  <c r="R464" i="8"/>
  <c r="C464" i="8"/>
  <c r="F66" i="1" s="1"/>
  <c r="R463" i="8"/>
  <c r="K463" i="8"/>
  <c r="J66" i="1" s="1"/>
  <c r="G463" i="8"/>
  <c r="M66" i="1" s="1"/>
  <c r="R462" i="8"/>
  <c r="R461" i="8"/>
  <c r="R460" i="8"/>
  <c r="R459" i="8"/>
  <c r="W458" i="8"/>
  <c r="Y458" i="8" s="1"/>
  <c r="U459" i="8" s="1"/>
  <c r="W459" i="8" s="1"/>
  <c r="Y459" i="8" s="1"/>
  <c r="U460" i="8" s="1"/>
  <c r="W460" i="8" s="1"/>
  <c r="Y460" i="8" s="1"/>
  <c r="H457" i="8"/>
  <c r="G457" i="8"/>
  <c r="G687" i="8"/>
  <c r="K687" i="8" s="1"/>
  <c r="C687" i="8"/>
  <c r="G84" i="1" s="1"/>
  <c r="C686" i="8"/>
  <c r="F84" i="1" s="1"/>
  <c r="K685" i="8"/>
  <c r="J84" i="1" s="1"/>
  <c r="G685" i="8"/>
  <c r="M84" i="1" s="1"/>
  <c r="H679" i="8"/>
  <c r="G679" i="8"/>
  <c r="C625" i="8"/>
  <c r="G624" i="8"/>
  <c r="K624" i="8" s="1"/>
  <c r="C624" i="8"/>
  <c r="G33" i="1" s="1"/>
  <c r="C623" i="8"/>
  <c r="F33" i="1" s="1"/>
  <c r="K622" i="8"/>
  <c r="J33" i="1" s="1"/>
  <c r="G622" i="8"/>
  <c r="M33" i="1" s="1"/>
  <c r="H616" i="8"/>
  <c r="G616" i="8"/>
  <c r="R881" i="8"/>
  <c r="R879" i="8"/>
  <c r="G879" i="8"/>
  <c r="K879" i="8" s="1"/>
  <c r="C879" i="8"/>
  <c r="G83" i="1" s="1"/>
  <c r="C878" i="8"/>
  <c r="F83" i="1" s="1"/>
  <c r="R877" i="8"/>
  <c r="K877" i="8"/>
  <c r="J83" i="1" s="1"/>
  <c r="G877" i="8"/>
  <c r="M83" i="1" s="1"/>
  <c r="R873" i="8"/>
  <c r="H871" i="8"/>
  <c r="G871" i="8"/>
  <c r="U867" i="8"/>
  <c r="W867" i="8" s="1"/>
  <c r="Y867" i="8" s="1"/>
  <c r="R867" i="8"/>
  <c r="R866" i="8"/>
  <c r="R865" i="8"/>
  <c r="R864" i="8"/>
  <c r="R863" i="8"/>
  <c r="G863" i="8"/>
  <c r="K863" i="8" s="1"/>
  <c r="C863" i="8"/>
  <c r="R862" i="8"/>
  <c r="C862" i="8"/>
  <c r="R861" i="8"/>
  <c r="G861" i="8"/>
  <c r="R860" i="8"/>
  <c r="K860" i="8"/>
  <c r="K862" i="8" s="1"/>
  <c r="R859" i="8"/>
  <c r="R858" i="8"/>
  <c r="R857" i="8"/>
  <c r="W856" i="8"/>
  <c r="Y856" i="8" s="1"/>
  <c r="U857" i="8" s="1"/>
  <c r="W857" i="8" s="1"/>
  <c r="Y857" i="8" s="1"/>
  <c r="U858" i="8" s="1"/>
  <c r="W858" i="8" s="1"/>
  <c r="Y858" i="8" s="1"/>
  <c r="U859" i="8" s="1"/>
  <c r="W859" i="8" s="1"/>
  <c r="Y859" i="8" s="1"/>
  <c r="U860" i="8" s="1"/>
  <c r="W860" i="8" s="1"/>
  <c r="Y860" i="8" s="1"/>
  <c r="U861" i="8" s="1"/>
  <c r="W861" i="8" s="1"/>
  <c r="Y861" i="8" s="1"/>
  <c r="U862" i="8" s="1"/>
  <c r="W862" i="8" s="1"/>
  <c r="Y862" i="8" s="1"/>
  <c r="U863" i="8" s="1"/>
  <c r="W863" i="8" s="1"/>
  <c r="Y863" i="8" s="1"/>
  <c r="U864" i="8" s="1"/>
  <c r="W864" i="8" s="1"/>
  <c r="Y864" i="8" s="1"/>
  <c r="U865" i="8" s="1"/>
  <c r="W865" i="8" s="1"/>
  <c r="Y865" i="8" s="1"/>
  <c r="U866" i="8" s="1"/>
  <c r="R856" i="8"/>
  <c r="H855" i="8"/>
  <c r="G855" i="8"/>
  <c r="G847" i="8"/>
  <c r="K847" i="8" s="1"/>
  <c r="C847" i="8"/>
  <c r="G92" i="1" s="1"/>
  <c r="C846" i="8"/>
  <c r="F92" i="1" s="1"/>
  <c r="K845" i="8"/>
  <c r="J92" i="1" s="1"/>
  <c r="G845" i="8"/>
  <c r="M92" i="1" s="1"/>
  <c r="R840" i="8"/>
  <c r="R841" i="8" s="1"/>
  <c r="R842" i="8" s="1"/>
  <c r="H839" i="8"/>
  <c r="G839" i="8"/>
  <c r="R644" i="8"/>
  <c r="R641" i="8"/>
  <c r="R642" i="8" s="1"/>
  <c r="G640" i="8"/>
  <c r="K640" i="8" s="1"/>
  <c r="C640" i="8"/>
  <c r="G71" i="1" s="1"/>
  <c r="R639" i="8"/>
  <c r="C639" i="8"/>
  <c r="F71" i="1" s="1"/>
  <c r="K638" i="8"/>
  <c r="J71" i="1" s="1"/>
  <c r="G638" i="8"/>
  <c r="M71" i="1" s="1"/>
  <c r="R636" i="8"/>
  <c r="H632" i="8"/>
  <c r="G632" i="8"/>
  <c r="U835" i="8"/>
  <c r="W835" i="8" s="1"/>
  <c r="Y835" i="8" s="1"/>
  <c r="R835" i="8"/>
  <c r="R834" i="8"/>
  <c r="R833" i="8"/>
  <c r="U832" i="8"/>
  <c r="W832" i="8" s="1"/>
  <c r="Y832" i="8" s="1"/>
  <c r="U833" i="8" s="1"/>
  <c r="W833" i="8" s="1"/>
  <c r="Y833" i="8" s="1"/>
  <c r="U834" i="8" s="1"/>
  <c r="R832" i="8"/>
  <c r="R831" i="8"/>
  <c r="G831" i="8"/>
  <c r="K831" i="8" s="1"/>
  <c r="C831" i="8"/>
  <c r="R830" i="8"/>
  <c r="C830" i="8"/>
  <c r="R829" i="8"/>
  <c r="K829" i="8"/>
  <c r="G829" i="8"/>
  <c r="R828" i="8"/>
  <c r="R827" i="8"/>
  <c r="R826" i="8"/>
  <c r="R825" i="8"/>
  <c r="W824" i="8"/>
  <c r="Y824" i="8" s="1"/>
  <c r="U825" i="8" s="1"/>
  <c r="W825" i="8" s="1"/>
  <c r="Y825" i="8" s="1"/>
  <c r="U826" i="8" s="1"/>
  <c r="W826" i="8" s="1"/>
  <c r="Y826" i="8" s="1"/>
  <c r="U827" i="8" s="1"/>
  <c r="W827" i="8" s="1"/>
  <c r="Y827" i="8" s="1"/>
  <c r="U828" i="8" s="1"/>
  <c r="W828" i="8" s="1"/>
  <c r="Y828" i="8" s="1"/>
  <c r="U829" i="8" s="1"/>
  <c r="W829" i="8" s="1"/>
  <c r="Y829" i="8" s="1"/>
  <c r="U830" i="8" s="1"/>
  <c r="W830" i="8" s="1"/>
  <c r="Y830" i="8" s="1"/>
  <c r="U831" i="8" s="1"/>
  <c r="W831" i="8" s="1"/>
  <c r="Y831" i="8" s="1"/>
  <c r="H823" i="8"/>
  <c r="G823" i="8"/>
  <c r="C338" i="8"/>
  <c r="G337" i="8"/>
  <c r="K337" i="8" s="1"/>
  <c r="C337" i="8"/>
  <c r="G55" i="1" s="1"/>
  <c r="C336" i="8"/>
  <c r="I334" i="8" s="1"/>
  <c r="K334" i="8" s="1"/>
  <c r="J55" i="1"/>
  <c r="G335" i="8"/>
  <c r="M55" i="1" s="1"/>
  <c r="Y330" i="8"/>
  <c r="U331" i="8" s="1"/>
  <c r="W331" i="8" s="1"/>
  <c r="Y331" i="8" s="1"/>
  <c r="U332" i="8" s="1"/>
  <c r="H329" i="8"/>
  <c r="G329" i="8"/>
  <c r="G449" i="8"/>
  <c r="O47" i="1" s="1"/>
  <c r="C449" i="8"/>
  <c r="G47" i="1" s="1"/>
  <c r="C448" i="8"/>
  <c r="F47" i="1" s="1"/>
  <c r="K447" i="8"/>
  <c r="J47" i="1" s="1"/>
  <c r="G447" i="8"/>
  <c r="M47" i="1" s="1"/>
  <c r="H441" i="8"/>
  <c r="G441" i="8"/>
  <c r="G544" i="8"/>
  <c r="C544" i="8"/>
  <c r="G25" i="1" s="1"/>
  <c r="C543" i="8"/>
  <c r="F25" i="1" s="1"/>
  <c r="K542" i="8"/>
  <c r="J25" i="1" s="1"/>
  <c r="G542" i="8"/>
  <c r="M25" i="1" s="1"/>
  <c r="H536" i="8"/>
  <c r="G536" i="8"/>
  <c r="G385" i="8"/>
  <c r="K385" i="8" s="1"/>
  <c r="C385" i="8"/>
  <c r="G51" i="1" s="1"/>
  <c r="C384" i="8"/>
  <c r="F51" i="1" s="1"/>
  <c r="J51" i="1"/>
  <c r="G383" i="8"/>
  <c r="M51" i="1" s="1"/>
  <c r="H377" i="8"/>
  <c r="G377" i="8"/>
  <c r="G703" i="8"/>
  <c r="K703" i="8" s="1"/>
  <c r="C703" i="8"/>
  <c r="G42" i="1" s="1"/>
  <c r="C702" i="8"/>
  <c r="F42" i="1" s="1"/>
  <c r="K701" i="8"/>
  <c r="J42" i="1" s="1"/>
  <c r="G701" i="8"/>
  <c r="M42" i="1" s="1"/>
  <c r="H695" i="8"/>
  <c r="G695" i="8"/>
  <c r="G89" i="1"/>
  <c r="F89" i="1"/>
  <c r="J89" i="1"/>
  <c r="M89" i="1"/>
  <c r="G97" i="8"/>
  <c r="K97" i="8" s="1"/>
  <c r="C97" i="8"/>
  <c r="G65" i="1" s="1"/>
  <c r="C96" i="8"/>
  <c r="K95" i="8"/>
  <c r="J65" i="1" s="1"/>
  <c r="G95" i="8"/>
  <c r="M65" i="1" s="1"/>
  <c r="H89" i="8"/>
  <c r="G89" i="8"/>
  <c r="G241" i="8"/>
  <c r="K241" i="8" s="1"/>
  <c r="C241" i="8"/>
  <c r="G70" i="1" s="1"/>
  <c r="C240" i="8"/>
  <c r="F70" i="1" s="1"/>
  <c r="K239" i="8"/>
  <c r="J70" i="1" s="1"/>
  <c r="G239" i="8"/>
  <c r="M70" i="1" s="1"/>
  <c r="Y234" i="8"/>
  <c r="U235" i="8" s="1"/>
  <c r="H233" i="8"/>
  <c r="G233" i="8"/>
  <c r="C577" i="8"/>
  <c r="G576" i="8"/>
  <c r="K576" i="8" s="1"/>
  <c r="C576" i="8"/>
  <c r="G31" i="1" s="1"/>
  <c r="C575" i="8"/>
  <c r="F31" i="1" s="1"/>
  <c r="K574" i="8"/>
  <c r="J31" i="1" s="1"/>
  <c r="G574" i="8"/>
  <c r="M31" i="1" s="1"/>
  <c r="W569" i="8"/>
  <c r="Y569" i="8" s="1"/>
  <c r="U570" i="8" s="1"/>
  <c r="H568" i="8"/>
  <c r="G568" i="8"/>
  <c r="G193" i="8"/>
  <c r="K193" i="8" s="1"/>
  <c r="C193" i="8"/>
  <c r="G37" i="1" s="1"/>
  <c r="C192" i="8"/>
  <c r="F37" i="1" s="1"/>
  <c r="K191" i="8"/>
  <c r="J37" i="1" s="1"/>
  <c r="G191" i="8"/>
  <c r="M37" i="1" s="1"/>
  <c r="W186" i="8"/>
  <c r="Y186" i="8" s="1"/>
  <c r="U187" i="8" s="1"/>
  <c r="H185" i="8"/>
  <c r="G185" i="8"/>
  <c r="R515" i="8"/>
  <c r="R516" i="8" s="1"/>
  <c r="G512" i="8"/>
  <c r="K512" i="8" s="1"/>
  <c r="C512" i="8"/>
  <c r="G26" i="1" s="1"/>
  <c r="C511" i="8"/>
  <c r="F26" i="1" s="1"/>
  <c r="K510" i="8"/>
  <c r="J26" i="1" s="1"/>
  <c r="G510" i="8"/>
  <c r="M26" i="1" s="1"/>
  <c r="R506" i="8"/>
  <c r="W505" i="8"/>
  <c r="Y505" i="8" s="1"/>
  <c r="U506" i="8" s="1"/>
  <c r="W506" i="8" s="1"/>
  <c r="Y506" i="8" s="1"/>
  <c r="H504" i="8"/>
  <c r="G504" i="8"/>
  <c r="G353" i="8"/>
  <c r="K353" i="8" s="1"/>
  <c r="C353" i="8"/>
  <c r="G57" i="1" s="1"/>
  <c r="C352" i="8"/>
  <c r="F57" i="1" s="1"/>
  <c r="K351" i="8"/>
  <c r="J57" i="1" s="1"/>
  <c r="G351" i="8"/>
  <c r="M57" i="1" s="1"/>
  <c r="W346" i="8"/>
  <c r="Y346" i="8" s="1"/>
  <c r="U347" i="8" s="1"/>
  <c r="W347" i="8" s="1"/>
  <c r="Y347" i="8" s="1"/>
  <c r="U348" i="8" s="1"/>
  <c r="W348" i="8" s="1"/>
  <c r="Y348" i="8" s="1"/>
  <c r="R346" i="8"/>
  <c r="R347" i="8" s="1"/>
  <c r="R348" i="8" s="1"/>
  <c r="R349" i="8" s="1"/>
  <c r="R350" i="8" s="1"/>
  <c r="R351" i="8" s="1"/>
  <c r="R352" i="8" s="1"/>
  <c r="R353" i="8" s="1"/>
  <c r="R354" i="8" s="1"/>
  <c r="R355" i="8" s="1"/>
  <c r="R356" i="8" s="1"/>
  <c r="R357" i="8" s="1"/>
  <c r="H345" i="8"/>
  <c r="G345" i="8"/>
  <c r="G87" i="1"/>
  <c r="F87" i="1"/>
  <c r="J87" i="1"/>
  <c r="M87" i="1"/>
  <c r="G257" i="8"/>
  <c r="O44" i="1" s="1"/>
  <c r="C257" i="8"/>
  <c r="G44" i="1" s="1"/>
  <c r="C258" i="8"/>
  <c r="C256" i="8"/>
  <c r="F44" i="1" s="1"/>
  <c r="K255" i="8"/>
  <c r="J44" i="1" s="1"/>
  <c r="G255" i="8"/>
  <c r="M44" i="1" s="1"/>
  <c r="Y250" i="8"/>
  <c r="U251" i="8" s="1"/>
  <c r="H249" i="8"/>
  <c r="G249" i="8"/>
  <c r="R309" i="8"/>
  <c r="C306" i="8" s="1"/>
  <c r="G305" i="8"/>
  <c r="K305" i="8" s="1"/>
  <c r="C305" i="8"/>
  <c r="G59" i="1" s="1"/>
  <c r="C304" i="8"/>
  <c r="F59" i="1" s="1"/>
  <c r="K303" i="8"/>
  <c r="J59" i="1" s="1"/>
  <c r="G303" i="8"/>
  <c r="M59" i="1" s="1"/>
  <c r="H297" i="8"/>
  <c r="G297" i="8"/>
  <c r="G289" i="8"/>
  <c r="K289" i="8" s="1"/>
  <c r="C289" i="8"/>
  <c r="G60" i="1" s="1"/>
  <c r="C288" i="8"/>
  <c r="F60" i="1" s="1"/>
  <c r="K287" i="8"/>
  <c r="J60" i="1" s="1"/>
  <c r="G287" i="8"/>
  <c r="M60" i="1" s="1"/>
  <c r="R285" i="8"/>
  <c r="R286" i="8" s="1"/>
  <c r="W283" i="8"/>
  <c r="Y283" i="8" s="1"/>
  <c r="W284" i="8" s="1"/>
  <c r="Y284" i="8" s="1"/>
  <c r="W285" i="8" s="1"/>
  <c r="Y285" i="8" s="1"/>
  <c r="W286" i="8" s="1"/>
  <c r="Y286" i="8" s="1"/>
  <c r="U287" i="8" s="1"/>
  <c r="H281" i="8"/>
  <c r="G281" i="8"/>
  <c r="C736" i="8"/>
  <c r="G735" i="8"/>
  <c r="K735" i="8" s="1"/>
  <c r="C735" i="8"/>
  <c r="G86" i="1" s="1"/>
  <c r="C734" i="8"/>
  <c r="K733" i="8"/>
  <c r="J86" i="1" s="1"/>
  <c r="G733" i="8"/>
  <c r="M86" i="1" s="1"/>
  <c r="H727" i="8"/>
  <c r="G727" i="8"/>
  <c r="G177" i="8"/>
  <c r="K177" i="8" s="1"/>
  <c r="C177" i="8"/>
  <c r="G72" i="1" s="1"/>
  <c r="C176" i="8"/>
  <c r="K175" i="8"/>
  <c r="J72" i="1" s="1"/>
  <c r="G175" i="8"/>
  <c r="M72" i="1" s="1"/>
  <c r="H169" i="8"/>
  <c r="G169" i="8"/>
  <c r="C162" i="8"/>
  <c r="I158" i="8" s="1"/>
  <c r="G161" i="8"/>
  <c r="K161" i="8" s="1"/>
  <c r="C161" i="8"/>
  <c r="G39" i="1" s="1"/>
  <c r="C160" i="8"/>
  <c r="K159" i="8"/>
  <c r="J39" i="1" s="1"/>
  <c r="G159" i="8"/>
  <c r="M39" i="1" s="1"/>
  <c r="H153" i="8"/>
  <c r="G153" i="8"/>
  <c r="G145" i="8"/>
  <c r="K145" i="8" s="1"/>
  <c r="C145" i="8"/>
  <c r="G38" i="1" s="1"/>
  <c r="C144" i="8"/>
  <c r="K143" i="8"/>
  <c r="J38" i="1" s="1"/>
  <c r="G143" i="8"/>
  <c r="M38" i="1" s="1"/>
  <c r="W138" i="8"/>
  <c r="Y138" i="8" s="1"/>
  <c r="U139" i="8" s="1"/>
  <c r="H137" i="8"/>
  <c r="G137" i="8"/>
  <c r="R52" i="8"/>
  <c r="R51" i="8"/>
  <c r="R49" i="8"/>
  <c r="R48" i="8"/>
  <c r="G48" i="8"/>
  <c r="K48" i="8" s="1"/>
  <c r="C48" i="8"/>
  <c r="G19" i="1" s="1"/>
  <c r="R47" i="8"/>
  <c r="C47" i="8"/>
  <c r="F19" i="1" s="1"/>
  <c r="K46" i="8"/>
  <c r="J19" i="1" s="1"/>
  <c r="G46" i="8"/>
  <c r="M19" i="1" s="1"/>
  <c r="R45" i="8"/>
  <c r="R44" i="8"/>
  <c r="R43" i="8"/>
  <c r="W41" i="8"/>
  <c r="Y41" i="8" s="1"/>
  <c r="U42" i="8" s="1"/>
  <c r="H40" i="8"/>
  <c r="G40" i="8"/>
  <c r="G65" i="8"/>
  <c r="K65" i="8" s="1"/>
  <c r="C65" i="8"/>
  <c r="G15" i="1" s="1"/>
  <c r="C64" i="8"/>
  <c r="F15" i="1" s="1"/>
  <c r="K63" i="8"/>
  <c r="J15" i="1" s="1"/>
  <c r="G63" i="8"/>
  <c r="M15" i="1" s="1"/>
  <c r="W58" i="8"/>
  <c r="Y58" i="8" s="1"/>
  <c r="U59" i="8" s="1"/>
  <c r="H57" i="8"/>
  <c r="G57" i="8"/>
  <c r="G656" i="8"/>
  <c r="K656" i="8" s="1"/>
  <c r="C656" i="8"/>
  <c r="G76" i="1" s="1"/>
  <c r="C655" i="8"/>
  <c r="F76" i="1" s="1"/>
  <c r="J76" i="1"/>
  <c r="G654" i="8"/>
  <c r="M76" i="1" s="1"/>
  <c r="C657" i="8"/>
  <c r="H648" i="8"/>
  <c r="G648" i="8"/>
  <c r="O18" i="1"/>
  <c r="G18" i="1"/>
  <c r="F18" i="1"/>
  <c r="M18" i="1"/>
  <c r="G16" i="1"/>
  <c r="F16" i="1"/>
  <c r="P16" i="1"/>
  <c r="H58" i="1"/>
  <c r="E58" i="1"/>
  <c r="B58" i="1"/>
  <c r="H68" i="1"/>
  <c r="E68" i="1"/>
  <c r="B68" i="1"/>
  <c r="H59" i="1"/>
  <c r="E59" i="1"/>
  <c r="B59" i="1"/>
  <c r="H92" i="1"/>
  <c r="E92" i="1"/>
  <c r="J67" i="1"/>
  <c r="H67" i="1"/>
  <c r="E67" i="1"/>
  <c r="B67" i="1"/>
  <c r="H65" i="1"/>
  <c r="E65" i="1"/>
  <c r="H33" i="1"/>
  <c r="E33" i="1"/>
  <c r="B33" i="1"/>
  <c r="H56" i="1"/>
  <c r="E56" i="1"/>
  <c r="H49" i="1"/>
  <c r="E49" i="1"/>
  <c r="H70" i="1"/>
  <c r="E70" i="1"/>
  <c r="H87" i="1"/>
  <c r="E87" i="1"/>
  <c r="E25" i="1"/>
  <c r="B25" i="1"/>
  <c r="H42" i="1"/>
  <c r="E42" i="1"/>
  <c r="H47" i="1"/>
  <c r="E47" i="1"/>
  <c r="H84" i="1"/>
  <c r="E84" i="1"/>
  <c r="H55" i="1"/>
  <c r="E55" i="1"/>
  <c r="B55" i="1"/>
  <c r="H89" i="1"/>
  <c r="E89" i="1"/>
  <c r="H71" i="1"/>
  <c r="E71" i="1"/>
  <c r="B71" i="1"/>
  <c r="H51" i="1"/>
  <c r="E51" i="1"/>
  <c r="B51" i="1"/>
  <c r="H48" i="1"/>
  <c r="E48" i="1"/>
  <c r="B48" i="1"/>
  <c r="H88" i="1"/>
  <c r="E88" i="1"/>
  <c r="H66" i="1"/>
  <c r="E66" i="1"/>
  <c r="H44" i="1"/>
  <c r="E44" i="1"/>
  <c r="B44" i="1"/>
  <c r="H31" i="1"/>
  <c r="E31" i="1"/>
  <c r="H86" i="1"/>
  <c r="E86" i="1"/>
  <c r="H91" i="1"/>
  <c r="E91" i="1"/>
  <c r="B91" i="1"/>
  <c r="H57" i="1"/>
  <c r="E57" i="1"/>
  <c r="H72" i="1"/>
  <c r="E72" i="1"/>
  <c r="H69" i="1"/>
  <c r="E69" i="1"/>
  <c r="B69" i="1"/>
  <c r="H40" i="1"/>
  <c r="E40" i="1"/>
  <c r="H39" i="1"/>
  <c r="E39" i="1"/>
  <c r="H38" i="1"/>
  <c r="E38" i="1"/>
  <c r="B38" i="1"/>
  <c r="H37" i="1"/>
  <c r="E37" i="1"/>
  <c r="H30" i="1"/>
  <c r="E30" i="1"/>
  <c r="B30" i="1"/>
  <c r="H50" i="1"/>
  <c r="E50" i="1"/>
  <c r="B50" i="1"/>
  <c r="H61" i="1"/>
  <c r="E61" i="1"/>
  <c r="B61" i="1"/>
  <c r="H24" i="1"/>
  <c r="E24" i="1"/>
  <c r="B24" i="1"/>
  <c r="H23" i="1"/>
  <c r="E23" i="1"/>
  <c r="B23" i="1"/>
  <c r="H83" i="1"/>
  <c r="E83" i="1"/>
  <c r="B83" i="1"/>
  <c r="H17" i="1"/>
  <c r="E17" i="1"/>
  <c r="B17" i="1"/>
  <c r="H26" i="1"/>
  <c r="E26" i="1"/>
  <c r="B26" i="1"/>
  <c r="H32" i="1"/>
  <c r="E32" i="1"/>
  <c r="B32" i="1"/>
  <c r="H41" i="1"/>
  <c r="E41" i="1"/>
  <c r="B41" i="1"/>
  <c r="H19" i="1"/>
  <c r="E19" i="1"/>
  <c r="B19" i="1"/>
  <c r="E18" i="1"/>
  <c r="B18" i="1"/>
  <c r="H60" i="1"/>
  <c r="E60" i="1"/>
  <c r="B60" i="1"/>
  <c r="H14" i="1"/>
  <c r="E14" i="1"/>
  <c r="B14" i="1"/>
  <c r="H76" i="1"/>
  <c r="E76" i="1"/>
  <c r="O16" i="1"/>
  <c r="M16" i="1"/>
  <c r="L16" i="1"/>
  <c r="I16" i="1"/>
  <c r="H16" i="1"/>
  <c r="H15" i="1"/>
  <c r="E15" i="1"/>
  <c r="E11" i="1"/>
  <c r="D5" i="1"/>
  <c r="D4" i="1"/>
  <c r="P1" i="1"/>
  <c r="N1" i="1"/>
  <c r="E94" i="1" s="1"/>
  <c r="I302" i="8" l="1"/>
  <c r="I621" i="8"/>
  <c r="F69" i="1"/>
  <c r="U349" i="8"/>
  <c r="W349" i="8" s="1"/>
  <c r="Y349" i="8" s="1"/>
  <c r="U123" i="8"/>
  <c r="W123" i="8" s="1"/>
  <c r="Y123" i="8" s="1"/>
  <c r="I254" i="8"/>
  <c r="K254" i="8" s="1"/>
  <c r="K256" i="8" s="1"/>
  <c r="E45" i="1"/>
  <c r="I653" i="8"/>
  <c r="I76" i="1" s="1"/>
  <c r="I318" i="8"/>
  <c r="K318" i="8" s="1"/>
  <c r="K320" i="8" s="1"/>
  <c r="F17" i="1"/>
  <c r="E34" i="1"/>
  <c r="E62" i="1"/>
  <c r="F14" i="1"/>
  <c r="I78" i="8"/>
  <c r="K78" i="8" s="1"/>
  <c r="K80" i="8" s="1"/>
  <c r="K82" i="8" s="1"/>
  <c r="K621" i="8"/>
  <c r="K623" i="8" s="1"/>
  <c r="K625" i="8" s="1"/>
  <c r="J27" i="1"/>
  <c r="I366" i="8"/>
  <c r="K366" i="8" s="1"/>
  <c r="K368" i="8" s="1"/>
  <c r="I605" i="8"/>
  <c r="K605" i="8" s="1"/>
  <c r="K607" i="8" s="1"/>
  <c r="E27" i="1"/>
  <c r="W570" i="8"/>
  <c r="Y570" i="8" s="1"/>
  <c r="U571" i="8" s="1"/>
  <c r="W332" i="8"/>
  <c r="Y332" i="8" s="1"/>
  <c r="U333" i="8" s="1"/>
  <c r="F65" i="1"/>
  <c r="K732" i="8"/>
  <c r="K734" i="8" s="1"/>
  <c r="K736" i="8" s="1"/>
  <c r="E77" i="1"/>
  <c r="K414" i="8"/>
  <c r="K416" i="8" s="1"/>
  <c r="F55" i="1"/>
  <c r="K336" i="8"/>
  <c r="I525" i="8"/>
  <c r="J73" i="1"/>
  <c r="E73" i="1"/>
  <c r="E52" i="1"/>
  <c r="J43" i="1"/>
  <c r="J77" i="1" s="1"/>
  <c r="U1" i="8"/>
  <c r="C753" i="8"/>
  <c r="C354" i="8"/>
  <c r="I350" i="8" s="1"/>
  <c r="K350" i="8" s="1"/>
  <c r="K352" i="8" s="1"/>
  <c r="M78" i="1"/>
  <c r="C816" i="8"/>
  <c r="I557" i="8"/>
  <c r="I23" i="1" s="1"/>
  <c r="C274" i="8"/>
  <c r="I270" i="8" s="1"/>
  <c r="C226" i="8"/>
  <c r="I222" i="8" s="1"/>
  <c r="C49" i="8"/>
  <c r="I45" i="8" s="1"/>
  <c r="C785" i="8"/>
  <c r="I573" i="8"/>
  <c r="K573" i="8" s="1"/>
  <c r="K575" i="8" s="1"/>
  <c r="K577" i="8" s="1"/>
  <c r="C864" i="8"/>
  <c r="K158" i="8"/>
  <c r="K160" i="8" s="1"/>
  <c r="K39" i="1" s="1"/>
  <c r="W42" i="8"/>
  <c r="Y42" i="8" s="1"/>
  <c r="U43" i="8" s="1"/>
  <c r="C800" i="8"/>
  <c r="C769" i="8"/>
  <c r="C146" i="8"/>
  <c r="I142" i="8" s="1"/>
  <c r="F86" i="1"/>
  <c r="F39" i="1"/>
  <c r="F68" i="1"/>
  <c r="F49" i="1"/>
  <c r="F91" i="1"/>
  <c r="C880" i="8"/>
  <c r="I876" i="8" s="1"/>
  <c r="K876" i="8" s="1"/>
  <c r="K878" i="8" s="1"/>
  <c r="K83" i="1" s="1"/>
  <c r="U507" i="8"/>
  <c r="W507" i="8" s="1"/>
  <c r="Y507" i="8" s="1"/>
  <c r="K783" i="8"/>
  <c r="C130" i="8"/>
  <c r="I126" i="8" s="1"/>
  <c r="W235" i="8"/>
  <c r="Y235" i="8" s="1"/>
  <c r="U236" i="8" s="1"/>
  <c r="N16" i="1"/>
  <c r="W59" i="8"/>
  <c r="Y59" i="8" s="1"/>
  <c r="U60" i="8" s="1"/>
  <c r="W187" i="8"/>
  <c r="Y187" i="8" s="1"/>
  <c r="U188" i="8" s="1"/>
  <c r="C386" i="8"/>
  <c r="I382" i="8" s="1"/>
  <c r="W139" i="8"/>
  <c r="Y139" i="8" s="1"/>
  <c r="U140" i="8" s="1"/>
  <c r="R288" i="8"/>
  <c r="R289" i="8" s="1"/>
  <c r="R290" i="8" s="1"/>
  <c r="R291" i="8" s="1"/>
  <c r="R292" i="8" s="1"/>
  <c r="R293" i="8" s="1"/>
  <c r="C290" i="8" s="1"/>
  <c r="W251" i="8"/>
  <c r="Y251" i="8" s="1"/>
  <c r="U252" i="8" s="1"/>
  <c r="C641" i="8"/>
  <c r="U461" i="8"/>
  <c r="W461" i="8" s="1"/>
  <c r="Y461" i="8" s="1"/>
  <c r="C114" i="8"/>
  <c r="I110" i="8" s="1"/>
  <c r="K110" i="8" s="1"/>
  <c r="O71" i="1"/>
  <c r="L89" i="1"/>
  <c r="F72" i="1"/>
  <c r="C178" i="8"/>
  <c r="I174" i="8" s="1"/>
  <c r="Y351" i="8"/>
  <c r="W352" i="8" s="1"/>
  <c r="Y352" i="8" s="1"/>
  <c r="Y353" i="8" s="1"/>
  <c r="C402" i="8"/>
  <c r="I398" i="8" s="1"/>
  <c r="C704" i="8"/>
  <c r="I700" i="8" s="1"/>
  <c r="C832" i="8"/>
  <c r="C242" i="8"/>
  <c r="I238" i="8" s="1"/>
  <c r="L88" i="1"/>
  <c r="C466" i="8"/>
  <c r="K462" i="8" s="1"/>
  <c r="K464" i="8" s="1"/>
  <c r="C434" i="8"/>
  <c r="I430" i="8" s="1"/>
  <c r="C848" i="8"/>
  <c r="I844" i="8" s="1"/>
  <c r="C593" i="8"/>
  <c r="O88" i="1"/>
  <c r="P88" i="1"/>
  <c r="O83" i="1"/>
  <c r="O48" i="1"/>
  <c r="C497" i="8"/>
  <c r="I493" i="8" s="1"/>
  <c r="W268" i="8"/>
  <c r="Y268" i="8" s="1"/>
  <c r="U269" i="8" s="1"/>
  <c r="C688" i="8"/>
  <c r="I684" i="8" s="1"/>
  <c r="G670" i="8"/>
  <c r="N40" i="1" s="1"/>
  <c r="C513" i="8"/>
  <c r="I509" i="8" s="1"/>
  <c r="C210" i="8"/>
  <c r="I206" i="8" s="1"/>
  <c r="F38" i="1"/>
  <c r="K798" i="8"/>
  <c r="K800" i="8" s="1"/>
  <c r="O40" i="1"/>
  <c r="K302" i="8"/>
  <c r="K304" i="8" s="1"/>
  <c r="K749" i="8"/>
  <c r="K751" i="8" s="1"/>
  <c r="K812" i="8"/>
  <c r="K814" i="8" s="1"/>
  <c r="O67" i="1"/>
  <c r="O56" i="1"/>
  <c r="O55" i="1"/>
  <c r="O33" i="1"/>
  <c r="K209" i="8"/>
  <c r="O41" i="1"/>
  <c r="K225" i="8"/>
  <c r="O61" i="1"/>
  <c r="K273" i="8"/>
  <c r="K608" i="8"/>
  <c r="O30" i="1"/>
  <c r="O39" i="1"/>
  <c r="K528" i="8"/>
  <c r="O24" i="1"/>
  <c r="O32" i="1"/>
  <c r="K129" i="8"/>
  <c r="O17" i="1"/>
  <c r="K544" i="8"/>
  <c r="O25" i="1"/>
  <c r="O60" i="1"/>
  <c r="O23" i="1"/>
  <c r="O38" i="1"/>
  <c r="O66" i="1"/>
  <c r="O59" i="1"/>
  <c r="F56" i="1"/>
  <c r="O31" i="1"/>
  <c r="O19" i="1"/>
  <c r="O42" i="1"/>
  <c r="O84" i="1"/>
  <c r="O72" i="1"/>
  <c r="C481" i="8"/>
  <c r="I477" i="8" s="1"/>
  <c r="K767" i="8"/>
  <c r="K769" i="8" s="1"/>
  <c r="O15" i="1"/>
  <c r="K719" i="8"/>
  <c r="O91" i="1"/>
  <c r="K433" i="8"/>
  <c r="O50" i="1"/>
  <c r="O87" i="1"/>
  <c r="G672" i="8"/>
  <c r="P40" i="1" s="1"/>
  <c r="O92" i="1"/>
  <c r="G589" i="8"/>
  <c r="L32" i="1" s="1"/>
  <c r="O65" i="1"/>
  <c r="O26" i="1"/>
  <c r="O57" i="1"/>
  <c r="O51" i="1"/>
  <c r="K828" i="8"/>
  <c r="K830" i="8" s="1"/>
  <c r="O70" i="1"/>
  <c r="K480" i="8"/>
  <c r="O37" i="1"/>
  <c r="O14" i="1"/>
  <c r="J48" i="1"/>
  <c r="J52" i="1" s="1"/>
  <c r="K417" i="8"/>
  <c r="K449" i="8"/>
  <c r="O86" i="1"/>
  <c r="O58" i="1"/>
  <c r="O69" i="1"/>
  <c r="G781" i="8"/>
  <c r="W787" i="8"/>
  <c r="Y787" i="8" s="1"/>
  <c r="K864" i="8"/>
  <c r="G860" i="8"/>
  <c r="W866" i="8"/>
  <c r="W468" i="8"/>
  <c r="O76" i="1"/>
  <c r="G94" i="8"/>
  <c r="L65" i="1" s="1"/>
  <c r="G796" i="8"/>
  <c r="W802" i="8"/>
  <c r="G382" i="8"/>
  <c r="L51" i="1" s="1"/>
  <c r="K257" i="8"/>
  <c r="Y749" i="8"/>
  <c r="G206" i="8"/>
  <c r="L41" i="1" s="1"/>
  <c r="O89" i="1"/>
  <c r="P89" i="1"/>
  <c r="N89" i="1"/>
  <c r="G828" i="8"/>
  <c r="W834" i="8"/>
  <c r="G637" i="8"/>
  <c r="L71" i="1" s="1"/>
  <c r="G668" i="8"/>
  <c r="L40" i="1" s="1"/>
  <c r="N88" i="1"/>
  <c r="G557" i="8"/>
  <c r="L23" i="1" s="1"/>
  <c r="W771" i="8"/>
  <c r="G765" i="8"/>
  <c r="G812" i="8"/>
  <c r="W818" i="8"/>
  <c r="G398" i="8"/>
  <c r="L48" i="1" s="1"/>
  <c r="G222" i="8"/>
  <c r="L43" i="1" s="1"/>
  <c r="G110" i="8"/>
  <c r="L67" i="1" s="1"/>
  <c r="W436" i="8"/>
  <c r="G430" i="8"/>
  <c r="L50" i="1" s="1"/>
  <c r="K58" i="1" l="1"/>
  <c r="K322" i="8"/>
  <c r="U350" i="8"/>
  <c r="W350" i="8" s="1"/>
  <c r="Y350" i="8" s="1"/>
  <c r="U351" i="8" s="1"/>
  <c r="K418" i="8"/>
  <c r="U124" i="8"/>
  <c r="W124" i="8" s="1"/>
  <c r="Y124" i="8" s="1"/>
  <c r="I637" i="8"/>
  <c r="K637" i="8" s="1"/>
  <c r="K639" i="8" s="1"/>
  <c r="I43" i="1"/>
  <c r="K258" i="8"/>
  <c r="K126" i="8"/>
  <c r="K128" i="8" s="1"/>
  <c r="Y354" i="8"/>
  <c r="K509" i="8"/>
  <c r="K511" i="8" s="1"/>
  <c r="K370" i="8"/>
  <c r="Q56" i="1" s="1"/>
  <c r="W571" i="8"/>
  <c r="Y571" i="8" s="1"/>
  <c r="U572" i="8" s="1"/>
  <c r="W333" i="8"/>
  <c r="Y333" i="8" s="1"/>
  <c r="U334" i="8" s="1"/>
  <c r="J45" i="1"/>
  <c r="K45" i="8"/>
  <c r="K47" i="8" s="1"/>
  <c r="K49" i="8" s="1"/>
  <c r="I589" i="8"/>
  <c r="K589" i="8" s="1"/>
  <c r="K591" i="8" s="1"/>
  <c r="K430" i="8"/>
  <c r="K432" i="8" s="1"/>
  <c r="K270" i="8"/>
  <c r="K272" i="8" s="1"/>
  <c r="Q18" i="1"/>
  <c r="K55" i="1"/>
  <c r="K338" i="8"/>
  <c r="K684" i="8"/>
  <c r="K686" i="8" s="1"/>
  <c r="K398" i="8"/>
  <c r="K400" i="8" s="1"/>
  <c r="O78" i="1"/>
  <c r="K142" i="8"/>
  <c r="K144" i="8" s="1"/>
  <c r="K146" i="8" s="1"/>
  <c r="C98" i="8"/>
  <c r="I94" i="8" s="1"/>
  <c r="C66" i="8"/>
  <c r="I62" i="8" s="1"/>
  <c r="K716" i="8"/>
  <c r="K718" i="8" s="1"/>
  <c r="K44" i="1"/>
  <c r="W43" i="8"/>
  <c r="Y43" i="8" s="1"/>
  <c r="U44" i="8" s="1"/>
  <c r="C194" i="8"/>
  <c r="I190" i="8" s="1"/>
  <c r="K190" i="8" s="1"/>
  <c r="K192" i="8" s="1"/>
  <c r="K194" i="8" s="1"/>
  <c r="K33" i="1"/>
  <c r="I68" i="1"/>
  <c r="K112" i="8"/>
  <c r="K114" i="8" s="1"/>
  <c r="K700" i="8"/>
  <c r="K702" i="8" s="1"/>
  <c r="K704" i="8" s="1"/>
  <c r="Q42" i="1" s="1"/>
  <c r="I286" i="8"/>
  <c r="I60" i="1" s="1"/>
  <c r="K162" i="8"/>
  <c r="U508" i="8"/>
  <c r="I18" i="1"/>
  <c r="W252" i="8"/>
  <c r="Y252" i="8" s="1"/>
  <c r="U253" i="8" s="1"/>
  <c r="W140" i="8"/>
  <c r="Y140" i="8" s="1"/>
  <c r="U141" i="8" s="1"/>
  <c r="W236" i="8"/>
  <c r="Y236" i="8" s="1"/>
  <c r="U237" i="8" s="1"/>
  <c r="W60" i="8"/>
  <c r="Y60" i="8" s="1"/>
  <c r="U61" i="8" s="1"/>
  <c r="W188" i="8"/>
  <c r="Y188" i="8" s="1"/>
  <c r="U189" i="8" s="1"/>
  <c r="K18" i="1"/>
  <c r="K880" i="8"/>
  <c r="Q83" i="1" s="1"/>
  <c r="I69" i="1"/>
  <c r="K14" i="1"/>
  <c r="Q14" i="1"/>
  <c r="K238" i="8"/>
  <c r="K240" i="8" s="1"/>
  <c r="K382" i="8"/>
  <c r="K384" i="8" s="1"/>
  <c r="I51" i="1"/>
  <c r="I56" i="1"/>
  <c r="U462" i="8"/>
  <c r="W462" i="8" s="1"/>
  <c r="Y462" i="8" s="1"/>
  <c r="W288" i="8"/>
  <c r="Y288" i="8" s="1"/>
  <c r="K844" i="8"/>
  <c r="K846" i="8" s="1"/>
  <c r="K174" i="8"/>
  <c r="K176" i="8" s="1"/>
  <c r="K178" i="8" s="1"/>
  <c r="Q72" i="1" s="1"/>
  <c r="G880" i="8"/>
  <c r="P83" i="1" s="1"/>
  <c r="K206" i="8"/>
  <c r="K208" i="8" s="1"/>
  <c r="K210" i="8" s="1"/>
  <c r="I30" i="1"/>
  <c r="I57" i="1"/>
  <c r="I49" i="1"/>
  <c r="I14" i="1"/>
  <c r="I19" i="1"/>
  <c r="K653" i="8"/>
  <c r="K655" i="8" s="1"/>
  <c r="K657" i="8" s="1"/>
  <c r="W269" i="8"/>
  <c r="K557" i="8"/>
  <c r="K559" i="8" s="1"/>
  <c r="K561" i="8" s="1"/>
  <c r="I84" i="1"/>
  <c r="I59" i="1"/>
  <c r="I38" i="1"/>
  <c r="I39" i="1"/>
  <c r="I58" i="1"/>
  <c r="I86" i="1"/>
  <c r="I31" i="1"/>
  <c r="I44" i="1"/>
  <c r="I66" i="1"/>
  <c r="K89" i="1"/>
  <c r="I89" i="1"/>
  <c r="I55" i="1"/>
  <c r="I72" i="1"/>
  <c r="I26" i="1"/>
  <c r="I48" i="1"/>
  <c r="I83" i="1"/>
  <c r="I33" i="1"/>
  <c r="I24" i="1"/>
  <c r="K525" i="8"/>
  <c r="K527" i="8" s="1"/>
  <c r="K529" i="8" s="1"/>
  <c r="I67" i="1"/>
  <c r="K477" i="8"/>
  <c r="K479" i="8" s="1"/>
  <c r="K68" i="1" s="1"/>
  <c r="W788" i="8"/>
  <c r="I91" i="1"/>
  <c r="K832" i="8"/>
  <c r="G593" i="8"/>
  <c r="P32" i="1" s="1"/>
  <c r="G591" i="8"/>
  <c r="N32" i="1" s="1"/>
  <c r="K49" i="1"/>
  <c r="I87" i="1"/>
  <c r="Q31" i="1"/>
  <c r="K31" i="1"/>
  <c r="K56" i="1"/>
  <c r="K753" i="8"/>
  <c r="K466" i="8"/>
  <c r="K66" i="1"/>
  <c r="K86" i="1"/>
  <c r="K816" i="8"/>
  <c r="K609" i="8"/>
  <c r="K30" i="1"/>
  <c r="K354" i="8"/>
  <c r="Q57" i="1" s="1"/>
  <c r="K57" i="1"/>
  <c r="Y436" i="8"/>
  <c r="Y818" i="8"/>
  <c r="G816" i="8" s="1"/>
  <c r="G814" i="8"/>
  <c r="G830" i="8"/>
  <c r="Y834" i="8"/>
  <c r="G832" i="8" s="1"/>
  <c r="G208" i="8"/>
  <c r="N41" i="1" s="1"/>
  <c r="G210" i="8"/>
  <c r="P41" i="1" s="1"/>
  <c r="G862" i="8"/>
  <c r="Y866" i="8"/>
  <c r="G864" i="8" s="1"/>
  <c r="G402" i="8"/>
  <c r="P48" i="1" s="1"/>
  <c r="G400" i="8"/>
  <c r="N48" i="1" s="1"/>
  <c r="G561" i="8"/>
  <c r="P23" i="1" s="1"/>
  <c r="G559" i="8"/>
  <c r="N23" i="1" s="1"/>
  <c r="G386" i="8"/>
  <c r="P51" i="1" s="1"/>
  <c r="G384" i="8"/>
  <c r="N51" i="1" s="1"/>
  <c r="G798" i="8"/>
  <c r="Y802" i="8"/>
  <c r="G800" i="8" s="1"/>
  <c r="G226" i="8"/>
  <c r="P43" i="1" s="1"/>
  <c r="G224" i="8"/>
  <c r="N43" i="1" s="1"/>
  <c r="G641" i="8"/>
  <c r="P71" i="1" s="1"/>
  <c r="G639" i="8"/>
  <c r="N71" i="1" s="1"/>
  <c r="K306" i="8"/>
  <c r="Q59" i="1" s="1"/>
  <c r="K59" i="1"/>
  <c r="U750" i="8"/>
  <c r="Y771" i="8"/>
  <c r="G769" i="8" s="1"/>
  <c r="G767" i="8"/>
  <c r="Y468" i="8"/>
  <c r="U125" i="8" l="1"/>
  <c r="W125" i="8" s="1"/>
  <c r="Y125" i="8" s="1"/>
  <c r="U126" i="8" s="1"/>
  <c r="I71" i="1"/>
  <c r="K71" i="1"/>
  <c r="K641" i="8"/>
  <c r="Q71" i="1" s="1"/>
  <c r="R71" i="1" s="1"/>
  <c r="K222" i="8"/>
  <c r="K224" i="8" s="1"/>
  <c r="K43" i="1" s="1"/>
  <c r="I17" i="1"/>
  <c r="K17" i="1"/>
  <c r="K130" i="8"/>
  <c r="Q17" i="1" s="1"/>
  <c r="W355" i="8"/>
  <c r="Y355" i="8" s="1"/>
  <c r="K513" i="8"/>
  <c r="K26" i="1"/>
  <c r="K50" i="1"/>
  <c r="K434" i="8"/>
  <c r="Q50" i="1" s="1"/>
  <c r="W334" i="8"/>
  <c r="Y334" i="8" s="1"/>
  <c r="U335" i="8" s="1"/>
  <c r="I65" i="1"/>
  <c r="Q30" i="1"/>
  <c r="Q19" i="1"/>
  <c r="K19" i="1"/>
  <c r="K87" i="1"/>
  <c r="I32" i="1"/>
  <c r="Q37" i="1"/>
  <c r="K593" i="8"/>
  <c r="K32" i="1"/>
  <c r="I50" i="1"/>
  <c r="W44" i="8"/>
  <c r="Y44" i="8" s="1"/>
  <c r="U45" i="8" s="1"/>
  <c r="K67" i="1"/>
  <c r="Q86" i="1"/>
  <c r="K274" i="8"/>
  <c r="Q61" i="1" s="1"/>
  <c r="K61" i="1"/>
  <c r="I61" i="1"/>
  <c r="Q44" i="1"/>
  <c r="I15" i="1"/>
  <c r="K84" i="1"/>
  <c r="Q84" i="1"/>
  <c r="S14" i="1"/>
  <c r="K48" i="1"/>
  <c r="K402" i="8"/>
  <c r="Q48" i="1" s="1"/>
  <c r="Q55" i="1"/>
  <c r="K38" i="1"/>
  <c r="C545" i="8"/>
  <c r="K91" i="1"/>
  <c r="K720" i="8"/>
  <c r="Q91" i="1" s="1"/>
  <c r="S91" i="1" s="1"/>
  <c r="C672" i="8"/>
  <c r="I668" i="8" s="1"/>
  <c r="K24" i="1"/>
  <c r="Q49" i="1"/>
  <c r="K37" i="1"/>
  <c r="I37" i="1"/>
  <c r="Q58" i="1"/>
  <c r="K76" i="1"/>
  <c r="W508" i="8"/>
  <c r="Q11" i="1"/>
  <c r="S11" i="1"/>
  <c r="R83" i="1"/>
  <c r="I42" i="1"/>
  <c r="K286" i="8"/>
  <c r="K288" i="8" s="1"/>
  <c r="K60" i="1" s="1"/>
  <c r="D7" i="1"/>
  <c r="W189" i="8"/>
  <c r="Y189" i="8" s="1"/>
  <c r="U190" i="8" s="1"/>
  <c r="W61" i="8"/>
  <c r="Y61" i="8" s="1"/>
  <c r="U62" i="8" s="1"/>
  <c r="W62" i="8" s="1"/>
  <c r="W253" i="8"/>
  <c r="Y253" i="8" s="1"/>
  <c r="U254" i="8" s="1"/>
  <c r="W237" i="8"/>
  <c r="Y237" i="8" s="1"/>
  <c r="U238" i="8" s="1"/>
  <c r="W141" i="8"/>
  <c r="Y141" i="8" s="1"/>
  <c r="U142" i="8" s="1"/>
  <c r="Y788" i="8"/>
  <c r="G785" i="8" s="1"/>
  <c r="G783" i="8"/>
  <c r="K493" i="8"/>
  <c r="K495" i="8" s="1"/>
  <c r="K497" i="8" s="1"/>
  <c r="Q87" i="1"/>
  <c r="I70" i="1"/>
  <c r="K386" i="8"/>
  <c r="K51" i="1"/>
  <c r="K242" i="8"/>
  <c r="K70" i="1"/>
  <c r="G876" i="8"/>
  <c r="L83" i="1" s="1"/>
  <c r="I88" i="1"/>
  <c r="K88" i="1"/>
  <c r="Q88" i="1"/>
  <c r="G878" i="8"/>
  <c r="N83" i="1" s="1"/>
  <c r="W289" i="8"/>
  <c r="Y289" i="8" s="1"/>
  <c r="U463" i="8"/>
  <c r="W463" i="8" s="1"/>
  <c r="Y463" i="8" s="1"/>
  <c r="K72" i="1"/>
  <c r="K92" i="1"/>
  <c r="Q92" i="1"/>
  <c r="I92" i="1"/>
  <c r="Q38" i="1"/>
  <c r="Q39" i="1"/>
  <c r="Q66" i="1"/>
  <c r="K23" i="1"/>
  <c r="I41" i="1"/>
  <c r="K41" i="1"/>
  <c r="Q41" i="1"/>
  <c r="W750" i="8"/>
  <c r="Y269" i="8"/>
  <c r="Q89" i="1"/>
  <c r="K481" i="8"/>
  <c r="W469" i="8"/>
  <c r="Y469" i="8" s="1"/>
  <c r="Q33" i="1"/>
  <c r="K42" i="1"/>
  <c r="W126" i="8" l="1"/>
  <c r="Y126" i="8" s="1"/>
  <c r="I541" i="8"/>
  <c r="K541" i="8" s="1"/>
  <c r="K543" i="8" s="1"/>
  <c r="W356" i="8"/>
  <c r="Y356" i="8" s="1"/>
  <c r="Q43" i="1"/>
  <c r="Q32" i="1"/>
  <c r="Q34" i="1" s="1"/>
  <c r="Q26" i="1"/>
  <c r="S26" i="1" s="1"/>
  <c r="W335" i="8"/>
  <c r="Y335" i="8" s="1"/>
  <c r="W572" i="8"/>
  <c r="Y572" i="8" s="1"/>
  <c r="U573" i="8" s="1"/>
  <c r="Q51" i="1"/>
  <c r="R51" i="1" s="1"/>
  <c r="R52" i="1" s="1"/>
  <c r="K94" i="8"/>
  <c r="K96" i="8" s="1"/>
  <c r="K98" i="8" s="1"/>
  <c r="Q65" i="1" s="1"/>
  <c r="S30" i="1"/>
  <c r="Q70" i="1"/>
  <c r="Q23" i="1"/>
  <c r="D48" i="1"/>
  <c r="W45" i="8"/>
  <c r="Y45" i="8" s="1"/>
  <c r="U46" i="8" s="1"/>
  <c r="I40" i="1"/>
  <c r="K62" i="8"/>
  <c r="K64" i="8" s="1"/>
  <c r="K66" i="8" s="1"/>
  <c r="Q15" i="1" s="1"/>
  <c r="Q67" i="1"/>
  <c r="Q24" i="1"/>
  <c r="G306" i="8"/>
  <c r="P59" i="1" s="1"/>
  <c r="C450" i="8"/>
  <c r="I446" i="8" s="1"/>
  <c r="Q68" i="1"/>
  <c r="K668" i="8"/>
  <c r="K670" i="8" s="1"/>
  <c r="K672" i="8" s="1"/>
  <c r="Q76" i="1"/>
  <c r="Y508" i="8"/>
  <c r="U509" i="8" s="1"/>
  <c r="K290" i="8"/>
  <c r="Q60" i="1" s="1"/>
  <c r="S60" i="1" s="1"/>
  <c r="Y62" i="8"/>
  <c r="U63" i="8" s="1"/>
  <c r="G78" i="8"/>
  <c r="L14" i="1" s="1"/>
  <c r="G96" i="8"/>
  <c r="N65" i="1" s="1"/>
  <c r="W142" i="8"/>
  <c r="Y142" i="8" s="1"/>
  <c r="U143" i="8" s="1"/>
  <c r="W238" i="8"/>
  <c r="Y238" i="8" s="1"/>
  <c r="U239" i="8" s="1"/>
  <c r="W254" i="8"/>
  <c r="Y254" i="8" s="1"/>
  <c r="U255" i="8" s="1"/>
  <c r="W190" i="8"/>
  <c r="Y190" i="8" s="1"/>
  <c r="U191" i="8" s="1"/>
  <c r="G114" i="8"/>
  <c r="P67" i="1" s="1"/>
  <c r="G112" i="8"/>
  <c r="N67" i="1" s="1"/>
  <c r="W357" i="8"/>
  <c r="G350" i="8"/>
  <c r="L57" i="1" s="1"/>
  <c r="K69" i="1"/>
  <c r="Q69" i="1"/>
  <c r="G525" i="8"/>
  <c r="L24" i="1" s="1"/>
  <c r="D92" i="1"/>
  <c r="U464" i="8"/>
  <c r="W464" i="8" s="1"/>
  <c r="Y464" i="8" s="1"/>
  <c r="U465" i="8" s="1"/>
  <c r="Y750" i="8"/>
  <c r="U270" i="8"/>
  <c r="V70" i="1" l="1"/>
  <c r="Q62" i="1"/>
  <c r="U127" i="8"/>
  <c r="W127" i="8" s="1"/>
  <c r="Y127" i="8" s="1"/>
  <c r="W128" i="8" s="1"/>
  <c r="Y128" i="8" s="1"/>
  <c r="U129" i="8" s="1"/>
  <c r="W129" i="8" s="1"/>
  <c r="Y129" i="8" s="1"/>
  <c r="U130" i="8" s="1"/>
  <c r="W130" i="8" s="1"/>
  <c r="Y130" i="8" s="1"/>
  <c r="U131" i="8" s="1"/>
  <c r="W131" i="8" s="1"/>
  <c r="S69" i="1"/>
  <c r="V73" i="1"/>
  <c r="S43" i="1"/>
  <c r="S77" i="1" s="1"/>
  <c r="W41" i="1"/>
  <c r="I25" i="1"/>
  <c r="E107" i="1"/>
  <c r="W44" i="1"/>
  <c r="K545" i="8"/>
  <c r="Q25" i="1" s="1"/>
  <c r="Q27" i="1" s="1"/>
  <c r="K25" i="1"/>
  <c r="Q73" i="1"/>
  <c r="W336" i="8"/>
  <c r="Y336" i="8" s="1"/>
  <c r="K65" i="1"/>
  <c r="K446" i="8"/>
  <c r="K448" i="8" s="1"/>
  <c r="K47" i="1" s="1"/>
  <c r="S23" i="1"/>
  <c r="S27" i="1" s="1"/>
  <c r="W46" i="8"/>
  <c r="Y46" i="8" s="1"/>
  <c r="Q40" i="1"/>
  <c r="Q45" i="1" s="1"/>
  <c r="U47" i="1" s="1"/>
  <c r="K15" i="1"/>
  <c r="U41" i="1"/>
  <c r="G304" i="8"/>
  <c r="N59" i="1" s="1"/>
  <c r="G302" i="8"/>
  <c r="L59" i="1" s="1"/>
  <c r="K40" i="1"/>
  <c r="W509" i="8"/>
  <c r="G621" i="8"/>
  <c r="L33" i="1" s="1"/>
  <c r="W63" i="8"/>
  <c r="Y63" i="8" s="1"/>
  <c r="W255" i="8"/>
  <c r="Y255" i="8" s="1"/>
  <c r="W239" i="8"/>
  <c r="Y239" i="8" s="1"/>
  <c r="W143" i="8"/>
  <c r="Y143" i="8" s="1"/>
  <c r="Y357" i="8"/>
  <c r="G354" i="8" s="1"/>
  <c r="P57" i="1" s="1"/>
  <c r="G352" i="8"/>
  <c r="N57" i="1" s="1"/>
  <c r="W191" i="8"/>
  <c r="Y191" i="8" s="1"/>
  <c r="G82" i="8"/>
  <c r="P14" i="1" s="1"/>
  <c r="G80" i="8"/>
  <c r="N14" i="1" s="1"/>
  <c r="G625" i="8"/>
  <c r="P33" i="1" s="1"/>
  <c r="G623" i="8"/>
  <c r="N33" i="1" s="1"/>
  <c r="G529" i="8"/>
  <c r="P24" i="1" s="1"/>
  <c r="G527" i="8"/>
  <c r="N24" i="1" s="1"/>
  <c r="W290" i="8"/>
  <c r="W465" i="8"/>
  <c r="U751" i="8"/>
  <c r="W270" i="8"/>
  <c r="U76" i="1" l="1"/>
  <c r="S45" i="1"/>
  <c r="T27" i="1"/>
  <c r="U81" i="1"/>
  <c r="W81" i="1"/>
  <c r="U79" i="1"/>
  <c r="W47" i="8"/>
  <c r="Y47" i="8" s="1"/>
  <c r="U48" i="8" s="1"/>
  <c r="W48" i="8" s="1"/>
  <c r="Y48" i="8" s="1"/>
  <c r="U49" i="8" s="1"/>
  <c r="W49" i="8" s="1"/>
  <c r="Y49" i="8" s="1"/>
  <c r="U50" i="8" s="1"/>
  <c r="Y131" i="8"/>
  <c r="U132" i="8" s="1"/>
  <c r="E103" i="1"/>
  <c r="W337" i="8"/>
  <c r="Y337" i="8" s="1"/>
  <c r="W338" i="8" s="1"/>
  <c r="Y338" i="8" s="1"/>
  <c r="P6" i="12"/>
  <c r="R6" i="12" s="1"/>
  <c r="E101" i="1"/>
  <c r="I47" i="1"/>
  <c r="K450" i="8"/>
  <c r="Q47" i="1" s="1"/>
  <c r="Q52" i="1" s="1"/>
  <c r="Q77" i="1"/>
  <c r="E106" i="1"/>
  <c r="Y509" i="8"/>
  <c r="U510" i="8" s="1"/>
  <c r="W64" i="8"/>
  <c r="Y64" i="8" s="1"/>
  <c r="W192" i="8"/>
  <c r="Y192" i="8" s="1"/>
  <c r="G541" i="8"/>
  <c r="L25" i="1" s="1"/>
  <c r="W144" i="8"/>
  <c r="Y144" i="8" s="1"/>
  <c r="W240" i="8"/>
  <c r="Y240" i="8" s="1"/>
  <c r="W256" i="8"/>
  <c r="Y256" i="8" s="1"/>
  <c r="Y290" i="8"/>
  <c r="Y465" i="8"/>
  <c r="W432" i="8"/>
  <c r="Y432" i="8" s="1"/>
  <c r="W433" i="8" s="1"/>
  <c r="W751" i="8"/>
  <c r="Y270" i="8"/>
  <c r="Q15" i="12" l="1"/>
  <c r="P15" i="12"/>
  <c r="P8" i="12"/>
  <c r="R8" i="12" s="1"/>
  <c r="W510" i="8"/>
  <c r="W145" i="8"/>
  <c r="Y145" i="8" s="1"/>
  <c r="W146" i="8" s="1"/>
  <c r="G477" i="8"/>
  <c r="L68" i="1" s="1"/>
  <c r="G716" i="8"/>
  <c r="L91" i="1" s="1"/>
  <c r="W193" i="8"/>
  <c r="Y193" i="8" s="1"/>
  <c r="W257" i="8"/>
  <c r="Y257" i="8" s="1"/>
  <c r="W50" i="8"/>
  <c r="Y50" i="8" s="1"/>
  <c r="U51" i="8" s="1"/>
  <c r="W241" i="8"/>
  <c r="Y241" i="8" s="1"/>
  <c r="W65" i="8"/>
  <c r="Y65" i="8" s="1"/>
  <c r="G545" i="8"/>
  <c r="P25" i="1" s="1"/>
  <c r="G543" i="8"/>
  <c r="N25" i="1" s="1"/>
  <c r="W291" i="8"/>
  <c r="U466" i="8"/>
  <c r="Y433" i="8"/>
  <c r="Y751" i="8"/>
  <c r="U271" i="8"/>
  <c r="R15" i="12" l="1"/>
  <c r="E104" i="1"/>
  <c r="P128" i="1"/>
  <c r="W339" i="8"/>
  <c r="Y510" i="8"/>
  <c r="U511" i="8" s="1"/>
  <c r="W258" i="8"/>
  <c r="Y258" i="8" s="1"/>
  <c r="W66" i="8"/>
  <c r="Y66" i="8" s="1"/>
  <c r="W51" i="8"/>
  <c r="Y51" i="8" s="1"/>
  <c r="U52" i="8" s="1"/>
  <c r="W194" i="8"/>
  <c r="Y194" i="8" s="1"/>
  <c r="W242" i="8"/>
  <c r="Y242" i="8" s="1"/>
  <c r="G446" i="8"/>
  <c r="L47" i="1" s="1"/>
  <c r="Y146" i="8"/>
  <c r="G720" i="8"/>
  <c r="P91" i="1" s="1"/>
  <c r="G718" i="8"/>
  <c r="N91" i="1" s="1"/>
  <c r="G414" i="8"/>
  <c r="L49" i="1" s="1"/>
  <c r="G481" i="8"/>
  <c r="P68" i="1" s="1"/>
  <c r="G479" i="8"/>
  <c r="N68" i="1" s="1"/>
  <c r="G605" i="8"/>
  <c r="L30" i="1" s="1"/>
  <c r="Y291" i="8"/>
  <c r="W466" i="8"/>
  <c r="G462" i="8"/>
  <c r="L66" i="1" s="1"/>
  <c r="W467" i="8"/>
  <c r="Y467" i="8" s="1"/>
  <c r="W434" i="8"/>
  <c r="U752" i="8"/>
  <c r="W271" i="8"/>
  <c r="W132" i="8" l="1"/>
  <c r="Y339" i="8"/>
  <c r="W259" i="8"/>
  <c r="Y259" i="8" s="1"/>
  <c r="Y434" i="8"/>
  <c r="W511" i="8"/>
  <c r="W195" i="8"/>
  <c r="Y195" i="8" s="1"/>
  <c r="G45" i="8"/>
  <c r="L19" i="1" s="1"/>
  <c r="W52" i="8"/>
  <c r="W243" i="8"/>
  <c r="Y243" i="8" s="1"/>
  <c r="W67" i="8"/>
  <c r="Y67" i="8" s="1"/>
  <c r="G448" i="8"/>
  <c r="N47" i="1" s="1"/>
  <c r="G450" i="8"/>
  <c r="P47" i="1" s="1"/>
  <c r="G732" i="8"/>
  <c r="L86" i="1" s="1"/>
  <c r="G493" i="8"/>
  <c r="L69" i="1" s="1"/>
  <c r="G418" i="8"/>
  <c r="P49" i="1" s="1"/>
  <c r="G416" i="8"/>
  <c r="N49" i="1" s="1"/>
  <c r="G318" i="8"/>
  <c r="L58" i="1" s="1"/>
  <c r="G609" i="8"/>
  <c r="P30" i="1" s="1"/>
  <c r="G607" i="8"/>
  <c r="N30" i="1" s="1"/>
  <c r="W292" i="8"/>
  <c r="Y292" i="8" s="1"/>
  <c r="Y466" i="8"/>
  <c r="G466" i="8" s="1"/>
  <c r="P66" i="1" s="1"/>
  <c r="G464" i="8"/>
  <c r="N66" i="1" s="1"/>
  <c r="W752" i="8"/>
  <c r="Y271" i="8"/>
  <c r="Y132" i="8" l="1"/>
  <c r="G254" i="8"/>
  <c r="L44" i="1" s="1"/>
  <c r="W147" i="8"/>
  <c r="W435" i="8"/>
  <c r="Y511" i="8"/>
  <c r="G98" i="8"/>
  <c r="P65" i="1" s="1"/>
  <c r="W244" i="8"/>
  <c r="Y244" i="8" s="1"/>
  <c r="W196" i="8"/>
  <c r="Y196" i="8" s="1"/>
  <c r="W68" i="8"/>
  <c r="Y68" i="8" s="1"/>
  <c r="G844" i="8"/>
  <c r="L92" i="1" s="1"/>
  <c r="G700" i="8"/>
  <c r="L42" i="1" s="1"/>
  <c r="G366" i="8"/>
  <c r="L56" i="1" s="1"/>
  <c r="G684" i="8"/>
  <c r="L84" i="1" s="1"/>
  <c r="Y52" i="8"/>
  <c r="G49" i="8" s="1"/>
  <c r="P19" i="1" s="1"/>
  <c r="G47" i="8"/>
  <c r="N19" i="1" s="1"/>
  <c r="G322" i="8"/>
  <c r="P58" i="1" s="1"/>
  <c r="G320" i="8"/>
  <c r="N58" i="1" s="1"/>
  <c r="G497" i="8"/>
  <c r="P69" i="1" s="1"/>
  <c r="G495" i="8"/>
  <c r="N69" i="1" s="1"/>
  <c r="W293" i="8"/>
  <c r="G286" i="8"/>
  <c r="L60" i="1" s="1"/>
  <c r="G158" i="8"/>
  <c r="L39" i="1" s="1"/>
  <c r="Y752" i="8"/>
  <c r="W197" i="8" l="1"/>
  <c r="Y197" i="8" s="1"/>
  <c r="G194" i="8" s="1"/>
  <c r="P37" i="1" s="1"/>
  <c r="U133" i="8"/>
  <c r="W245" i="8"/>
  <c r="Y245" i="8" s="1"/>
  <c r="G242" i="8" s="1"/>
  <c r="P70" i="1" s="1"/>
  <c r="W260" i="8"/>
  <c r="W340" i="8"/>
  <c r="G62" i="8"/>
  <c r="L15" i="1" s="1"/>
  <c r="G238" i="8"/>
  <c r="L70" i="1" s="1"/>
  <c r="G190" i="8"/>
  <c r="L37" i="1" s="1"/>
  <c r="Y435" i="8"/>
  <c r="G434" i="8" s="1"/>
  <c r="P50" i="1" s="1"/>
  <c r="G432" i="8"/>
  <c r="N50" i="1" s="1"/>
  <c r="Y147" i="8"/>
  <c r="U512" i="8"/>
  <c r="G688" i="8"/>
  <c r="P84" i="1" s="1"/>
  <c r="G686" i="8"/>
  <c r="N84" i="1" s="1"/>
  <c r="G240" i="8"/>
  <c r="N70" i="1" s="1"/>
  <c r="G704" i="8"/>
  <c r="P42" i="1" s="1"/>
  <c r="G702" i="8"/>
  <c r="N42" i="1" s="1"/>
  <c r="G736" i="8"/>
  <c r="P86" i="1" s="1"/>
  <c r="G734" i="8"/>
  <c r="N86" i="1" s="1"/>
  <c r="G370" i="8"/>
  <c r="P56" i="1" s="1"/>
  <c r="G368" i="8"/>
  <c r="N56" i="1" s="1"/>
  <c r="G192" i="8"/>
  <c r="N37" i="1" s="1"/>
  <c r="G848" i="8"/>
  <c r="P92" i="1" s="1"/>
  <c r="G846" i="8"/>
  <c r="N92" i="1" s="1"/>
  <c r="Y293" i="8"/>
  <c r="G290" i="8" s="1"/>
  <c r="P60" i="1" s="1"/>
  <c r="G288" i="8"/>
  <c r="N60" i="1" s="1"/>
  <c r="G162" i="8"/>
  <c r="P39" i="1" s="1"/>
  <c r="G160" i="8"/>
  <c r="N39" i="1" s="1"/>
  <c r="U753" i="8"/>
  <c r="W272" i="8"/>
  <c r="W133" i="8" l="1"/>
  <c r="G126" i="8"/>
  <c r="L17" i="1" s="1"/>
  <c r="Y340" i="8"/>
  <c r="G334" i="8" s="1"/>
  <c r="L55" i="1" s="1"/>
  <c r="Y260" i="8"/>
  <c r="W69" i="8"/>
  <c r="L87" i="1"/>
  <c r="W512" i="8"/>
  <c r="W753" i="8"/>
  <c r="Y272" i="8"/>
  <c r="U273" i="8" s="1"/>
  <c r="Y133" i="8" l="1"/>
  <c r="G130" i="8" s="1"/>
  <c r="P17" i="1" s="1"/>
  <c r="G128" i="8"/>
  <c r="N17" i="1" s="1"/>
  <c r="W261" i="8"/>
  <c r="W341" i="8"/>
  <c r="Y69" i="8"/>
  <c r="G66" i="8" s="1"/>
  <c r="P15" i="1" s="1"/>
  <c r="G64" i="8"/>
  <c r="N15" i="1" s="1"/>
  <c r="P87" i="1"/>
  <c r="N87" i="1"/>
  <c r="W148" i="8"/>
  <c r="Y512" i="8"/>
  <c r="Y753" i="8"/>
  <c r="W273" i="8"/>
  <c r="Y261" i="8" l="1"/>
  <c r="G258" i="8" s="1"/>
  <c r="P44" i="1" s="1"/>
  <c r="G256" i="8"/>
  <c r="N44" i="1" s="1"/>
  <c r="Y341" i="8"/>
  <c r="G338" i="8" s="1"/>
  <c r="P55" i="1" s="1"/>
  <c r="G336" i="8"/>
  <c r="N55" i="1" s="1"/>
  <c r="Y148" i="8"/>
  <c r="Y273" i="8"/>
  <c r="U274" i="8" s="1"/>
  <c r="U513" i="8"/>
  <c r="U754" i="8"/>
  <c r="W513" i="8" l="1"/>
  <c r="W274" i="8"/>
  <c r="W754" i="8"/>
  <c r="W149" i="8" l="1"/>
  <c r="G142" i="8"/>
  <c r="L38" i="1" s="1"/>
  <c r="Y274" i="8"/>
  <c r="U275" i="8" s="1"/>
  <c r="Y513" i="8"/>
  <c r="Y754" i="8"/>
  <c r="Y149" i="8" l="1"/>
  <c r="G146" i="8" s="1"/>
  <c r="P38" i="1" s="1"/>
  <c r="G144" i="8"/>
  <c r="N38" i="1" s="1"/>
  <c r="W275" i="8"/>
  <c r="U514" i="8"/>
  <c r="U755" i="8"/>
  <c r="Y275" i="8" l="1"/>
  <c r="W514" i="8"/>
  <c r="Y755" i="8"/>
  <c r="U756" i="8" s="1"/>
  <c r="W756" i="8" s="1"/>
  <c r="U276" i="8" l="1"/>
  <c r="Y514" i="8"/>
  <c r="G749" i="8"/>
  <c r="Y756" i="8"/>
  <c r="G753" i="8" s="1"/>
  <c r="G751" i="8"/>
  <c r="W276" i="8" l="1"/>
  <c r="U515" i="8"/>
  <c r="W649" i="8"/>
  <c r="Y649" i="8" s="1"/>
  <c r="Y276" i="8" l="1"/>
  <c r="W515" i="8"/>
  <c r="W650" i="8"/>
  <c r="Y650" i="8" s="1"/>
  <c r="U277" i="8" l="1"/>
  <c r="Y515" i="8"/>
  <c r="W651" i="8"/>
  <c r="Y651" i="8" s="1"/>
  <c r="W277" i="8" l="1"/>
  <c r="G270" i="8"/>
  <c r="L61" i="1" s="1"/>
  <c r="U516" i="8"/>
  <c r="W652" i="8"/>
  <c r="Y652" i="8" s="1"/>
  <c r="Y277" i="8" l="1"/>
  <c r="G274" i="8" s="1"/>
  <c r="P61" i="1" s="1"/>
  <c r="G272" i="8"/>
  <c r="N61" i="1" s="1"/>
  <c r="W653" i="8"/>
  <c r="Y653" i="8" s="1"/>
  <c r="W654" i="8" s="1"/>
  <c r="Y654" i="8" s="1"/>
  <c r="W516" i="8"/>
  <c r="G509" i="8"/>
  <c r="L26" i="1" s="1"/>
  <c r="Y516" i="8" l="1"/>
  <c r="G513" i="8" s="1"/>
  <c r="P26" i="1" s="1"/>
  <c r="G511" i="8"/>
  <c r="N26" i="1" s="1"/>
  <c r="Y655" i="8"/>
  <c r="U656" i="8" l="1"/>
  <c r="L18" i="1"/>
  <c r="W656" i="8" l="1"/>
  <c r="Y656" i="8" s="1"/>
  <c r="U657" i="8" l="1"/>
  <c r="W657" i="8" l="1"/>
  <c r="Y657" i="8" l="1"/>
  <c r="U658" i="8" s="1"/>
  <c r="W658" i="8" l="1"/>
  <c r="Y658" i="8" l="1"/>
  <c r="U659" i="8" s="1"/>
  <c r="W659" i="8" l="1"/>
  <c r="Y659" i="8" l="1"/>
  <c r="O113" i="1"/>
  <c r="U660" i="8" l="1"/>
  <c r="W660" i="8" l="1"/>
  <c r="G653" i="8"/>
  <c r="L76" i="1" s="1"/>
  <c r="Y660" i="8" l="1"/>
  <c r="G657" i="8" s="1"/>
  <c r="P76" i="1" s="1"/>
  <c r="G655" i="8"/>
  <c r="N76" i="1" s="1"/>
  <c r="P18" i="1" l="1"/>
  <c r="N18" i="1"/>
  <c r="E16" i="1"/>
  <c r="E20" i="1" s="1"/>
  <c r="J16" i="1"/>
  <c r="J20" i="1" s="1"/>
  <c r="K16" i="1" l="1"/>
  <c r="K20" i="1" s="1"/>
  <c r="R1" i="8" l="1"/>
  <c r="Q16" i="1" l="1"/>
  <c r="Q20" i="1" l="1"/>
  <c r="Q78" i="1" s="1"/>
  <c r="V17" i="1"/>
  <c r="E100" i="1" l="1"/>
  <c r="W170" i="8"/>
  <c r="Y170" i="8" s="1"/>
  <c r="U171" i="8" s="1"/>
  <c r="W171" i="8" l="1"/>
  <c r="Y171" i="8" s="1"/>
  <c r="U172" i="8" s="1"/>
  <c r="W172" i="8" l="1"/>
  <c r="Y172" i="8" s="1"/>
  <c r="U173" i="8" s="1"/>
  <c r="W173" i="8" l="1"/>
  <c r="Y173" i="8" l="1"/>
  <c r="U174" i="8" s="1"/>
  <c r="W174" i="8" l="1"/>
  <c r="Y174" i="8" s="1"/>
  <c r="U175" i="8" s="1"/>
  <c r="W175" i="8" l="1"/>
  <c r="Y175" i="8" s="1"/>
  <c r="W176" i="8" l="1"/>
  <c r="Y176" i="8" l="1"/>
  <c r="U177" i="8" s="1"/>
  <c r="P12" i="12" l="1"/>
  <c r="W177" i="8" l="1"/>
  <c r="R12" i="12"/>
  <c r="Y177" i="8" l="1"/>
  <c r="U178" i="8" s="1"/>
  <c r="W178" i="8" l="1"/>
  <c r="Y178" i="8" s="1"/>
  <c r="U179" i="8" s="1"/>
  <c r="W179" i="8" l="1"/>
  <c r="Y179" i="8" l="1"/>
  <c r="U180" i="8" s="1"/>
  <c r="G174" i="8" l="1"/>
  <c r="L72" i="1" s="1"/>
  <c r="W180" i="8" l="1"/>
  <c r="Y180" i="8" l="1"/>
  <c r="U181" i="8" s="1"/>
  <c r="W181" i="8" l="1"/>
  <c r="Y181" i="8" l="1"/>
  <c r="G178" i="8" s="1"/>
  <c r="P72" i="1" s="1"/>
  <c r="G176" i="8"/>
  <c r="N72" i="1" s="1"/>
  <c r="Q13" i="12"/>
  <c r="P13" i="12"/>
  <c r="P16" i="12" s="1"/>
  <c r="R13" i="12" l="1"/>
  <c r="R16" i="12" s="1"/>
  <c r="Q16" i="12"/>
  <c r="W573" i="8" l="1"/>
  <c r="Y573" i="8" l="1"/>
  <c r="U574" i="8" s="1"/>
  <c r="W574" i="8" l="1"/>
  <c r="Y574" i="8" s="1"/>
  <c r="W575" i="8" l="1"/>
  <c r="Y575" i="8" l="1"/>
  <c r="U576" i="8" l="1"/>
  <c r="W576" i="8" l="1"/>
  <c r="Y576" i="8" l="1"/>
  <c r="U577" i="8" l="1"/>
  <c r="W577" i="8" s="1"/>
  <c r="Y577" i="8" s="1"/>
  <c r="U578" i="8" s="1"/>
  <c r="W578" i="8" l="1"/>
  <c r="Y578" i="8" l="1"/>
  <c r="U579" i="8" l="1"/>
  <c r="D16" i="1"/>
  <c r="D89" i="1"/>
  <c r="E102" i="1"/>
  <c r="W579" i="8" l="1"/>
  <c r="G573" i="8"/>
  <c r="L31" i="1" s="1"/>
  <c r="L78" i="1" s="1"/>
  <c r="E105" i="1"/>
  <c r="I97" i="1"/>
  <c r="E109" i="1" l="1"/>
  <c r="G106" i="1" s="1"/>
  <c r="Y579" i="8"/>
  <c r="G575" i="8"/>
  <c r="N31" i="1" s="1"/>
  <c r="N78" i="1" s="1"/>
  <c r="E78" i="1"/>
  <c r="G577" i="8" l="1"/>
  <c r="P31" i="1" s="1"/>
  <c r="P78" i="1" s="1"/>
  <c r="U580" i="8"/>
  <c r="W580" i="8" s="1"/>
  <c r="Y580" i="8" s="1"/>
  <c r="D88" i="1" l="1"/>
  <c r="D87" i="1" l="1"/>
  <c r="D84" i="1"/>
  <c r="J34" i="1" l="1"/>
  <c r="R34" i="1"/>
  <c r="R62" i="1"/>
  <c r="R78" i="1"/>
  <c r="S73" i="1"/>
  <c r="S62" i="1"/>
  <c r="S78" i="1"/>
  <c r="R73" i="1"/>
  <c r="S34" i="1"/>
  <c r="J62" i="1"/>
  <c r="J7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Rehan Aslam</author>
    <author>cc</author>
    <author>Pioneer Engineeering</author>
    <author>Pioneer Engineering</author>
  </authors>
  <commentList>
    <comment ref="V6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Rehan Aslam:</t>
        </r>
        <r>
          <rPr>
            <sz val="9"/>
            <color indexed="81"/>
            <rFont val="Tahoma"/>
            <family val="2"/>
          </rPr>
          <t xml:space="preserve">
Rs 10,000 waived by Bilal bhai</t>
        </r>
      </text>
    </comment>
    <comment ref="K170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cc:</t>
        </r>
        <r>
          <rPr>
            <sz val="9"/>
            <color indexed="81"/>
            <rFont val="Tahoma"/>
            <family val="2"/>
          </rPr>
          <t xml:space="preserve">
increased in FEB 20</t>
        </r>
      </text>
    </comment>
    <comment ref="V237" authorId="2" shapeId="0" xr:uid="{00000000-0006-0000-0100-000007000000}">
      <text>
        <r>
          <rPr>
            <sz val="9"/>
            <color indexed="81"/>
            <rFont val="Tahoma"/>
            <family val="2"/>
          </rPr>
          <t xml:space="preserve">
deduct bonus amount Rs 12,000 as instructed by nadeem bhai</t>
        </r>
      </text>
    </comment>
    <comment ref="K266" authorId="2" shapeId="0" xr:uid="{00000000-0006-0000-0100-000008000000}">
      <text>
        <r>
          <rPr>
            <b/>
            <sz val="9"/>
            <color indexed="81"/>
            <rFont val="Tahoma"/>
            <family val="2"/>
          </rPr>
          <t>Pioneer Engineeering:</t>
        </r>
        <r>
          <rPr>
            <sz val="9"/>
            <color indexed="81"/>
            <rFont val="Tahoma"/>
            <family val="2"/>
          </rPr>
          <t xml:space="preserve">
increased on 10 Mar 22</t>
        </r>
      </text>
    </comment>
    <comment ref="K569" authorId="3" shapeId="0" xr:uid="{E10BBC35-204C-4A33-BA89-8EE2A1AF4CF4}">
      <text>
        <r>
          <rPr>
            <b/>
            <sz val="10"/>
            <color indexed="81"/>
            <rFont val="Tahoma"/>
            <family val="2"/>
          </rPr>
          <t>Pioneer Engineering:</t>
        </r>
        <r>
          <rPr>
            <sz val="10"/>
            <color indexed="81"/>
            <rFont val="Tahoma"/>
            <family val="2"/>
          </rPr>
          <t xml:space="preserve">
25,000
2,000  8-12-22
27,000</t>
        </r>
      </text>
    </comment>
    <comment ref="V569" authorId="2" shapeId="0" xr:uid="{00000000-0006-0000-0100-000012000000}">
      <text>
        <r>
          <rPr>
            <b/>
            <sz val="9"/>
            <color indexed="81"/>
            <rFont val="Tahoma"/>
            <family val="2"/>
          </rPr>
          <t>MCB chq given to jahangeer on 1 Feb 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85" authorId="3" shapeId="0" xr:uid="{E32B4FC7-A60A-4E70-AE7F-A06C2AFD72C0}">
      <text>
        <r>
          <rPr>
            <b/>
            <sz val="10"/>
            <color indexed="81"/>
            <rFont val="Tahoma"/>
            <family val="2"/>
          </rPr>
          <t>Pioneer Engineering:</t>
        </r>
        <r>
          <rPr>
            <sz val="10"/>
            <color indexed="81"/>
            <rFont val="Tahoma"/>
            <family val="2"/>
          </rPr>
          <t xml:space="preserve">
32,500
2,000  8-12-22
34,500</t>
        </r>
      </text>
    </comment>
    <comment ref="K601" authorId="3" shapeId="0" xr:uid="{4F77B4D1-A211-43F2-B4D0-88A260E94114}">
      <text>
        <r>
          <rPr>
            <b/>
            <sz val="10"/>
            <color indexed="81"/>
            <rFont val="Tahoma"/>
            <family val="2"/>
          </rPr>
          <t>Pioneer Engineering:</t>
        </r>
        <r>
          <rPr>
            <sz val="10"/>
            <color indexed="81"/>
            <rFont val="Tahoma"/>
            <family val="2"/>
          </rPr>
          <t xml:space="preserve">
24,500
2,000  8-12-22
26,500</t>
        </r>
      </text>
    </comment>
    <comment ref="K617" authorId="3" shapeId="0" xr:uid="{ABD9EDDC-D2A3-4705-8655-B611B437674E}">
      <text>
        <r>
          <rPr>
            <b/>
            <sz val="10"/>
            <color indexed="81"/>
            <rFont val="Tahoma"/>
            <family val="2"/>
          </rPr>
          <t>Pioneer Engineering:</t>
        </r>
        <r>
          <rPr>
            <sz val="10"/>
            <color indexed="81"/>
            <rFont val="Tahoma"/>
            <family val="2"/>
          </rPr>
          <t xml:space="preserve">
21,000
1,000  8-12-22
22,000</t>
        </r>
      </text>
    </comment>
    <comment ref="V652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cc:</t>
        </r>
        <r>
          <rPr>
            <sz val="9"/>
            <color indexed="81"/>
            <rFont val="Tahoma"/>
            <family val="2"/>
          </rPr>
          <t xml:space="preserve">
1000 huzaifa
1000 rehan</t>
        </r>
      </text>
    </comment>
    <comment ref="U843" authorId="1" shapeId="0" xr:uid="{00000000-0006-0000-0100-000016000000}">
      <text>
        <r>
          <rPr>
            <b/>
            <sz val="9"/>
            <color indexed="81"/>
            <rFont val="Tahoma"/>
            <family val="2"/>
          </rPr>
          <t>cc:</t>
        </r>
        <r>
          <rPr>
            <sz val="9"/>
            <color indexed="81"/>
            <rFont val="Tahoma"/>
            <family val="2"/>
          </rPr>
          <t xml:space="preserve">
less 4800 whick was mistakenly added</t>
        </r>
      </text>
    </comment>
    <comment ref="X845" authorId="1" shapeId="0" xr:uid="{00000000-0006-0000-0100-000017000000}">
      <text>
        <r>
          <rPr>
            <b/>
            <sz val="9"/>
            <color indexed="81"/>
            <rFont val="Tahoma"/>
            <family val="2"/>
          </rPr>
          <t>cc:</t>
        </r>
        <r>
          <rPr>
            <sz val="9"/>
            <color indexed="81"/>
            <rFont val="Tahoma"/>
            <family val="2"/>
          </rPr>
          <t xml:space="preserve">
khalid bhai prv month salary 3000
4 days on june 20                4000
sheryar 3 night                    1920</t>
        </r>
      </text>
    </comment>
    <comment ref="U875" authorId="1" shapeId="0" xr:uid="{00000000-0006-0000-0100-000018000000}">
      <text>
        <r>
          <rPr>
            <b/>
            <sz val="9"/>
            <color indexed="81"/>
            <rFont val="Tahoma"/>
            <family val="2"/>
          </rPr>
          <t>cc:</t>
        </r>
        <r>
          <rPr>
            <sz val="9"/>
            <color indexed="81"/>
            <rFont val="Tahoma"/>
            <family val="2"/>
          </rPr>
          <t xml:space="preserve">
less 4800 whick was mistakenly added</t>
        </r>
      </text>
    </comment>
  </commentList>
</comments>
</file>

<file path=xl/sharedStrings.xml><?xml version="1.0" encoding="utf-8"?>
<sst xmlns="http://schemas.openxmlformats.org/spreadsheetml/2006/main" count="3416" uniqueCount="233">
  <si>
    <t>Name</t>
  </si>
  <si>
    <t>Salary</t>
  </si>
  <si>
    <t>Total</t>
  </si>
  <si>
    <t>Mr.Nadeem Iqbal</t>
  </si>
  <si>
    <t>Mr. Abid</t>
  </si>
  <si>
    <t>Mr. Imran</t>
  </si>
  <si>
    <t>Absent</t>
  </si>
  <si>
    <t>Present</t>
  </si>
  <si>
    <t>Home Expense</t>
  </si>
  <si>
    <t>Mr.Abbas Ishaq</t>
  </si>
  <si>
    <t>Mr.Bilal Habib</t>
  </si>
  <si>
    <t>Mr. Sajjad</t>
  </si>
  <si>
    <t xml:space="preserve">Mr. Khalid </t>
  </si>
  <si>
    <t>Mr. Azeem Engg</t>
  </si>
  <si>
    <t>Mr. Kamran office</t>
  </si>
  <si>
    <t>Mr. Jahangir</t>
  </si>
  <si>
    <t>Prev. Adv</t>
  </si>
  <si>
    <t>Mr. Rehan Aslam</t>
  </si>
  <si>
    <t>Mossi Home upstairs</t>
  </si>
  <si>
    <t>Total Adv</t>
  </si>
  <si>
    <t>This month</t>
  </si>
  <si>
    <t>Deduct</t>
  </si>
  <si>
    <t>Remain Adv</t>
  </si>
  <si>
    <t>Abbas Ishaq</t>
  </si>
  <si>
    <t>Mr. Irfan</t>
  </si>
  <si>
    <t>Over Time</t>
  </si>
  <si>
    <t>Salary Days</t>
  </si>
  <si>
    <t>Over Time Amount</t>
  </si>
  <si>
    <t>Salary After OT</t>
  </si>
  <si>
    <t>Basic Salary</t>
  </si>
  <si>
    <t>Mossi Home D/stairs</t>
  </si>
  <si>
    <t>Shahid painter</t>
  </si>
  <si>
    <t>Indus Hospital</t>
  </si>
  <si>
    <t>EBM</t>
  </si>
  <si>
    <t>Office</t>
  </si>
  <si>
    <t>JPMC</t>
  </si>
  <si>
    <t>MHR</t>
  </si>
  <si>
    <t>P</t>
  </si>
  <si>
    <t>A</t>
  </si>
  <si>
    <t>FTC Floors</t>
  </si>
  <si>
    <t>Pioneer Engineering Services</t>
  </si>
  <si>
    <t>Joining Date</t>
  </si>
  <si>
    <t>Leaves Details</t>
  </si>
  <si>
    <t>Advance Details</t>
  </si>
  <si>
    <t>Salary Details</t>
  </si>
  <si>
    <t>January</t>
  </si>
  <si>
    <t>March</t>
  </si>
  <si>
    <t>April</t>
  </si>
  <si>
    <t>May</t>
  </si>
  <si>
    <t>June</t>
  </si>
  <si>
    <t>July</t>
  </si>
  <si>
    <t>August</t>
  </si>
  <si>
    <t>October</t>
  </si>
  <si>
    <t>Months</t>
  </si>
  <si>
    <t>Balance leaves</t>
  </si>
  <si>
    <t>Prev Advance</t>
  </si>
  <si>
    <t>Sept</t>
  </si>
  <si>
    <t>Nov</t>
  </si>
  <si>
    <t>Dec</t>
  </si>
  <si>
    <t>Rem Advance</t>
  </si>
  <si>
    <t>Total Days</t>
  </si>
  <si>
    <t>Days Salary</t>
  </si>
  <si>
    <t>Hours Overtime</t>
  </si>
  <si>
    <t>Net Salary</t>
  </si>
  <si>
    <t>Prev adv</t>
  </si>
  <si>
    <t>Total adv</t>
  </si>
  <si>
    <t xml:space="preserve">Salary Sheet for the Month of </t>
  </si>
  <si>
    <t>Remaining advance</t>
  </si>
  <si>
    <t>Annual Leaves</t>
  </si>
  <si>
    <t xml:space="preserve">    Total Salary</t>
  </si>
  <si>
    <t xml:space="preserve">          Advance deduct</t>
  </si>
  <si>
    <t>Feb</t>
  </si>
  <si>
    <t>Rehan Aslam</t>
  </si>
  <si>
    <t>Imran Engg</t>
  </si>
  <si>
    <t>Shahid Painter</t>
  </si>
  <si>
    <t>Jahangeer</t>
  </si>
  <si>
    <t>Sajjad</t>
  </si>
  <si>
    <t>Irfan</t>
  </si>
  <si>
    <t>Abid</t>
  </si>
  <si>
    <t>Kamran AutoCAD</t>
  </si>
  <si>
    <t xml:space="preserve">S a l a r y   S h e e t  for the month of </t>
  </si>
  <si>
    <t>Amir (JPMC)</t>
  </si>
  <si>
    <t>07th March 2017</t>
  </si>
  <si>
    <r>
      <rPr>
        <sz val="17"/>
        <rFont val="Calibri"/>
        <family val="2"/>
        <scheme val="minor"/>
      </rPr>
      <t xml:space="preserve">                           </t>
    </r>
    <r>
      <rPr>
        <u/>
        <sz val="17"/>
        <rFont val="Calibri"/>
        <family val="2"/>
        <scheme val="minor"/>
      </rPr>
      <t xml:space="preserve">Salary for the month of </t>
    </r>
  </si>
  <si>
    <t>Gul Sher</t>
  </si>
  <si>
    <t>I have received the above amount from Pioneer Engineering Services ____________________</t>
  </si>
  <si>
    <t>SPAR</t>
  </si>
  <si>
    <t>Nue Multiplex</t>
  </si>
  <si>
    <t>ZMV</t>
  </si>
  <si>
    <t>MHR Home Salaries</t>
  </si>
  <si>
    <t>Office Salaries</t>
  </si>
  <si>
    <t>FTC Site Maintenance Salaries</t>
  </si>
  <si>
    <t>Falcon Mall</t>
  </si>
  <si>
    <t>The Place DHA Phase VIII</t>
  </si>
  <si>
    <t>Nue MultiPlex Operation &amp; maintenance</t>
  </si>
  <si>
    <t>Salary Difference</t>
  </si>
  <si>
    <t>Site</t>
  </si>
  <si>
    <t>Director</t>
  </si>
  <si>
    <t>Nueplex RMR</t>
  </si>
  <si>
    <t>Nueplex The place</t>
  </si>
  <si>
    <t xml:space="preserve">EFU </t>
  </si>
  <si>
    <t>FTC</t>
  </si>
  <si>
    <t>Falcon</t>
  </si>
  <si>
    <t xml:space="preserve">Total </t>
  </si>
  <si>
    <t>Adil (FTC)</t>
  </si>
  <si>
    <t>Zeeshan AC</t>
  </si>
  <si>
    <t>Total Amount</t>
  </si>
  <si>
    <t>Khizer Mujeeb</t>
  </si>
  <si>
    <t>Already Received</t>
  </si>
  <si>
    <t>A. Lateef Chacha</t>
  </si>
  <si>
    <t>Mar 2020</t>
  </si>
  <si>
    <t>April 2020</t>
  </si>
  <si>
    <t>Feb 2020</t>
  </si>
  <si>
    <t>May 2020</t>
  </si>
  <si>
    <t>June 2020</t>
  </si>
  <si>
    <t>July 2020</t>
  </si>
  <si>
    <t>August 2020</t>
  </si>
  <si>
    <t>0315-2965342</t>
  </si>
  <si>
    <t>0345-2198116</t>
  </si>
  <si>
    <t>0305-2543567</t>
  </si>
  <si>
    <t>0322-2070510</t>
  </si>
  <si>
    <t>0333-2993644</t>
  </si>
  <si>
    <t>0315-3075720</t>
  </si>
  <si>
    <t>0344-2077725</t>
  </si>
  <si>
    <t>0308-1993644</t>
  </si>
  <si>
    <t>0345-3452595</t>
  </si>
  <si>
    <t>0341-2316764</t>
  </si>
  <si>
    <t>0344-3321067</t>
  </si>
  <si>
    <t>0346-5448896</t>
  </si>
  <si>
    <t>0337-8049132</t>
  </si>
  <si>
    <t>Junaid</t>
  </si>
  <si>
    <t>Ahsan Razak</t>
  </si>
  <si>
    <t>0343-3196182</t>
  </si>
  <si>
    <t>Sept 2020</t>
  </si>
  <si>
    <t>Mossi</t>
  </si>
  <si>
    <t>0332-7343891</t>
  </si>
  <si>
    <t>0312-0262223</t>
  </si>
  <si>
    <t>Rem advance</t>
  </si>
  <si>
    <t>0333-2292165</t>
  </si>
  <si>
    <t>0343-2163562</t>
  </si>
  <si>
    <t>Azeem D/W</t>
  </si>
  <si>
    <t>M. Shafeeq</t>
  </si>
  <si>
    <t>Oct 2020</t>
  </si>
  <si>
    <t>Nov 2020</t>
  </si>
  <si>
    <t>Dec 2020</t>
  </si>
  <si>
    <t>Jan 21</t>
  </si>
  <si>
    <t>Salary Summary  for last 06 months</t>
  </si>
  <si>
    <t>Difference from last month</t>
  </si>
  <si>
    <t>Suleman Dilawer</t>
  </si>
  <si>
    <t>0300 3393136</t>
  </si>
  <si>
    <t>Hammad Ahmed</t>
  </si>
  <si>
    <t>0310-1020972</t>
  </si>
  <si>
    <t>Feb 21</t>
  </si>
  <si>
    <t>Amjad Ustad</t>
  </si>
  <si>
    <t>March 21</t>
  </si>
  <si>
    <t xml:space="preserve"> Jameel baig  / Naveed Malik</t>
  </si>
  <si>
    <t>0300-2206271</t>
  </si>
  <si>
    <t>sami</t>
  </si>
  <si>
    <t xml:space="preserve"> JS The Forum</t>
  </si>
  <si>
    <t>The Forum / JS Shaheen</t>
  </si>
  <si>
    <t>April 21</t>
  </si>
  <si>
    <t>May 21</t>
  </si>
  <si>
    <t xml:space="preserve">The Forum </t>
  </si>
  <si>
    <t>Mumtaz Ali Chakar</t>
  </si>
  <si>
    <t>Mukhtiar</t>
  </si>
  <si>
    <t>Hassan Khan</t>
  </si>
  <si>
    <t>Driver</t>
  </si>
  <si>
    <t>Umer Farooq</t>
  </si>
  <si>
    <t>M. Sami</t>
  </si>
  <si>
    <t>0312-2754301</t>
  </si>
  <si>
    <t>0312-5237654</t>
  </si>
  <si>
    <t>Raheel</t>
  </si>
  <si>
    <t>PSYCHIATRY JPMC</t>
  </si>
  <si>
    <t xml:space="preserve">MHR Personal </t>
  </si>
  <si>
    <t xml:space="preserve">O/M Nue Multiplex </t>
  </si>
  <si>
    <t>O/M The Place</t>
  </si>
  <si>
    <t>Jameel Baig Residence</t>
  </si>
  <si>
    <t>Kumail Bhai</t>
  </si>
  <si>
    <t>Asif Hussain</t>
  </si>
  <si>
    <t xml:space="preserve">M. Imran </t>
  </si>
  <si>
    <t xml:space="preserve">Jameel baig </t>
  </si>
  <si>
    <t>Ethnic -- Deutshce -- FTC -- Burhani --- Hydery</t>
  </si>
  <si>
    <t>Zafar</t>
  </si>
  <si>
    <t>Ahsan Khan</t>
  </si>
  <si>
    <t>Mubeen</t>
  </si>
  <si>
    <t>Ethnic</t>
  </si>
  <si>
    <t>Sufyan</t>
  </si>
  <si>
    <t>db</t>
  </si>
  <si>
    <t>Sheheryar Khalid</t>
  </si>
  <si>
    <t>Salaries Paid</t>
  </si>
  <si>
    <t xml:space="preserve">Remaining cash required </t>
  </si>
  <si>
    <t>Mossi salary</t>
  </si>
  <si>
    <t xml:space="preserve">FTC Staff salary </t>
  </si>
  <si>
    <t>Jahangeer, Abid, Shahid, shery, chacha latif, Abbas</t>
  </si>
  <si>
    <t>Mubeen salary</t>
  </si>
  <si>
    <t xml:space="preserve">Zeeshan salary </t>
  </si>
  <si>
    <t>JPMC staff salary</t>
  </si>
  <si>
    <t>abid salary</t>
  </si>
  <si>
    <t>Falcon staff salaries</t>
  </si>
  <si>
    <t>RMR staff salary paid</t>
  </si>
  <si>
    <t>office staff salaries without kamran</t>
  </si>
  <si>
    <t>Asif (Cooling tower)</t>
  </si>
  <si>
    <t>Ashraf Bhai</t>
  </si>
  <si>
    <t>Salary Imcrement Summary</t>
  </si>
  <si>
    <t>Kamran</t>
  </si>
  <si>
    <t>Rehan</t>
  </si>
  <si>
    <t>Amir Emgr</t>
  </si>
  <si>
    <t>Amir Plumber</t>
  </si>
  <si>
    <t xml:space="preserve">Raheel </t>
  </si>
  <si>
    <t>Gul sher</t>
  </si>
  <si>
    <t>Feb 2023</t>
  </si>
  <si>
    <t>Pre</t>
  </si>
  <si>
    <t>Increment</t>
  </si>
  <si>
    <t>Staff Name</t>
  </si>
  <si>
    <t>Mar 23</t>
  </si>
  <si>
    <t>Imran Engr</t>
  </si>
  <si>
    <t>Khizer</t>
  </si>
  <si>
    <t>Hassan</t>
  </si>
  <si>
    <t>Junaid Saleem</t>
  </si>
  <si>
    <t>Shafeeq FTC</t>
  </si>
  <si>
    <t>Lateef</t>
  </si>
  <si>
    <t>Mumtaz bhai</t>
  </si>
  <si>
    <t>Dec 22</t>
  </si>
  <si>
    <t>Nadeem Painter</t>
  </si>
  <si>
    <t>10 Nos leaves remaining</t>
  </si>
  <si>
    <t>Lateef duct</t>
  </si>
  <si>
    <t>Noor Islam</t>
  </si>
  <si>
    <t>M. Arif</t>
  </si>
  <si>
    <t>Ibtehaj</t>
  </si>
  <si>
    <t>Afaq Ahmed</t>
  </si>
  <si>
    <t>Paid 6600 cash</t>
  </si>
  <si>
    <t>Engr. Saad</t>
  </si>
  <si>
    <t>7 days salary will be deducted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</si>
</sst>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6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6"/>
      <name val="Calibri"/>
      <family val="2"/>
      <scheme val="minor"/>
    </font>
    <font>
      <sz val="12"/>
      <name val="Arial"/>
      <family val="2"/>
    </font>
    <font>
      <b/>
      <i/>
      <sz val="11"/>
      <name val="Book Antiqua"/>
      <family val="1"/>
    </font>
    <font>
      <b/>
      <sz val="11"/>
      <name val="Book Antiqua"/>
      <family val="1"/>
    </font>
    <font>
      <b/>
      <sz val="9"/>
      <name val="Book Antiqua"/>
      <family val="1"/>
    </font>
    <font>
      <b/>
      <sz val="8"/>
      <name val="Book Antiqua"/>
      <family val="1"/>
    </font>
    <font>
      <sz val="11"/>
      <name val="Arial"/>
      <family val="2"/>
    </font>
    <font>
      <sz val="14"/>
      <name val="Calibri"/>
      <family val="2"/>
      <scheme val="minor"/>
    </font>
    <font>
      <u/>
      <sz val="17"/>
      <name val="Algerian"/>
      <family val="5"/>
    </font>
    <font>
      <sz val="17"/>
      <name val="Calibri"/>
      <family val="2"/>
      <scheme val="minor"/>
    </font>
    <font>
      <b/>
      <sz val="17"/>
      <name val="Calibri"/>
      <family val="2"/>
      <scheme val="minor"/>
    </font>
    <font>
      <u/>
      <sz val="17"/>
      <name val="Calibri"/>
      <family val="2"/>
      <scheme val="minor"/>
    </font>
    <font>
      <b/>
      <u/>
      <sz val="17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u/>
      <sz val="13"/>
      <name val="Algerian"/>
      <family val="5"/>
    </font>
    <font>
      <b/>
      <sz val="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name val="Calibri"/>
      <family val="2"/>
      <scheme val="minor"/>
    </font>
    <font>
      <sz val="8"/>
      <name val="Calibri"/>
      <family val="2"/>
      <scheme val="minor"/>
    </font>
    <font>
      <sz val="14"/>
      <name val="Arial"/>
      <family val="2"/>
    </font>
    <font>
      <b/>
      <sz val="16"/>
      <name val="Calibri"/>
      <family val="2"/>
      <scheme val="minor"/>
    </font>
    <font>
      <b/>
      <sz val="11"/>
      <color theme="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sz val="17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3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Arial"/>
      <family val="2"/>
    </font>
    <font>
      <b/>
      <sz val="20"/>
      <name val="Calibri"/>
      <family val="2"/>
      <scheme val="minor"/>
    </font>
    <font>
      <sz val="20"/>
      <name val="Arial"/>
      <family val="2"/>
    </font>
    <font>
      <b/>
      <sz val="22"/>
      <name val="Calibri"/>
      <family val="2"/>
      <scheme val="minor"/>
    </font>
    <font>
      <sz val="22"/>
      <name val="Arial"/>
      <family val="2"/>
    </font>
    <font>
      <sz val="24"/>
      <name val="Arial"/>
      <family val="2"/>
    </font>
    <font>
      <b/>
      <sz val="12.5"/>
      <name val="Calibri"/>
      <family val="2"/>
      <scheme val="minor"/>
    </font>
    <font>
      <b/>
      <sz val="24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1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463">
    <xf numFmtId="0" fontId="0" fillId="0" borderId="0" xfId="0"/>
    <xf numFmtId="0" fontId="4" fillId="0" borderId="0" xfId="0" applyFont="1"/>
    <xf numFmtId="164" fontId="0" fillId="0" borderId="0" xfId="1" applyNumberFormat="1" applyFont="1"/>
    <xf numFmtId="164" fontId="4" fillId="0" borderId="0" xfId="1" applyNumberFormat="1" applyFont="1"/>
    <xf numFmtId="0" fontId="5" fillId="0" borderId="0" xfId="0" applyFont="1"/>
    <xf numFmtId="164" fontId="0" fillId="0" borderId="0" xfId="1" applyNumberFormat="1" applyFont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164" fontId="0" fillId="0" borderId="0" xfId="0" applyNumberFormat="1"/>
    <xf numFmtId="164" fontId="15" fillId="0" borderId="1" xfId="1" applyNumberFormat="1" applyFont="1" applyBorder="1"/>
    <xf numFmtId="164" fontId="5" fillId="0" borderId="1" xfId="1" applyNumberFormat="1" applyFont="1" applyFill="1" applyBorder="1"/>
    <xf numFmtId="17" fontId="16" fillId="0" borderId="0" xfId="0" applyNumberFormat="1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2" fillId="0" borderId="0" xfId="0" applyFont="1"/>
    <xf numFmtId="0" fontId="8" fillId="0" borderId="1" xfId="0" applyFont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/>
    </xf>
    <xf numFmtId="164" fontId="5" fillId="0" borderId="1" xfId="1" applyNumberFormat="1" applyFont="1" applyBorder="1"/>
    <xf numFmtId="164" fontId="6" fillId="0" borderId="1" xfId="1" applyNumberFormat="1" applyFont="1" applyBorder="1"/>
    <xf numFmtId="0" fontId="6" fillId="0" borderId="1" xfId="0" applyFont="1" applyBorder="1"/>
    <xf numFmtId="164" fontId="5" fillId="0" borderId="1" xfId="1" applyNumberFormat="1" applyFont="1" applyFill="1" applyBorder="1" applyAlignment="1">
      <alignment horizontal="center"/>
    </xf>
    <xf numFmtId="164" fontId="15" fillId="0" borderId="1" xfId="1" applyNumberFormat="1" applyFont="1" applyBorder="1" applyAlignment="1">
      <alignment horizontal="center"/>
    </xf>
    <xf numFmtId="164" fontId="5" fillId="2" borderId="1" xfId="1" applyNumberFormat="1" applyFont="1" applyFill="1" applyBorder="1"/>
    <xf numFmtId="164" fontId="15" fillId="0" borderId="1" xfId="0" applyNumberFormat="1" applyFont="1" applyBorder="1"/>
    <xf numFmtId="164" fontId="5" fillId="0" borderId="1" xfId="1" applyNumberFormat="1" applyFont="1" applyBorder="1" applyAlignment="1">
      <alignment horizontal="center"/>
    </xf>
    <xf numFmtId="164" fontId="13" fillId="3" borderId="1" xfId="1" applyNumberFormat="1" applyFont="1" applyFill="1" applyBorder="1" applyAlignment="1">
      <alignment horizontal="center" vertical="center" wrapText="1"/>
    </xf>
    <xf numFmtId="164" fontId="13" fillId="3" borderId="1" xfId="1" applyNumberFormat="1" applyFont="1" applyFill="1" applyBorder="1" applyAlignment="1">
      <alignment horizontal="center" vertical="center"/>
    </xf>
    <xf numFmtId="164" fontId="14" fillId="3" borderId="1" xfId="1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4" xfId="0" applyFont="1" applyBorder="1" applyAlignment="1">
      <alignment vertical="center"/>
    </xf>
    <xf numFmtId="0" fontId="20" fillId="0" borderId="0" xfId="0" applyFont="1" applyAlignment="1">
      <alignment vertical="center"/>
    </xf>
    <xf numFmtId="14" fontId="18" fillId="0" borderId="0" xfId="0" applyNumberFormat="1" applyFont="1" applyAlignment="1">
      <alignment vertical="center"/>
    </xf>
    <xf numFmtId="14" fontId="18" fillId="0" borderId="15" xfId="0" applyNumberFormat="1" applyFont="1" applyBorder="1" applyAlignment="1">
      <alignment vertical="center"/>
    </xf>
    <xf numFmtId="0" fontId="19" fillId="0" borderId="15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4" fontId="19" fillId="0" borderId="0" xfId="1" applyNumberFormat="1" applyFont="1" applyFill="1" applyBorder="1" applyAlignment="1">
      <alignment vertical="center"/>
    </xf>
    <xf numFmtId="0" fontId="21" fillId="0" borderId="15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9" fillId="0" borderId="15" xfId="1" applyNumberFormat="1" applyFont="1" applyFill="1" applyBorder="1" applyAlignment="1">
      <alignment vertical="center"/>
    </xf>
    <xf numFmtId="164" fontId="18" fillId="0" borderId="1" xfId="1" applyNumberFormat="1" applyFont="1" applyFill="1" applyBorder="1" applyAlignment="1">
      <alignment vertical="center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18" fillId="0" borderId="15" xfId="0" applyFont="1" applyBorder="1" applyAlignment="1">
      <alignment vertical="center"/>
    </xf>
    <xf numFmtId="164" fontId="18" fillId="0" borderId="0" xfId="1" applyNumberFormat="1" applyFont="1" applyFill="1" applyBorder="1" applyAlignment="1">
      <alignment vertical="center"/>
    </xf>
    <xf numFmtId="0" fontId="18" fillId="0" borderId="1" xfId="0" applyFont="1" applyBorder="1" applyAlignment="1">
      <alignment horizontal="right" vertical="center"/>
    </xf>
    <xf numFmtId="0" fontId="18" fillId="0" borderId="5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164" fontId="18" fillId="0" borderId="1" xfId="0" applyNumberFormat="1" applyFont="1" applyBorder="1" applyAlignment="1">
      <alignment horizontal="right" vertical="center"/>
    </xf>
    <xf numFmtId="164" fontId="18" fillId="0" borderId="15" xfId="0" applyNumberFormat="1" applyFont="1" applyBorder="1" applyAlignment="1">
      <alignment horizontal="right" vertical="center"/>
    </xf>
    <xf numFmtId="164" fontId="18" fillId="0" borderId="1" xfId="0" applyNumberFormat="1" applyFont="1" applyBorder="1" applyAlignment="1">
      <alignment vertical="center"/>
    </xf>
    <xf numFmtId="164" fontId="18" fillId="0" borderId="15" xfId="0" applyNumberFormat="1" applyFont="1" applyBorder="1" applyAlignment="1">
      <alignment vertical="center"/>
    </xf>
    <xf numFmtId="164" fontId="18" fillId="0" borderId="15" xfId="1" applyNumberFormat="1" applyFont="1" applyFill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164" fontId="19" fillId="0" borderId="1" xfId="0" applyNumberFormat="1" applyFont="1" applyBorder="1" applyAlignment="1">
      <alignment vertical="center"/>
    </xf>
    <xf numFmtId="164" fontId="19" fillId="0" borderId="15" xfId="0" applyNumberFormat="1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15" fontId="21" fillId="0" borderId="0" xfId="0" applyNumberFormat="1" applyFont="1" applyAlignment="1">
      <alignment horizontal="left" vertical="center"/>
    </xf>
    <xf numFmtId="0" fontId="23" fillId="0" borderId="0" xfId="0" applyFont="1" applyAlignment="1">
      <alignment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vertical="center"/>
    </xf>
    <xf numFmtId="0" fontId="25" fillId="0" borderId="12" xfId="0" applyFont="1" applyBorder="1" applyAlignment="1">
      <alignment horizontal="center" vertical="center"/>
    </xf>
    <xf numFmtId="14" fontId="23" fillId="0" borderId="14" xfId="0" applyNumberFormat="1" applyFont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24" fillId="0" borderId="15" xfId="0" applyFont="1" applyBorder="1" applyAlignment="1">
      <alignment horizontal="center" vertical="center"/>
    </xf>
    <xf numFmtId="0" fontId="23" fillId="0" borderId="14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0" xfId="0" applyFont="1" applyAlignment="1">
      <alignment vertical="center"/>
    </xf>
    <xf numFmtId="164" fontId="24" fillId="0" borderId="1" xfId="1" applyNumberFormat="1" applyFont="1" applyFill="1" applyBorder="1" applyAlignment="1">
      <alignment vertical="center"/>
    </xf>
    <xf numFmtId="0" fontId="23" fillId="0" borderId="14" xfId="0" applyFont="1" applyBorder="1" applyAlignment="1">
      <alignment horizontal="center" vertical="center"/>
    </xf>
    <xf numFmtId="164" fontId="24" fillId="0" borderId="15" xfId="1" applyNumberFormat="1" applyFont="1" applyFill="1" applyBorder="1" applyAlignment="1">
      <alignment vertical="center"/>
    </xf>
    <xf numFmtId="0" fontId="23" fillId="0" borderId="16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3" fillId="0" borderId="17" xfId="0" applyFont="1" applyBorder="1" applyAlignment="1">
      <alignment vertical="center"/>
    </xf>
    <xf numFmtId="164" fontId="5" fillId="2" borderId="8" xfId="1" applyNumberFormat="1" applyFont="1" applyFill="1" applyBorder="1" applyAlignment="1">
      <alignment horizontal="center"/>
    </xf>
    <xf numFmtId="164" fontId="15" fillId="0" borderId="8" xfId="1" applyNumberFormat="1" applyFont="1" applyBorder="1"/>
    <xf numFmtId="164" fontId="8" fillId="0" borderId="8" xfId="1" applyNumberFormat="1" applyFont="1" applyBorder="1"/>
    <xf numFmtId="164" fontId="27" fillId="0" borderId="0" xfId="1" applyNumberFormat="1" applyFont="1" applyFill="1" applyAlignment="1">
      <alignment vertical="center"/>
    </xf>
    <xf numFmtId="1" fontId="18" fillId="0" borderId="5" xfId="0" applyNumberFormat="1" applyFont="1" applyBorder="1" applyAlignment="1">
      <alignment vertical="center"/>
    </xf>
    <xf numFmtId="0" fontId="23" fillId="0" borderId="15" xfId="0" applyFont="1" applyBorder="1" applyAlignment="1">
      <alignment vertical="center"/>
    </xf>
    <xf numFmtId="0" fontId="25" fillId="0" borderId="1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6" fillId="0" borderId="1" xfId="1" applyNumberFormat="1" applyFont="1" applyFill="1" applyBorder="1"/>
    <xf numFmtId="164" fontId="8" fillId="0" borderId="1" xfId="0" applyNumberFormat="1" applyFont="1" applyBorder="1" applyAlignment="1">
      <alignment horizontal="center" vertical="center"/>
    </xf>
    <xf numFmtId="164" fontId="6" fillId="2" borderId="1" xfId="0" applyNumberFormat="1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164" fontId="26" fillId="0" borderId="1" xfId="0" applyNumberFormat="1" applyFont="1" applyBorder="1" applyAlignment="1">
      <alignment vertical="center"/>
    </xf>
    <xf numFmtId="164" fontId="9" fillId="0" borderId="1" xfId="1" applyNumberFormat="1" applyFont="1" applyFill="1" applyBorder="1" applyAlignment="1">
      <alignment vertical="center"/>
    </xf>
    <xf numFmtId="164" fontId="2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8" fillId="0" borderId="22" xfId="0" applyFont="1" applyBorder="1" applyAlignment="1">
      <alignment vertical="center"/>
    </xf>
    <xf numFmtId="0" fontId="23" fillId="0" borderId="22" xfId="0" applyFont="1" applyBorder="1" applyAlignment="1">
      <alignment vertical="center"/>
    </xf>
    <xf numFmtId="164" fontId="15" fillId="7" borderId="1" xfId="0" applyNumberFormat="1" applyFont="1" applyFill="1" applyBorder="1"/>
    <xf numFmtId="0" fontId="6" fillId="0" borderId="1" xfId="0" applyFont="1" applyBorder="1" applyAlignment="1">
      <alignment vertical="center" textRotation="90"/>
    </xf>
    <xf numFmtId="0" fontId="6" fillId="2" borderId="9" xfId="0" applyFont="1" applyFill="1" applyBorder="1" applyAlignment="1">
      <alignment vertical="center" textRotation="90"/>
    </xf>
    <xf numFmtId="164" fontId="6" fillId="2" borderId="9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 textRotation="90"/>
    </xf>
    <xf numFmtId="1" fontId="9" fillId="0" borderId="5" xfId="0" applyNumberFormat="1" applyFont="1" applyBorder="1" applyAlignment="1">
      <alignment vertical="center"/>
    </xf>
    <xf numFmtId="164" fontId="10" fillId="0" borderId="1" xfId="1" applyNumberFormat="1" applyFont="1" applyBorder="1"/>
    <xf numFmtId="164" fontId="24" fillId="0" borderId="1" xfId="1" applyNumberFormat="1" applyFont="1" applyFill="1" applyBorder="1" applyAlignment="1">
      <alignment horizontal="center" vertical="center"/>
    </xf>
    <xf numFmtId="164" fontId="5" fillId="0" borderId="0" xfId="0" applyNumberFormat="1" applyFont="1"/>
    <xf numFmtId="164" fontId="18" fillId="0" borderId="0" xfId="0" applyNumberFormat="1" applyFont="1" applyAlignment="1">
      <alignment vertical="center"/>
    </xf>
    <xf numFmtId="1" fontId="32" fillId="0" borderId="5" xfId="0" applyNumberFormat="1" applyFont="1" applyBorder="1" applyAlignment="1">
      <alignment vertical="center"/>
    </xf>
    <xf numFmtId="164" fontId="16" fillId="0" borderId="1" xfId="1" applyNumberFormat="1" applyFont="1" applyFill="1" applyBorder="1" applyAlignment="1">
      <alignment vertical="center"/>
    </xf>
    <xf numFmtId="164" fontId="28" fillId="0" borderId="1" xfId="1" applyNumberFormat="1" applyFont="1" applyFill="1" applyBorder="1" applyAlignment="1">
      <alignment vertical="center"/>
    </xf>
    <xf numFmtId="164" fontId="33" fillId="0" borderId="0" xfId="0" applyNumberFormat="1" applyFont="1" applyAlignment="1">
      <alignment vertical="center"/>
    </xf>
    <xf numFmtId="0" fontId="6" fillId="2" borderId="1" xfId="0" applyFont="1" applyFill="1" applyBorder="1" applyAlignment="1">
      <alignment horizontal="center" vertical="center" textRotation="90"/>
    </xf>
    <xf numFmtId="164" fontId="6" fillId="2" borderId="1" xfId="0" applyNumberFormat="1" applyFont="1" applyFill="1" applyBorder="1" applyAlignment="1">
      <alignment horizontal="center" vertical="center"/>
    </xf>
    <xf numFmtId="164" fontId="2" fillId="0" borderId="0" xfId="1" applyNumberFormat="1" applyFont="1"/>
    <xf numFmtId="164" fontId="8" fillId="0" borderId="0" xfId="0" applyNumberFormat="1" applyFont="1"/>
    <xf numFmtId="165" fontId="18" fillId="0" borderId="5" xfId="0" applyNumberFormat="1" applyFont="1" applyBorder="1" applyAlignment="1">
      <alignment vertical="center"/>
    </xf>
    <xf numFmtId="164" fontId="0" fillId="0" borderId="1" xfId="1" applyNumberFormat="1" applyFont="1" applyBorder="1"/>
    <xf numFmtId="14" fontId="18" fillId="0" borderId="0" xfId="0" applyNumberFormat="1" applyFont="1" applyAlignment="1">
      <alignment horizontal="left" vertical="center"/>
    </xf>
    <xf numFmtId="0" fontId="0" fillId="0" borderId="1" xfId="0" applyBorder="1"/>
    <xf numFmtId="164" fontId="15" fillId="0" borderId="8" xfId="0" applyNumberFormat="1" applyFont="1" applyBorder="1"/>
    <xf numFmtId="164" fontId="15" fillId="0" borderId="0" xfId="1" applyNumberFormat="1" applyFont="1"/>
    <xf numFmtId="164" fontId="19" fillId="8" borderId="0" xfId="1" applyNumberFormat="1" applyFont="1" applyFill="1" applyBorder="1" applyAlignment="1">
      <alignment vertical="center"/>
    </xf>
    <xf numFmtId="164" fontId="15" fillId="0" borderId="1" xfId="1" applyNumberFormat="1" applyFont="1" applyFill="1" applyBorder="1"/>
    <xf numFmtId="164" fontId="0" fillId="0" borderId="0" xfId="1" applyNumberFormat="1" applyFont="1" applyFill="1"/>
    <xf numFmtId="164" fontId="18" fillId="0" borderId="5" xfId="1" applyNumberFormat="1" applyFont="1" applyFill="1" applyBorder="1" applyAlignment="1">
      <alignment vertical="center"/>
    </xf>
    <xf numFmtId="164" fontId="15" fillId="10" borderId="1" xfId="0" applyNumberFormat="1" applyFont="1" applyFill="1" applyBorder="1"/>
    <xf numFmtId="0" fontId="23" fillId="19" borderId="1" xfId="0" applyFont="1" applyFill="1" applyBorder="1" applyAlignment="1">
      <alignment vertical="center"/>
    </xf>
    <xf numFmtId="164" fontId="13" fillId="3" borderId="0" xfId="1" applyNumberFormat="1" applyFont="1" applyFill="1" applyBorder="1" applyAlignment="1">
      <alignment horizontal="center" vertical="center" wrapText="1"/>
    </xf>
    <xf numFmtId="164" fontId="15" fillId="0" borderId="0" xfId="0" applyNumberFormat="1" applyFont="1"/>
    <xf numFmtId="0" fontId="29" fillId="7" borderId="0" xfId="0" applyFont="1" applyFill="1" applyAlignment="1">
      <alignment horizontal="center"/>
    </xf>
    <xf numFmtId="164" fontId="15" fillId="7" borderId="0" xfId="0" applyNumberFormat="1" applyFont="1" applyFill="1"/>
    <xf numFmtId="164" fontId="15" fillId="10" borderId="0" xfId="0" applyNumberFormat="1" applyFont="1" applyFill="1"/>
    <xf numFmtId="0" fontId="6" fillId="0" borderId="0" xfId="0" applyFont="1" applyAlignment="1">
      <alignment horizontal="right"/>
    </xf>
    <xf numFmtId="0" fontId="34" fillId="0" borderId="0" xfId="0" applyFont="1" applyAlignment="1">
      <alignment horizontal="right"/>
    </xf>
    <xf numFmtId="164" fontId="35" fillId="0" borderId="0" xfId="1" applyNumberFormat="1" applyFont="1" applyFill="1" applyBorder="1" applyAlignment="1">
      <alignment vertical="center"/>
    </xf>
    <xf numFmtId="164" fontId="8" fillId="22" borderId="25" xfId="1" applyNumberFormat="1" applyFont="1" applyFill="1" applyBorder="1"/>
    <xf numFmtId="164" fontId="4" fillId="22" borderId="26" xfId="1" applyNumberFormat="1" applyFont="1" applyFill="1" applyBorder="1"/>
    <xf numFmtId="164" fontId="4" fillId="22" borderId="26" xfId="1" applyNumberFormat="1" applyFont="1" applyFill="1" applyBorder="1" applyAlignment="1"/>
    <xf numFmtId="164" fontId="2" fillId="0" borderId="0" xfId="0" applyNumberFormat="1" applyFont="1"/>
    <xf numFmtId="0" fontId="29" fillId="7" borderId="1" xfId="0" applyFont="1" applyFill="1" applyBorder="1" applyAlignment="1">
      <alignment horizontal="center"/>
    </xf>
    <xf numFmtId="164" fontId="36" fillId="21" borderId="27" xfId="1" quotePrefix="1" applyNumberFormat="1" applyFont="1" applyFill="1" applyBorder="1" applyAlignment="1"/>
    <xf numFmtId="164" fontId="10" fillId="0" borderId="1" xfId="0" applyNumberFormat="1" applyFont="1" applyBorder="1"/>
    <xf numFmtId="164" fontId="15" fillId="0" borderId="6" xfId="0" applyNumberFormat="1" applyFont="1" applyBorder="1"/>
    <xf numFmtId="164" fontId="15" fillId="0" borderId="6" xfId="1" applyNumberFormat="1" applyFont="1" applyFill="1" applyBorder="1"/>
    <xf numFmtId="164" fontId="15" fillId="10" borderId="6" xfId="0" applyNumberFormat="1" applyFont="1" applyFill="1" applyBorder="1"/>
    <xf numFmtId="0" fontId="4" fillId="0" borderId="1" xfId="0" applyFont="1" applyBorder="1"/>
    <xf numFmtId="164" fontId="0" fillId="0" borderId="1" xfId="1" applyNumberFormat="1" applyFont="1" applyBorder="1" applyAlignment="1">
      <alignment horizontal="center"/>
    </xf>
    <xf numFmtId="164" fontId="4" fillId="0" borderId="1" xfId="1" applyNumberFormat="1" applyFont="1" applyBorder="1"/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164" fontId="8" fillId="0" borderId="1" xfId="1" applyNumberFormat="1" applyFont="1" applyBorder="1"/>
    <xf numFmtId="164" fontId="40" fillId="7" borderId="1" xfId="0" applyNumberFormat="1" applyFont="1" applyFill="1" applyBorder="1" applyAlignment="1">
      <alignment vertical="center"/>
    </xf>
    <xf numFmtId="0" fontId="15" fillId="0" borderId="1" xfId="0" applyFont="1" applyBorder="1"/>
    <xf numFmtId="0" fontId="41" fillId="0" borderId="5" xfId="0" applyFont="1" applyBorder="1" applyAlignment="1">
      <alignment vertical="center"/>
    </xf>
    <xf numFmtId="0" fontId="6" fillId="0" borderId="8" xfId="0" applyFont="1" applyBorder="1" applyAlignment="1">
      <alignment horizontal="right"/>
    </xf>
    <xf numFmtId="164" fontId="6" fillId="0" borderId="8" xfId="0" applyNumberFormat="1" applyFont="1" applyBorder="1" applyAlignment="1">
      <alignment horizontal="right"/>
    </xf>
    <xf numFmtId="164" fontId="40" fillId="7" borderId="8" xfId="0" applyNumberFormat="1" applyFont="1" applyFill="1" applyBorder="1"/>
    <xf numFmtId="164" fontId="42" fillId="0" borderId="26" xfId="1" applyNumberFormat="1" applyFont="1" applyFill="1" applyBorder="1"/>
    <xf numFmtId="164" fontId="42" fillId="0" borderId="26" xfId="1" applyNumberFormat="1" applyFont="1" applyFill="1" applyBorder="1" applyAlignment="1"/>
    <xf numFmtId="164" fontId="42" fillId="0" borderId="25" xfId="1" applyNumberFormat="1" applyFont="1" applyFill="1" applyBorder="1" applyAlignment="1">
      <alignment horizontal="left"/>
    </xf>
    <xf numFmtId="164" fontId="42" fillId="0" borderId="25" xfId="1" applyNumberFormat="1" applyFont="1" applyFill="1" applyBorder="1" applyAlignment="1"/>
    <xf numFmtId="164" fontId="42" fillId="0" borderId="25" xfId="1" applyNumberFormat="1" applyFont="1" applyFill="1" applyBorder="1"/>
    <xf numFmtId="164" fontId="42" fillId="0" borderId="25" xfId="1" applyNumberFormat="1" applyFont="1" applyFill="1" applyBorder="1" applyAlignment="1">
      <alignment horizontal="left" vertical="top" wrapText="1"/>
    </xf>
    <xf numFmtId="164" fontId="45" fillId="0" borderId="1" xfId="1" applyNumberFormat="1" applyFont="1" applyFill="1" applyBorder="1" applyAlignment="1">
      <alignment horizontal="center" vertical="center"/>
    </xf>
    <xf numFmtId="164" fontId="45" fillId="0" borderId="1" xfId="1" quotePrefix="1" applyNumberFormat="1" applyFont="1" applyFill="1" applyBorder="1" applyAlignment="1">
      <alignment horizontal="center" vertical="center"/>
    </xf>
    <xf numFmtId="164" fontId="45" fillId="0" borderId="1" xfId="1" quotePrefix="1" applyNumberFormat="1" applyFont="1" applyFill="1" applyBorder="1" applyAlignment="1">
      <alignment horizontal="center" vertical="center" wrapText="1"/>
    </xf>
    <xf numFmtId="164" fontId="44" fillId="0" borderId="25" xfId="1" applyNumberFormat="1" applyFont="1" applyFill="1" applyBorder="1"/>
    <xf numFmtId="164" fontId="44" fillId="0" borderId="26" xfId="1" applyNumberFormat="1" applyFont="1" applyFill="1" applyBorder="1"/>
    <xf numFmtId="164" fontId="44" fillId="0" borderId="25" xfId="1" applyNumberFormat="1" applyFont="1" applyFill="1" applyBorder="1" applyAlignment="1">
      <alignment horizontal="left"/>
    </xf>
    <xf numFmtId="164" fontId="45" fillId="0" borderId="1" xfId="1" applyNumberFormat="1" applyFont="1" applyFill="1" applyBorder="1" applyAlignment="1">
      <alignment horizontal="center" vertical="center" wrapText="1"/>
    </xf>
    <xf numFmtId="164" fontId="44" fillId="0" borderId="26" xfId="1" applyNumberFormat="1" applyFont="1" applyFill="1" applyBorder="1" applyAlignment="1">
      <alignment vertical="center"/>
    </xf>
    <xf numFmtId="164" fontId="44" fillId="0" borderId="25" xfId="1" applyNumberFormat="1" applyFont="1" applyFill="1" applyBorder="1" applyAlignment="1">
      <alignment vertical="center"/>
    </xf>
    <xf numFmtId="164" fontId="44" fillId="0" borderId="25" xfId="1" applyNumberFormat="1" applyFont="1" applyFill="1" applyBorder="1" applyAlignment="1">
      <alignment horizontal="left" vertical="center" wrapText="1"/>
    </xf>
    <xf numFmtId="164" fontId="23" fillId="0" borderId="0" xfId="0" applyNumberFormat="1" applyFont="1" applyAlignment="1">
      <alignment vertical="center"/>
    </xf>
    <xf numFmtId="164" fontId="46" fillId="0" borderId="1" xfId="1" applyNumberFormat="1" applyFont="1" applyFill="1" applyBorder="1" applyAlignment="1">
      <alignment vertical="center"/>
    </xf>
    <xf numFmtId="164" fontId="28" fillId="2" borderId="1" xfId="1" applyNumberFormat="1" applyFont="1" applyFill="1" applyBorder="1" applyAlignment="1">
      <alignment horizontal="centerContinuous" vertical="center"/>
    </xf>
    <xf numFmtId="164" fontId="10" fillId="0" borderId="0" xfId="0" applyNumberFormat="1" applyFont="1"/>
    <xf numFmtId="0" fontId="10" fillId="0" borderId="0" xfId="0" applyFont="1"/>
    <xf numFmtId="164" fontId="10" fillId="0" borderId="0" xfId="1" applyNumberFormat="1" applyFont="1"/>
    <xf numFmtId="43" fontId="10" fillId="0" borderId="0" xfId="1" applyFont="1"/>
    <xf numFmtId="0" fontId="29" fillId="0" borderId="9" xfId="0" applyFont="1" applyBorder="1" applyAlignment="1">
      <alignment vertical="center" textRotation="90"/>
    </xf>
    <xf numFmtId="164" fontId="29" fillId="0" borderId="9" xfId="0" applyNumberFormat="1" applyFont="1" applyBorder="1" applyAlignment="1">
      <alignment vertical="center"/>
    </xf>
    <xf numFmtId="0" fontId="29" fillId="0" borderId="7" xfId="0" applyFont="1" applyBorder="1" applyAlignment="1">
      <alignment vertical="center" textRotation="90"/>
    </xf>
    <xf numFmtId="164" fontId="29" fillId="0" borderId="7" xfId="0" applyNumberFormat="1" applyFont="1" applyBorder="1" applyAlignment="1">
      <alignment vertical="center"/>
    </xf>
    <xf numFmtId="164" fontId="10" fillId="0" borderId="0" xfId="1" applyNumberFormat="1" applyFont="1" applyFill="1"/>
    <xf numFmtId="0" fontId="29" fillId="0" borderId="8" xfId="0" applyFont="1" applyBorder="1" applyAlignment="1">
      <alignment vertical="center" textRotation="90"/>
    </xf>
    <xf numFmtId="164" fontId="29" fillId="0" borderId="8" xfId="0" applyNumberFormat="1" applyFont="1" applyBorder="1" applyAlignment="1">
      <alignment vertical="center"/>
    </xf>
    <xf numFmtId="0" fontId="47" fillId="0" borderId="1" xfId="0" applyFont="1" applyBorder="1" applyAlignment="1">
      <alignment horizontal="center" vertical="center"/>
    </xf>
    <xf numFmtId="164" fontId="47" fillId="0" borderId="1" xfId="0" applyNumberFormat="1" applyFont="1" applyBorder="1" applyAlignment="1">
      <alignment horizontal="center" vertical="center"/>
    </xf>
    <xf numFmtId="164" fontId="39" fillId="0" borderId="1" xfId="1" applyNumberFormat="1" applyFont="1" applyFill="1" applyBorder="1"/>
    <xf numFmtId="164" fontId="39" fillId="0" borderId="1" xfId="0" applyNumberFormat="1" applyFont="1" applyBorder="1"/>
    <xf numFmtId="0" fontId="39" fillId="0" borderId="0" xfId="0" applyFont="1"/>
    <xf numFmtId="164" fontId="39" fillId="0" borderId="0" xfId="1" applyNumberFormat="1" applyFont="1"/>
    <xf numFmtId="0" fontId="29" fillId="2" borderId="9" xfId="0" applyFont="1" applyFill="1" applyBorder="1" applyAlignment="1">
      <alignment vertical="center" textRotation="90"/>
    </xf>
    <xf numFmtId="164" fontId="29" fillId="2" borderId="9" xfId="0" applyNumberFormat="1" applyFont="1" applyFill="1" applyBorder="1" applyAlignment="1">
      <alignment vertical="center"/>
    </xf>
    <xf numFmtId="164" fontId="10" fillId="0" borderId="1" xfId="1" applyNumberFormat="1" applyFont="1" applyFill="1" applyBorder="1"/>
    <xf numFmtId="0" fontId="29" fillId="0" borderId="1" xfId="0" applyFont="1" applyBorder="1" applyAlignment="1">
      <alignment vertical="center" textRotation="90"/>
    </xf>
    <xf numFmtId="164" fontId="29" fillId="0" borderId="1" xfId="0" applyNumberFormat="1" applyFont="1" applyBorder="1" applyAlignment="1">
      <alignment vertical="center"/>
    </xf>
    <xf numFmtId="0" fontId="29" fillId="0" borderId="9" xfId="0" applyFont="1" applyBorder="1" applyAlignment="1">
      <alignment horizontal="center" vertical="center" textRotation="90"/>
    </xf>
    <xf numFmtId="164" fontId="29" fillId="0" borderId="9" xfId="0" applyNumberFormat="1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164" fontId="29" fillId="0" borderId="8" xfId="0" applyNumberFormat="1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4" fontId="29" fillId="0" borderId="1" xfId="0" applyNumberFormat="1" applyFont="1" applyBorder="1" applyAlignment="1">
      <alignment horizontal="center" vertical="center"/>
    </xf>
    <xf numFmtId="164" fontId="10" fillId="0" borderId="6" xfId="0" applyNumberFormat="1" applyFont="1" applyBorder="1"/>
    <xf numFmtId="0" fontId="29" fillId="2" borderId="7" xfId="0" applyFont="1" applyFill="1" applyBorder="1" applyAlignment="1">
      <alignment horizontal="center" vertical="center" textRotation="90"/>
    </xf>
    <xf numFmtId="164" fontId="29" fillId="2" borderId="7" xfId="0" applyNumberFormat="1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vertical="center" textRotation="90"/>
    </xf>
    <xf numFmtId="164" fontId="29" fillId="2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9" fillId="2" borderId="9" xfId="0" applyFont="1" applyFill="1" applyBorder="1" applyAlignment="1">
      <alignment horizontal="center" vertical="center" textRotation="90"/>
    </xf>
    <xf numFmtId="164" fontId="29" fillId="2" borderId="9" xfId="0" applyNumberFormat="1" applyFont="1" applyFill="1" applyBorder="1" applyAlignment="1">
      <alignment horizontal="center" vertical="center"/>
    </xf>
    <xf numFmtId="0" fontId="29" fillId="0" borderId="8" xfId="0" applyFont="1" applyBorder="1" applyAlignment="1">
      <alignment horizontal="center" vertical="center" textRotation="90"/>
    </xf>
    <xf numFmtId="0" fontId="47" fillId="0" borderId="1" xfId="0" applyFont="1" applyBorder="1" applyAlignment="1">
      <alignment vertical="center" textRotation="90"/>
    </xf>
    <xf numFmtId="164" fontId="47" fillId="0" borderId="1" xfId="0" applyNumberFormat="1" applyFont="1" applyBorder="1" applyAlignment="1">
      <alignment vertical="center"/>
    </xf>
    <xf numFmtId="0" fontId="47" fillId="2" borderId="9" xfId="0" applyFont="1" applyFill="1" applyBorder="1" applyAlignment="1">
      <alignment vertical="center" textRotation="90"/>
    </xf>
    <xf numFmtId="164" fontId="47" fillId="2" borderId="9" xfId="0" applyNumberFormat="1" applyFont="1" applyFill="1" applyBorder="1" applyAlignment="1">
      <alignment vertical="center"/>
    </xf>
    <xf numFmtId="164" fontId="45" fillId="0" borderId="25" xfId="1" applyNumberFormat="1" applyFont="1" applyFill="1" applyBorder="1" applyAlignment="1">
      <alignment vertical="center"/>
    </xf>
    <xf numFmtId="0" fontId="49" fillId="7" borderId="1" xfId="0" applyFont="1" applyFill="1" applyBorder="1" applyAlignment="1">
      <alignment horizontal="center" vertical="center"/>
    </xf>
    <xf numFmtId="0" fontId="49" fillId="7" borderId="0" xfId="0" applyFont="1" applyFill="1" applyAlignment="1">
      <alignment horizontal="center" vertical="center"/>
    </xf>
    <xf numFmtId="0" fontId="50" fillId="0" borderId="0" xfId="0" applyFont="1" applyAlignment="1">
      <alignment vertical="center"/>
    </xf>
    <xf numFmtId="164" fontId="50" fillId="0" borderId="0" xfId="1" applyNumberFormat="1" applyFont="1" applyAlignment="1">
      <alignment vertical="center"/>
    </xf>
    <xf numFmtId="0" fontId="51" fillId="7" borderId="1" xfId="0" applyFont="1" applyFill="1" applyBorder="1" applyAlignment="1">
      <alignment horizontal="center" vertical="center"/>
    </xf>
    <xf numFmtId="0" fontId="51" fillId="7" borderId="0" xfId="0" applyFont="1" applyFill="1" applyAlignment="1">
      <alignment horizontal="center" vertical="center"/>
    </xf>
    <xf numFmtId="0" fontId="52" fillId="0" borderId="0" xfId="0" applyFont="1" applyAlignment="1">
      <alignment vertical="center"/>
    </xf>
    <xf numFmtId="164" fontId="52" fillId="0" borderId="0" xfId="1" applyNumberFormat="1" applyFont="1" applyAlignment="1">
      <alignment vertical="center"/>
    </xf>
    <xf numFmtId="164" fontId="50" fillId="0" borderId="0" xfId="0" applyNumberFormat="1" applyFont="1" applyAlignment="1">
      <alignment vertical="center"/>
    </xf>
    <xf numFmtId="0" fontId="53" fillId="7" borderId="1" xfId="0" applyFont="1" applyFill="1" applyBorder="1" applyAlignment="1">
      <alignment horizontal="center" vertical="center"/>
    </xf>
    <xf numFmtId="0" fontId="53" fillId="7" borderId="0" xfId="0" applyFont="1" applyFill="1" applyAlignment="1">
      <alignment horizontal="center" vertical="center"/>
    </xf>
    <xf numFmtId="164" fontId="54" fillId="0" borderId="0" xfId="0" applyNumberFormat="1" applyFont="1" applyAlignment="1">
      <alignment vertical="center"/>
    </xf>
    <xf numFmtId="164" fontId="54" fillId="0" borderId="0" xfId="1" applyNumberFormat="1" applyFont="1" applyAlignment="1">
      <alignment vertical="center"/>
    </xf>
    <xf numFmtId="0" fontId="54" fillId="0" borderId="0" xfId="0" applyFont="1" applyAlignment="1">
      <alignment vertical="center"/>
    </xf>
    <xf numFmtId="164" fontId="49" fillId="7" borderId="0" xfId="0" applyNumberFormat="1" applyFont="1" applyFill="1" applyAlignment="1">
      <alignment horizontal="center" vertical="center"/>
    </xf>
    <xf numFmtId="164" fontId="48" fillId="0" borderId="1" xfId="1" applyNumberFormat="1" applyFont="1" applyBorder="1" applyAlignment="1">
      <alignment horizontal="right" vertical="center"/>
    </xf>
    <xf numFmtId="164" fontId="48" fillId="0" borderId="1" xfId="1" applyNumberFormat="1" applyFont="1" applyBorder="1" applyAlignment="1">
      <alignment horizontal="center" vertical="center"/>
    </xf>
    <xf numFmtId="164" fontId="48" fillId="2" borderId="1" xfId="1" applyNumberFormat="1" applyFont="1" applyFill="1" applyBorder="1" applyAlignment="1">
      <alignment horizontal="center" vertical="center"/>
    </xf>
    <xf numFmtId="164" fontId="39" fillId="0" borderId="1" xfId="1" applyNumberFormat="1" applyFont="1" applyBorder="1" applyAlignment="1">
      <alignment vertical="center"/>
    </xf>
    <xf numFmtId="164" fontId="48" fillId="0" borderId="1" xfId="1" applyNumberFormat="1" applyFont="1" applyBorder="1" applyAlignment="1">
      <alignment vertical="center"/>
    </xf>
    <xf numFmtId="164" fontId="47" fillId="0" borderId="1" xfId="1" applyNumberFormat="1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164" fontId="28" fillId="0" borderId="1" xfId="1" applyNumberFormat="1" applyFont="1" applyBorder="1" applyAlignment="1">
      <alignment horizontal="right" vertical="center"/>
    </xf>
    <xf numFmtId="164" fontId="28" fillId="0" borderId="1" xfId="1" applyNumberFormat="1" applyFont="1" applyBorder="1" applyAlignment="1">
      <alignment horizontal="center" vertical="center"/>
    </xf>
    <xf numFmtId="164" fontId="28" fillId="2" borderId="1" xfId="1" applyNumberFormat="1" applyFont="1" applyFill="1" applyBorder="1" applyAlignment="1">
      <alignment horizontal="center" vertical="center"/>
    </xf>
    <xf numFmtId="164" fontId="10" fillId="0" borderId="1" xfId="1" applyNumberFormat="1" applyFont="1" applyBorder="1" applyAlignment="1">
      <alignment vertical="center"/>
    </xf>
    <xf numFmtId="164" fontId="28" fillId="0" borderId="1" xfId="1" applyNumberFormat="1" applyFont="1" applyBorder="1" applyAlignment="1">
      <alignment vertical="center"/>
    </xf>
    <xf numFmtId="164" fontId="29" fillId="0" borderId="1" xfId="1" applyNumberFormat="1" applyFont="1" applyBorder="1" applyAlignment="1">
      <alignment vertical="center"/>
    </xf>
    <xf numFmtId="164" fontId="28" fillId="0" borderId="1" xfId="1" applyNumberFormat="1" applyFont="1" applyFill="1" applyBorder="1" applyAlignment="1">
      <alignment horizontal="center" vertical="center"/>
    </xf>
    <xf numFmtId="164" fontId="10" fillId="0" borderId="1" xfId="0" applyNumberFormat="1" applyFont="1" applyBorder="1" applyAlignment="1">
      <alignment vertical="center"/>
    </xf>
    <xf numFmtId="164" fontId="10" fillId="0" borderId="1" xfId="1" applyNumberFormat="1" applyFont="1" applyBorder="1" applyAlignment="1">
      <alignment horizontal="center" vertical="center"/>
    </xf>
    <xf numFmtId="164" fontId="10" fillId="13" borderId="1" xfId="0" applyNumberFormat="1" applyFont="1" applyFill="1" applyBorder="1" applyAlignment="1">
      <alignment vertical="center"/>
    </xf>
    <xf numFmtId="164" fontId="28" fillId="0" borderId="8" xfId="1" applyNumberFormat="1" applyFont="1" applyFill="1" applyBorder="1" applyAlignment="1">
      <alignment horizontal="center" vertical="center"/>
    </xf>
    <xf numFmtId="164" fontId="10" fillId="0" borderId="8" xfId="1" applyNumberFormat="1" applyFont="1" applyFill="1" applyBorder="1" applyAlignment="1">
      <alignment vertical="center"/>
    </xf>
    <xf numFmtId="164" fontId="28" fillId="0" borderId="8" xfId="1" applyNumberFormat="1" applyFont="1" applyFill="1" applyBorder="1" applyAlignment="1">
      <alignment vertical="center"/>
    </xf>
    <xf numFmtId="164" fontId="29" fillId="0" borderId="8" xfId="1" applyNumberFormat="1" applyFont="1" applyFill="1" applyBorder="1" applyAlignment="1">
      <alignment vertical="center"/>
    </xf>
    <xf numFmtId="164" fontId="10" fillId="9" borderId="8" xfId="0" applyNumberFormat="1" applyFont="1" applyFill="1" applyBorder="1" applyAlignment="1">
      <alignment vertical="center"/>
    </xf>
    <xf numFmtId="164" fontId="28" fillId="2" borderId="8" xfId="1" applyNumberFormat="1" applyFont="1" applyFill="1" applyBorder="1" applyAlignment="1">
      <alignment horizontal="center" vertical="center"/>
    </xf>
    <xf numFmtId="164" fontId="10" fillId="0" borderId="8" xfId="1" applyNumberFormat="1" applyFont="1" applyBorder="1" applyAlignment="1">
      <alignment vertical="center"/>
    </xf>
    <xf numFmtId="164" fontId="29" fillId="0" borderId="8" xfId="1" applyNumberFormat="1" applyFont="1" applyBorder="1" applyAlignment="1">
      <alignment vertical="center"/>
    </xf>
    <xf numFmtId="164" fontId="10" fillId="13" borderId="8" xfId="0" applyNumberFormat="1" applyFont="1" applyFill="1" applyBorder="1" applyAlignment="1">
      <alignment vertical="center"/>
    </xf>
    <xf numFmtId="0" fontId="29" fillId="2" borderId="1" xfId="0" applyFont="1" applyFill="1" applyBorder="1" applyAlignment="1">
      <alignment vertical="center"/>
    </xf>
    <xf numFmtId="164" fontId="29" fillId="0" borderId="1" xfId="1" applyNumberFormat="1" applyFont="1" applyFill="1" applyBorder="1" applyAlignment="1">
      <alignment vertical="center"/>
    </xf>
    <xf numFmtId="164" fontId="48" fillId="0" borderId="1" xfId="1" applyNumberFormat="1" applyFont="1" applyFill="1" applyBorder="1" applyAlignment="1">
      <alignment vertical="center"/>
    </xf>
    <xf numFmtId="164" fontId="48" fillId="0" borderId="1" xfId="1" applyNumberFormat="1" applyFont="1" applyFill="1" applyBorder="1" applyAlignment="1">
      <alignment horizontal="center" vertical="center"/>
    </xf>
    <xf numFmtId="164" fontId="39" fillId="13" borderId="1" xfId="0" applyNumberFormat="1" applyFont="1" applyFill="1" applyBorder="1" applyAlignment="1">
      <alignment vertical="center"/>
    </xf>
    <xf numFmtId="164" fontId="28" fillId="2" borderId="1" xfId="1" applyNumberFormat="1" applyFont="1" applyFill="1" applyBorder="1" applyAlignment="1">
      <alignment vertical="center"/>
    </xf>
    <xf numFmtId="164" fontId="10" fillId="0" borderId="1" xfId="1" applyNumberFormat="1" applyFont="1" applyFill="1" applyBorder="1" applyAlignment="1">
      <alignment vertical="center"/>
    </xf>
    <xf numFmtId="164" fontId="7" fillId="0" borderId="8" xfId="1" applyNumberFormat="1" applyFont="1" applyBorder="1" applyAlignment="1">
      <alignment vertical="center"/>
    </xf>
    <xf numFmtId="164" fontId="28" fillId="0" borderId="1" xfId="1" applyNumberFormat="1" applyFont="1" applyFill="1" applyBorder="1" applyAlignment="1">
      <alignment horizontal="right" vertical="center"/>
    </xf>
    <xf numFmtId="164" fontId="38" fillId="8" borderId="1" xfId="0" applyNumberFormat="1" applyFont="1" applyFill="1" applyBorder="1" applyAlignment="1">
      <alignment vertical="center"/>
    </xf>
    <xf numFmtId="164" fontId="38" fillId="8" borderId="0" xfId="0" applyNumberFormat="1" applyFont="1" applyFill="1"/>
    <xf numFmtId="0" fontId="38" fillId="0" borderId="0" xfId="0" applyFont="1"/>
    <xf numFmtId="164" fontId="38" fillId="0" borderId="0" xfId="1" applyNumberFormat="1" applyFont="1"/>
    <xf numFmtId="164" fontId="37" fillId="7" borderId="1" xfId="0" applyNumberFormat="1" applyFont="1" applyFill="1" applyBorder="1" applyAlignment="1">
      <alignment vertical="center"/>
    </xf>
    <xf numFmtId="164" fontId="56" fillId="0" borderId="1" xfId="0" applyNumberFormat="1" applyFont="1" applyBorder="1" applyAlignment="1">
      <alignment horizontal="right" vertical="center"/>
    </xf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7" fillId="4" borderId="0" xfId="0" applyFont="1" applyFill="1" applyAlignment="1">
      <alignment vertical="center"/>
    </xf>
    <xf numFmtId="0" fontId="55" fillId="0" borderId="0" xfId="0" applyFont="1"/>
    <xf numFmtId="164" fontId="55" fillId="0" borderId="0" xfId="1" applyNumberFormat="1" applyFont="1"/>
    <xf numFmtId="0" fontId="57" fillId="19" borderId="4" xfId="0" applyFont="1" applyFill="1" applyBorder="1" applyAlignment="1">
      <alignment vertical="center"/>
    </xf>
    <xf numFmtId="0" fontId="57" fillId="19" borderId="23" xfId="0" applyFont="1" applyFill="1" applyBorder="1" applyAlignment="1">
      <alignment vertical="center"/>
    </xf>
    <xf numFmtId="164" fontId="52" fillId="0" borderId="0" xfId="0" applyNumberFormat="1" applyFont="1" applyAlignment="1">
      <alignment vertical="center"/>
    </xf>
    <xf numFmtId="164" fontId="44" fillId="0" borderId="25" xfId="1" applyNumberFormat="1" applyFont="1" applyFill="1" applyBorder="1" applyAlignment="1">
      <alignment wrapText="1"/>
    </xf>
    <xf numFmtId="0" fontId="18" fillId="0" borderId="28" xfId="0" applyFont="1" applyBorder="1" applyAlignment="1">
      <alignment vertical="center"/>
    </xf>
    <xf numFmtId="14" fontId="18" fillId="0" borderId="29" xfId="0" applyNumberFormat="1" applyFont="1" applyBorder="1" applyAlignment="1">
      <alignment vertical="center"/>
    </xf>
    <xf numFmtId="0" fontId="21" fillId="0" borderId="29" xfId="0" applyFont="1" applyBorder="1" applyAlignment="1">
      <alignment vertical="center"/>
    </xf>
    <xf numFmtId="164" fontId="19" fillId="0" borderId="29" xfId="1" applyNumberFormat="1" applyFont="1" applyFill="1" applyBorder="1" applyAlignment="1">
      <alignment vertical="center"/>
    </xf>
    <xf numFmtId="0" fontId="18" fillId="0" borderId="29" xfId="0" applyFont="1" applyBorder="1" applyAlignment="1">
      <alignment vertical="center"/>
    </xf>
    <xf numFmtId="0" fontId="19" fillId="0" borderId="29" xfId="0" applyFont="1" applyBorder="1" applyAlignment="1">
      <alignment horizontal="center" vertical="center"/>
    </xf>
    <xf numFmtId="164" fontId="18" fillId="0" borderId="29" xfId="0" applyNumberFormat="1" applyFont="1" applyBorder="1" applyAlignment="1">
      <alignment horizontal="right" vertical="center"/>
    </xf>
    <xf numFmtId="164" fontId="18" fillId="0" borderId="29" xfId="0" applyNumberFormat="1" applyFont="1" applyBorder="1" applyAlignment="1">
      <alignment vertical="center"/>
    </xf>
    <xf numFmtId="164" fontId="18" fillId="0" borderId="29" xfId="1" applyNumberFormat="1" applyFont="1" applyFill="1" applyBorder="1" applyAlignment="1">
      <alignment vertical="center"/>
    </xf>
    <xf numFmtId="164" fontId="19" fillId="0" borderId="29" xfId="0" applyNumberFormat="1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23" xfId="0" applyFont="1" applyBorder="1" applyAlignment="1">
      <alignment vertical="center"/>
    </xf>
    <xf numFmtId="164" fontId="39" fillId="0" borderId="1" xfId="0" applyNumberFormat="1" applyFont="1" applyBorder="1" applyAlignment="1">
      <alignment vertical="center"/>
    </xf>
    <xf numFmtId="164" fontId="10" fillId="18" borderId="1" xfId="0" applyNumberFormat="1" applyFont="1" applyFill="1" applyBorder="1" applyAlignment="1">
      <alignment vertical="center"/>
    </xf>
    <xf numFmtId="0" fontId="56" fillId="0" borderId="24" xfId="0" applyFont="1" applyBorder="1" applyAlignment="1">
      <alignment vertical="center"/>
    </xf>
    <xf numFmtId="0" fontId="56" fillId="0" borderId="6" xfId="0" applyFont="1" applyBorder="1" applyAlignment="1">
      <alignment vertical="center"/>
    </xf>
    <xf numFmtId="164" fontId="38" fillId="8" borderId="7" xfId="0" applyNumberFormat="1" applyFont="1" applyFill="1" applyBorder="1"/>
    <xf numFmtId="0" fontId="51" fillId="7" borderId="8" xfId="0" applyFont="1" applyFill="1" applyBorder="1" applyAlignment="1">
      <alignment horizontal="center" vertical="center"/>
    </xf>
    <xf numFmtId="0" fontId="35" fillId="0" borderId="0" xfId="0" applyFont="1" applyAlignment="1">
      <alignment horizontal="right" vertical="center"/>
    </xf>
    <xf numFmtId="164" fontId="38" fillId="0" borderId="0" xfId="0" applyNumberFormat="1" applyFont="1" applyAlignment="1">
      <alignment vertical="center"/>
    </xf>
    <xf numFmtId="164" fontId="38" fillId="0" borderId="0" xfId="0" applyNumberFormat="1" applyFont="1"/>
    <xf numFmtId="164" fontId="38" fillId="0" borderId="0" xfId="1" applyNumberFormat="1" applyFont="1" applyFill="1" applyBorder="1"/>
    <xf numFmtId="0" fontId="35" fillId="0" borderId="1" xfId="0" applyFont="1" applyBorder="1" applyAlignment="1">
      <alignment vertical="center"/>
    </xf>
    <xf numFmtId="164" fontId="35" fillId="0" borderId="1" xfId="0" applyNumberFormat="1" applyFont="1" applyBorder="1" applyAlignment="1">
      <alignment vertical="center"/>
    </xf>
    <xf numFmtId="164" fontId="27" fillId="0" borderId="1" xfId="0" applyNumberFormat="1" applyFont="1" applyBorder="1" applyAlignment="1">
      <alignment vertical="center"/>
    </xf>
    <xf numFmtId="164" fontId="29" fillId="0" borderId="1" xfId="0" applyNumberFormat="1" applyFont="1" applyBorder="1" applyAlignment="1">
      <alignment horizontal="right" vertical="center"/>
    </xf>
    <xf numFmtId="164" fontId="10" fillId="8" borderId="1" xfId="0" applyNumberFormat="1" applyFont="1" applyFill="1" applyBorder="1" applyAlignment="1">
      <alignment vertical="center"/>
    </xf>
    <xf numFmtId="164" fontId="7" fillId="7" borderId="1" xfId="0" applyNumberFormat="1" applyFont="1" applyFill="1" applyBorder="1" applyAlignment="1">
      <alignment vertical="center"/>
    </xf>
    <xf numFmtId="164" fontId="8" fillId="7" borderId="1" xfId="0" applyNumberFormat="1" applyFont="1" applyFill="1" applyBorder="1" applyAlignment="1">
      <alignment vertical="center"/>
    </xf>
    <xf numFmtId="164" fontId="18" fillId="0" borderId="1" xfId="1" applyNumberFormat="1" applyFont="1" applyFill="1" applyBorder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vertical="center"/>
    </xf>
    <xf numFmtId="164" fontId="36" fillId="0" borderId="27" xfId="1" applyNumberFormat="1" applyFont="1" applyFill="1" applyBorder="1"/>
    <xf numFmtId="164" fontId="4" fillId="0" borderId="26" xfId="1" applyNumberFormat="1" applyFont="1" applyFill="1" applyBorder="1"/>
    <xf numFmtId="164" fontId="4" fillId="0" borderId="25" xfId="1" applyNumberFormat="1" applyFont="1" applyFill="1" applyBorder="1"/>
    <xf numFmtId="16" fontId="18" fillId="0" borderId="0" xfId="0" applyNumberFormat="1" applyFont="1" applyAlignment="1">
      <alignment vertical="center"/>
    </xf>
    <xf numFmtId="0" fontId="29" fillId="18" borderId="1" xfId="0" applyFont="1" applyFill="1" applyBorder="1" applyAlignment="1">
      <alignment vertical="center"/>
    </xf>
    <xf numFmtId="164" fontId="34" fillId="0" borderId="1" xfId="0" applyNumberFormat="1" applyFont="1" applyBorder="1" applyAlignment="1">
      <alignment vertical="center"/>
    </xf>
    <xf numFmtId="164" fontId="4" fillId="0" borderId="26" xfId="1" applyNumberFormat="1" applyFont="1" applyFill="1" applyBorder="1" applyAlignment="1">
      <alignment wrapText="1"/>
    </xf>
    <xf numFmtId="164" fontId="15" fillId="0" borderId="1" xfId="1" applyNumberFormat="1" applyFont="1" applyBorder="1" applyAlignment="1">
      <alignment vertical="center"/>
    </xf>
    <xf numFmtId="164" fontId="58" fillId="0" borderId="1" xfId="1" applyNumberFormat="1" applyFont="1" applyBorder="1" applyAlignment="1">
      <alignment vertical="center"/>
    </xf>
    <xf numFmtId="164" fontId="58" fillId="0" borderId="1" xfId="1" applyNumberFormat="1" applyFont="1" applyBorder="1" applyAlignment="1">
      <alignment horizontal="center" vertical="center"/>
    </xf>
    <xf numFmtId="164" fontId="10" fillId="0" borderId="8" xfId="0" applyNumberFormat="1" applyFont="1" applyBorder="1" applyAlignment="1">
      <alignment vertical="center"/>
    </xf>
    <xf numFmtId="164" fontId="58" fillId="0" borderId="1" xfId="1" applyNumberFormat="1" applyFont="1" applyFill="1" applyBorder="1" applyAlignment="1">
      <alignment vertical="center"/>
    </xf>
    <xf numFmtId="164" fontId="28" fillId="0" borderId="1" xfId="1" applyNumberFormat="1" applyFont="1" applyFill="1" applyBorder="1"/>
    <xf numFmtId="0" fontId="59" fillId="0" borderId="1" xfId="0" applyFont="1" applyBorder="1"/>
    <xf numFmtId="164" fontId="10" fillId="0" borderId="0" xfId="0" applyNumberFormat="1" applyFont="1" applyAlignment="1">
      <alignment horizontal="right"/>
    </xf>
    <xf numFmtId="164" fontId="51" fillId="7" borderId="0" xfId="0" applyNumberFormat="1" applyFont="1" applyFill="1" applyAlignment="1">
      <alignment horizontal="center" vertical="center"/>
    </xf>
    <xf numFmtId="164" fontId="34" fillId="13" borderId="1" xfId="0" applyNumberFormat="1" applyFont="1" applyFill="1" applyBorder="1"/>
    <xf numFmtId="164" fontId="48" fillId="10" borderId="1" xfId="1" applyNumberFormat="1" applyFont="1" applyFill="1" applyBorder="1" applyAlignment="1">
      <alignment horizontal="center" vertical="center"/>
    </xf>
    <xf numFmtId="164" fontId="5" fillId="10" borderId="1" xfId="1" applyNumberFormat="1" applyFont="1" applyFill="1" applyBorder="1" applyAlignment="1">
      <alignment horizontal="center"/>
    </xf>
    <xf numFmtId="164" fontId="64" fillId="12" borderId="2" xfId="1" quotePrefix="1" applyNumberFormat="1" applyFont="1" applyFill="1" applyBorder="1" applyAlignment="1">
      <alignment vertical="center" textRotation="90"/>
    </xf>
    <xf numFmtId="164" fontId="44" fillId="0" borderId="31" xfId="1" applyNumberFormat="1" applyFont="1" applyFill="1" applyBorder="1"/>
    <xf numFmtId="164" fontId="44" fillId="0" borderId="31" xfId="1" applyNumberFormat="1" applyFont="1" applyFill="1" applyBorder="1" applyAlignment="1">
      <alignment wrapText="1"/>
    </xf>
    <xf numFmtId="164" fontId="44" fillId="0" borderId="32" xfId="1" applyNumberFormat="1" applyFont="1" applyFill="1" applyBorder="1" applyAlignment="1">
      <alignment vertical="center"/>
    </xf>
    <xf numFmtId="164" fontId="45" fillId="0" borderId="7" xfId="1" applyNumberFormat="1" applyFont="1" applyFill="1" applyBorder="1" applyAlignment="1">
      <alignment horizontal="center" vertical="center"/>
    </xf>
    <xf numFmtId="164" fontId="63" fillId="12" borderId="7" xfId="1" quotePrefix="1" applyNumberFormat="1" applyFont="1" applyFill="1" applyBorder="1" applyAlignment="1">
      <alignment horizontal="center" vertical="center"/>
    </xf>
    <xf numFmtId="164" fontId="63" fillId="0" borderId="1" xfId="1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47" fillId="0" borderId="1" xfId="0" applyFont="1" applyBorder="1" applyAlignment="1">
      <alignment vertical="center"/>
    </xf>
    <xf numFmtId="0" fontId="28" fillId="18" borderId="1" xfId="0" applyFont="1" applyFill="1" applyBorder="1" applyAlignment="1">
      <alignment vertical="center"/>
    </xf>
    <xf numFmtId="0" fontId="10" fillId="18" borderId="1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47" fillId="18" borderId="1" xfId="0" applyFont="1" applyFill="1" applyBorder="1" applyAlignment="1">
      <alignment vertical="center"/>
    </xf>
    <xf numFmtId="164" fontId="44" fillId="0" borderId="38" xfId="1" applyNumberFormat="1" applyFont="1" applyFill="1" applyBorder="1" applyAlignment="1">
      <alignment vertical="center"/>
    </xf>
    <xf numFmtId="164" fontId="44" fillId="0" borderId="30" xfId="1" applyNumberFormat="1" applyFont="1" applyFill="1" applyBorder="1" applyAlignment="1">
      <alignment vertical="center"/>
    </xf>
    <xf numFmtId="17" fontId="4" fillId="0" borderId="1" xfId="0" applyNumberFormat="1" applyFont="1" applyBorder="1" applyAlignment="1">
      <alignment horizontal="center" vertical="center"/>
    </xf>
    <xf numFmtId="164" fontId="37" fillId="23" borderId="3" xfId="1" applyNumberFormat="1" applyFont="1" applyFill="1" applyBorder="1" applyAlignment="1">
      <alignment horizontal="center"/>
    </xf>
    <xf numFmtId="164" fontId="37" fillId="23" borderId="2" xfId="1" applyNumberFormat="1" applyFont="1" applyFill="1" applyBorder="1" applyAlignment="1">
      <alignment horizontal="center"/>
    </xf>
    <xf numFmtId="0" fontId="57" fillId="19" borderId="2" xfId="0" applyFont="1" applyFill="1" applyBorder="1" applyAlignment="1">
      <alignment horizontal="center" vertical="center"/>
    </xf>
    <xf numFmtId="0" fontId="57" fillId="19" borderId="22" xfId="0" applyFont="1" applyFill="1" applyBorder="1" applyAlignment="1">
      <alignment horizontal="center" vertical="center"/>
    </xf>
    <xf numFmtId="0" fontId="57" fillId="19" borderId="3" xfId="0" applyFont="1" applyFill="1" applyBorder="1" applyAlignment="1">
      <alignment horizontal="right" vertical="center"/>
    </xf>
    <xf numFmtId="0" fontId="57" fillId="19" borderId="2" xfId="0" applyFont="1" applyFill="1" applyBorder="1" applyAlignment="1">
      <alignment horizontal="right" vertical="center"/>
    </xf>
    <xf numFmtId="0" fontId="57" fillId="19" borderId="21" xfId="0" applyFont="1" applyFill="1" applyBorder="1" applyAlignment="1">
      <alignment horizontal="right" vertical="center"/>
    </xf>
    <xf numFmtId="0" fontId="57" fillId="19" borderId="22" xfId="0" applyFont="1" applyFill="1" applyBorder="1" applyAlignment="1">
      <alignment horizontal="right" vertical="center"/>
    </xf>
    <xf numFmtId="0" fontId="56" fillId="0" borderId="5" xfId="0" applyFont="1" applyBorder="1" applyAlignment="1">
      <alignment horizontal="center" vertical="center"/>
    </xf>
    <xf numFmtId="0" fontId="56" fillId="0" borderId="24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27" fillId="0" borderId="5" xfId="0" applyFont="1" applyBorder="1" applyAlignment="1">
      <alignment horizontal="right" vertical="center"/>
    </xf>
    <xf numFmtId="0" fontId="27" fillId="0" borderId="24" xfId="0" applyFont="1" applyBorder="1" applyAlignment="1">
      <alignment horizontal="right" vertical="center"/>
    </xf>
    <xf numFmtId="0" fontId="27" fillId="0" borderId="6" xfId="0" applyFont="1" applyBorder="1" applyAlignment="1">
      <alignment horizontal="right" vertical="center"/>
    </xf>
    <xf numFmtId="0" fontId="49" fillId="7" borderId="5" xfId="0" applyFont="1" applyFill="1" applyBorder="1" applyAlignment="1">
      <alignment horizontal="center" vertical="center"/>
    </xf>
    <xf numFmtId="0" fontId="49" fillId="7" borderId="24" xfId="0" applyFont="1" applyFill="1" applyBorder="1" applyAlignment="1">
      <alignment horizontal="center" vertical="center"/>
    </xf>
    <xf numFmtId="0" fontId="49" fillId="7" borderId="6" xfId="0" applyFont="1" applyFill="1" applyBorder="1" applyAlignment="1">
      <alignment horizontal="center" vertical="center"/>
    </xf>
    <xf numFmtId="0" fontId="51" fillId="7" borderId="5" xfId="0" applyFont="1" applyFill="1" applyBorder="1" applyAlignment="1">
      <alignment horizontal="center" vertical="center"/>
    </xf>
    <xf numFmtId="0" fontId="51" fillId="7" borderId="24" xfId="0" applyFont="1" applyFill="1" applyBorder="1" applyAlignment="1">
      <alignment horizontal="center" vertical="center"/>
    </xf>
    <xf numFmtId="0" fontId="51" fillId="7" borderId="6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 textRotation="90"/>
    </xf>
    <xf numFmtId="0" fontId="29" fillId="0" borderId="9" xfId="0" applyFont="1" applyBorder="1" applyAlignment="1">
      <alignment horizontal="center" vertical="center" textRotation="90"/>
    </xf>
    <xf numFmtId="0" fontId="29" fillId="0" borderId="8" xfId="0" applyFont="1" applyBorder="1" applyAlignment="1">
      <alignment horizontal="center" vertical="center" textRotation="90"/>
    </xf>
    <xf numFmtId="164" fontId="29" fillId="0" borderId="7" xfId="1" applyNumberFormat="1" applyFont="1" applyFill="1" applyBorder="1" applyAlignment="1">
      <alignment horizontal="center" vertical="center"/>
    </xf>
    <xf numFmtId="164" fontId="29" fillId="0" borderId="9" xfId="1" applyNumberFormat="1" applyFont="1" applyFill="1" applyBorder="1" applyAlignment="1">
      <alignment horizontal="center" vertical="center"/>
    </xf>
    <xf numFmtId="164" fontId="29" fillId="0" borderId="8" xfId="1" applyNumberFormat="1" applyFont="1" applyFill="1" applyBorder="1" applyAlignment="1">
      <alignment horizontal="center" vertical="center"/>
    </xf>
    <xf numFmtId="0" fontId="53" fillId="7" borderId="5" xfId="0" applyFont="1" applyFill="1" applyBorder="1" applyAlignment="1">
      <alignment horizontal="center" vertical="center"/>
    </xf>
    <xf numFmtId="0" fontId="53" fillId="7" borderId="24" xfId="0" applyFont="1" applyFill="1" applyBorder="1" applyAlignment="1">
      <alignment horizontal="center" vertical="center"/>
    </xf>
    <xf numFmtId="0" fontId="53" fillId="7" borderId="6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2" fillId="5" borderId="5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164" fontId="9" fillId="0" borderId="0" xfId="1" applyNumberFormat="1" applyFont="1" applyFill="1" applyBorder="1" applyAlignment="1">
      <alignment horizontal="right" vertical="top"/>
    </xf>
    <xf numFmtId="0" fontId="17" fillId="20" borderId="10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17" borderId="10" xfId="0" applyFont="1" applyFill="1" applyBorder="1" applyAlignment="1">
      <alignment horizontal="center" vertical="center"/>
    </xf>
    <xf numFmtId="0" fontId="17" fillId="17" borderId="11" xfId="0" applyFont="1" applyFill="1" applyBorder="1" applyAlignment="1">
      <alignment horizontal="center" vertical="center"/>
    </xf>
    <xf numFmtId="0" fontId="17" fillId="17" borderId="12" xfId="0" applyFont="1" applyFill="1" applyBorder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24" fillId="0" borderId="20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17" fillId="14" borderId="10" xfId="0" applyFont="1" applyFill="1" applyBorder="1" applyAlignment="1">
      <alignment horizontal="center" vertical="center"/>
    </xf>
    <xf numFmtId="0" fontId="17" fillId="14" borderId="11" xfId="0" applyFont="1" applyFill="1" applyBorder="1" applyAlignment="1">
      <alignment horizontal="center" vertical="center"/>
    </xf>
    <xf numFmtId="0" fontId="17" fillId="14" borderId="12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7" fillId="9" borderId="3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7" fillId="9" borderId="10" xfId="0" applyFont="1" applyFill="1" applyBorder="1" applyAlignment="1">
      <alignment horizontal="center" vertical="center"/>
    </xf>
    <xf numFmtId="0" fontId="17" fillId="9" borderId="11" xfId="0" applyFont="1" applyFill="1" applyBorder="1" applyAlignment="1">
      <alignment horizontal="center" vertical="center"/>
    </xf>
    <xf numFmtId="0" fontId="17" fillId="9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7" fillId="16" borderId="10" xfId="0" applyFont="1" applyFill="1" applyBorder="1" applyAlignment="1">
      <alignment horizontal="center" vertical="center"/>
    </xf>
    <xf numFmtId="0" fontId="17" fillId="16" borderId="11" xfId="0" applyFont="1" applyFill="1" applyBorder="1" applyAlignment="1">
      <alignment horizontal="center" vertical="center"/>
    </xf>
    <xf numFmtId="0" fontId="17" fillId="16" borderId="1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8" borderId="15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0" fontId="17" fillId="8" borderId="11" xfId="0" applyFont="1" applyFill="1" applyBorder="1" applyAlignment="1">
      <alignment horizontal="center" vertical="center"/>
    </xf>
    <xf numFmtId="0" fontId="17" fillId="8" borderId="12" xfId="0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center"/>
    </xf>
    <xf numFmtId="0" fontId="17" fillId="15" borderId="11" xfId="0" applyFont="1" applyFill="1" applyBorder="1" applyAlignment="1">
      <alignment horizontal="center" vertical="center"/>
    </xf>
    <xf numFmtId="0" fontId="17" fillId="15" borderId="12" xfId="0" applyFont="1" applyFill="1" applyBorder="1" applyAlignment="1">
      <alignment horizontal="center" vertical="center"/>
    </xf>
    <xf numFmtId="0" fontId="17" fillId="10" borderId="10" xfId="0" applyFont="1" applyFill="1" applyBorder="1" applyAlignment="1">
      <alignment horizontal="center" vertical="center"/>
    </xf>
    <xf numFmtId="0" fontId="17" fillId="10" borderId="11" xfId="0" applyFont="1" applyFill="1" applyBorder="1" applyAlignment="1">
      <alignment horizontal="center" vertical="center"/>
    </xf>
    <xf numFmtId="0" fontId="17" fillId="10" borderId="12" xfId="0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/>
    </xf>
    <xf numFmtId="0" fontId="17" fillId="13" borderId="10" xfId="0" applyFont="1" applyFill="1" applyBorder="1" applyAlignment="1">
      <alignment horizontal="center" vertical="center"/>
    </xf>
    <xf numFmtId="0" fontId="17" fillId="13" borderId="11" xfId="0" applyFont="1" applyFill="1" applyBorder="1" applyAlignment="1">
      <alignment horizontal="center" vertical="center"/>
    </xf>
    <xf numFmtId="0" fontId="17" fillId="13" borderId="12" xfId="0" applyFont="1" applyFill="1" applyBorder="1" applyAlignment="1">
      <alignment horizontal="center" vertical="center"/>
    </xf>
    <xf numFmtId="0" fontId="17" fillId="11" borderId="10" xfId="0" applyFont="1" applyFill="1" applyBorder="1" applyAlignment="1">
      <alignment horizontal="center" vertical="center"/>
    </xf>
    <xf numFmtId="0" fontId="17" fillId="11" borderId="11" xfId="0" applyFont="1" applyFill="1" applyBorder="1" applyAlignment="1">
      <alignment horizontal="center" vertical="center"/>
    </xf>
    <xf numFmtId="0" fontId="17" fillId="11" borderId="12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9" fillId="0" borderId="24" xfId="0" applyFont="1" applyBorder="1" applyAlignment="1">
      <alignment horizontal="center" vertical="center"/>
    </xf>
    <xf numFmtId="0" fontId="17" fillId="10" borderId="3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center" vertical="center"/>
    </xf>
    <xf numFmtId="0" fontId="17" fillId="10" borderId="36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43" fillId="0" borderId="1" xfId="0" applyFont="1" applyBorder="1" applyAlignment="1">
      <alignment horizontal="center"/>
    </xf>
    <xf numFmtId="164" fontId="64" fillId="0" borderId="30" xfId="1" quotePrefix="1" applyNumberFormat="1" applyFont="1" applyFill="1" applyBorder="1" applyAlignment="1">
      <alignment horizontal="center" vertical="center" textRotation="90"/>
    </xf>
    <xf numFmtId="164" fontId="64" fillId="0" borderId="30" xfId="1" applyNumberFormat="1" applyFont="1" applyFill="1" applyBorder="1" applyAlignment="1">
      <alignment horizontal="center" vertical="center" textRotation="90"/>
    </xf>
    <xf numFmtId="164" fontId="64" fillId="0" borderId="26" xfId="1" applyNumberFormat="1" applyFont="1" applyFill="1" applyBorder="1" applyAlignment="1">
      <alignment horizontal="center" vertical="center" textRotation="90"/>
    </xf>
    <xf numFmtId="164" fontId="64" fillId="0" borderId="1" xfId="1" quotePrefix="1" applyNumberFormat="1" applyFont="1" applyFill="1" applyBorder="1" applyAlignment="1">
      <alignment horizontal="center" vertical="center" textRotation="90"/>
    </xf>
    <xf numFmtId="164" fontId="45" fillId="0" borderId="33" xfId="1" quotePrefix="1" applyNumberFormat="1" applyFont="1" applyFill="1" applyBorder="1" applyAlignment="1">
      <alignment horizontal="center" vertical="center" textRotation="90"/>
    </xf>
    <xf numFmtId="164" fontId="45" fillId="0" borderId="34" xfId="1" quotePrefix="1" applyNumberFormat="1" applyFont="1" applyFill="1" applyBorder="1" applyAlignment="1">
      <alignment horizontal="center" vertical="center" textRotation="90"/>
    </xf>
    <xf numFmtId="164" fontId="45" fillId="0" borderId="35" xfId="1" quotePrefix="1" applyNumberFormat="1" applyFont="1" applyFill="1" applyBorder="1" applyAlignment="1">
      <alignment horizontal="center" vertical="center" textRotation="90"/>
    </xf>
    <xf numFmtId="17" fontId="8" fillId="0" borderId="2" xfId="0" applyNumberFormat="1" applyFont="1" applyBorder="1" applyAlignment="1">
      <alignment horizontal="center" vertical="center"/>
    </xf>
    <xf numFmtId="17" fontId="8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285751</xdr:colOff>
      <xdr:row>2</xdr:row>
      <xdr:rowOff>1248833</xdr:rowOff>
    </xdr:from>
    <xdr:to>
      <xdr:col>23</xdr:col>
      <xdr:colOff>190500</xdr:colOff>
      <xdr:row>3</xdr:row>
      <xdr:rowOff>10583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842251" y="1820333"/>
          <a:ext cx="1746249" cy="43391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Sufyan Adv Pendings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6700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23</xdr:col>
      <xdr:colOff>374651</xdr:colOff>
      <xdr:row>2</xdr:row>
      <xdr:rowOff>670983</xdr:rowOff>
    </xdr:from>
    <xdr:to>
      <xdr:col>26</xdr:col>
      <xdr:colOff>423334</xdr:colOff>
      <xdr:row>2</xdr:row>
      <xdr:rowOff>1104900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772651" y="1242483"/>
          <a:ext cx="1890183" cy="43391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Tariq New Adv pending 6000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35"/>
  <sheetViews>
    <sheetView view="pageBreakPreview" zoomScaleNormal="90" zoomScaleSheetLayoutView="100" workbookViewId="0">
      <pane ySplit="3" topLeftCell="A64" activePane="bottomLeft" state="frozen"/>
      <selection pane="bottomLeft" activeCell="Q73" sqref="Q73"/>
    </sheetView>
  </sheetViews>
  <sheetFormatPr defaultRowHeight="12.75" x14ac:dyDescent="0.2"/>
  <cols>
    <col min="1" max="1" width="3.140625" style="282" customWidth="1"/>
    <col min="2" max="2" width="20.7109375" style="1" customWidth="1"/>
    <col min="3" max="3" width="9" style="1" hidden="1" customWidth="1"/>
    <col min="4" max="4" width="9.85546875" style="1" hidden="1" customWidth="1"/>
    <col min="5" max="5" width="12.28515625" style="2" customWidth="1"/>
    <col min="6" max="6" width="6.85546875" style="2" customWidth="1"/>
    <col min="7" max="7" width="5.7109375" style="5" customWidth="1"/>
    <col min="8" max="8" width="7.7109375" style="2" customWidth="1"/>
    <col min="9" max="9" width="11.85546875" style="2" customWidth="1"/>
    <col min="10" max="10" width="11.28515625" style="2" customWidth="1"/>
    <col min="11" max="11" width="16.140625" style="2" customWidth="1"/>
    <col min="12" max="12" width="12" style="2" customWidth="1"/>
    <col min="13" max="13" width="10" style="2" customWidth="1"/>
    <col min="14" max="14" width="12.7109375" style="3" customWidth="1"/>
    <col min="15" max="15" width="10.85546875" style="2" customWidth="1"/>
    <col min="16" max="16" width="11.5703125" style="3" customWidth="1"/>
    <col min="17" max="17" width="17" customWidth="1"/>
    <col min="18" max="19" width="14.7109375" hidden="1" customWidth="1"/>
    <col min="20" max="20" width="18.28515625" style="14" customWidth="1"/>
    <col min="21" max="21" width="19.5703125" bestFit="1" customWidth="1"/>
    <col min="22" max="22" width="17.42578125" style="2" customWidth="1"/>
    <col min="23" max="23" width="16.140625" bestFit="1" customWidth="1"/>
    <col min="24" max="24" width="13.140625" bestFit="1" customWidth="1"/>
    <col min="25" max="25" width="9.85546875" bestFit="1" customWidth="1"/>
    <col min="26" max="26" width="11.5703125" bestFit="1" customWidth="1"/>
  </cols>
  <sheetData>
    <row r="1" spans="1:22" s="284" customFormat="1" ht="12.75" customHeight="1" x14ac:dyDescent="0.4">
      <c r="A1" s="361" t="s">
        <v>80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59" t="str">
        <f>'Salary Record'!J1</f>
        <v>June</v>
      </c>
      <c r="O1" s="359"/>
      <c r="P1" s="359">
        <f>'Salary Record'!K1</f>
        <v>2023</v>
      </c>
      <c r="Q1" s="286"/>
      <c r="R1" s="283"/>
      <c r="S1" s="283"/>
      <c r="T1" s="283"/>
      <c r="V1" s="285"/>
    </row>
    <row r="2" spans="1:22" s="284" customFormat="1" ht="15.6" customHeight="1" x14ac:dyDescent="0.4">
      <c r="A2" s="363"/>
      <c r="B2" s="364"/>
      <c r="C2" s="364"/>
      <c r="D2" s="364"/>
      <c r="E2" s="364"/>
      <c r="F2" s="364"/>
      <c r="G2" s="364"/>
      <c r="H2" s="364"/>
      <c r="I2" s="364"/>
      <c r="J2" s="364"/>
      <c r="K2" s="364"/>
      <c r="L2" s="364"/>
      <c r="M2" s="364"/>
      <c r="N2" s="360"/>
      <c r="O2" s="360"/>
      <c r="P2" s="360"/>
      <c r="Q2" s="287"/>
      <c r="R2" s="283"/>
      <c r="S2" s="283"/>
      <c r="T2" s="283"/>
      <c r="V2" s="285"/>
    </row>
    <row r="3" spans="1:22" ht="39.75" customHeight="1" x14ac:dyDescent="0.2">
      <c r="A3" s="6"/>
      <c r="B3" s="320"/>
      <c r="C3" s="7"/>
      <c r="D3" s="7"/>
      <c r="E3" s="25" t="s">
        <v>29</v>
      </c>
      <c r="F3" s="27" t="s">
        <v>37</v>
      </c>
      <c r="G3" s="25" t="s">
        <v>38</v>
      </c>
      <c r="H3" s="25" t="s">
        <v>25</v>
      </c>
      <c r="I3" s="25" t="s">
        <v>26</v>
      </c>
      <c r="J3" s="25" t="s">
        <v>27</v>
      </c>
      <c r="K3" s="25" t="s">
        <v>28</v>
      </c>
      <c r="L3" s="25" t="s">
        <v>16</v>
      </c>
      <c r="M3" s="25" t="s">
        <v>20</v>
      </c>
      <c r="N3" s="25" t="s">
        <v>19</v>
      </c>
      <c r="O3" s="26" t="s">
        <v>21</v>
      </c>
      <c r="P3" s="25" t="s">
        <v>22</v>
      </c>
      <c r="Q3" s="25" t="s">
        <v>63</v>
      </c>
      <c r="R3" s="25" t="s">
        <v>108</v>
      </c>
      <c r="S3" s="25" t="s">
        <v>63</v>
      </c>
      <c r="T3" s="128"/>
    </row>
    <row r="4" spans="1:22" s="178" customFormat="1" ht="15.75" x14ac:dyDescent="0.2">
      <c r="A4" s="276">
        <v>1</v>
      </c>
      <c r="B4" s="241" t="s">
        <v>10</v>
      </c>
      <c r="C4" s="261"/>
      <c r="D4" s="210">
        <f>E4</f>
        <v>0</v>
      </c>
      <c r="E4" s="244">
        <v>0</v>
      </c>
      <c r="F4" s="176"/>
      <c r="G4" s="244"/>
      <c r="H4" s="244"/>
      <c r="I4" s="244"/>
      <c r="J4" s="244"/>
      <c r="K4" s="244"/>
      <c r="L4" s="246"/>
      <c r="M4" s="246"/>
      <c r="N4" s="247"/>
      <c r="O4" s="246"/>
      <c r="P4" s="247"/>
      <c r="Q4" s="251"/>
      <c r="R4" s="142">
        <v>0</v>
      </c>
      <c r="S4" s="142"/>
      <c r="T4" s="177"/>
      <c r="V4" s="179"/>
    </row>
    <row r="5" spans="1:22" s="178" customFormat="1" ht="15.75" x14ac:dyDescent="0.2">
      <c r="A5" s="277">
        <v>2</v>
      </c>
      <c r="B5" s="241" t="s">
        <v>3</v>
      </c>
      <c r="C5" s="241"/>
      <c r="D5" s="198">
        <f>E5</f>
        <v>0</v>
      </c>
      <c r="E5" s="248">
        <v>0</v>
      </c>
      <c r="F5" s="248"/>
      <c r="G5" s="248"/>
      <c r="H5" s="248"/>
      <c r="I5" s="248"/>
      <c r="J5" s="248"/>
      <c r="K5" s="248"/>
      <c r="L5" s="110"/>
      <c r="M5" s="110"/>
      <c r="N5" s="262"/>
      <c r="O5" s="110"/>
      <c r="P5" s="262"/>
      <c r="Q5" s="249"/>
      <c r="R5" s="142">
        <v>0</v>
      </c>
      <c r="S5" s="142"/>
      <c r="T5" s="177"/>
      <c r="V5" s="179"/>
    </row>
    <row r="6" spans="1:22" ht="23.25" x14ac:dyDescent="0.25">
      <c r="A6" s="372" t="s">
        <v>89</v>
      </c>
      <c r="B6" s="373"/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4"/>
      <c r="R6" s="140"/>
      <c r="S6" s="140"/>
      <c r="T6" s="130"/>
    </row>
    <row r="7" spans="1:22" s="178" customFormat="1" ht="15.75" x14ac:dyDescent="0.2">
      <c r="A7" s="276">
        <v>1</v>
      </c>
      <c r="B7" s="241" t="s">
        <v>18</v>
      </c>
      <c r="C7" s="378" t="s">
        <v>36</v>
      </c>
      <c r="D7" s="381">
        <f>SUM(Q7:Q10)</f>
        <v>0</v>
      </c>
      <c r="E7" s="110">
        <v>20000</v>
      </c>
      <c r="F7" s="110"/>
      <c r="G7" s="248"/>
      <c r="H7" s="110"/>
      <c r="I7" s="110"/>
      <c r="J7" s="110"/>
      <c r="K7" s="110"/>
      <c r="L7" s="246"/>
      <c r="M7" s="246"/>
      <c r="N7" s="247"/>
      <c r="O7" s="246"/>
      <c r="P7" s="247"/>
      <c r="Q7" s="251">
        <v>0</v>
      </c>
      <c r="R7" s="142"/>
      <c r="S7" s="142"/>
      <c r="T7" s="177"/>
      <c r="U7" s="177"/>
      <c r="V7" s="179"/>
    </row>
    <row r="8" spans="1:22" s="178" customFormat="1" ht="15.75" x14ac:dyDescent="0.2">
      <c r="A8" s="277">
        <v>2</v>
      </c>
      <c r="B8" s="241" t="s">
        <v>166</v>
      </c>
      <c r="C8" s="379"/>
      <c r="D8" s="382"/>
      <c r="E8" s="110">
        <v>25000</v>
      </c>
      <c r="F8" s="110"/>
      <c r="G8" s="248"/>
      <c r="H8" s="110"/>
      <c r="I8" s="110"/>
      <c r="J8" s="110"/>
      <c r="K8" s="110"/>
      <c r="L8" s="246"/>
      <c r="M8" s="246"/>
      <c r="N8" s="247"/>
      <c r="O8" s="246"/>
      <c r="P8" s="247"/>
      <c r="Q8" s="251">
        <v>0</v>
      </c>
      <c r="R8" s="142"/>
      <c r="S8" s="142"/>
      <c r="T8" s="177"/>
      <c r="U8" s="177"/>
      <c r="V8" s="179"/>
    </row>
    <row r="9" spans="1:22" s="178" customFormat="1" ht="15.75" x14ac:dyDescent="0.2">
      <c r="A9" s="276">
        <v>3</v>
      </c>
      <c r="B9" s="241" t="s">
        <v>30</v>
      </c>
      <c r="C9" s="379"/>
      <c r="D9" s="382"/>
      <c r="E9" s="110">
        <v>20000</v>
      </c>
      <c r="F9" s="110"/>
      <c r="G9" s="248"/>
      <c r="H9" s="110"/>
      <c r="I9" s="110"/>
      <c r="J9" s="110"/>
      <c r="K9" s="110"/>
      <c r="L9" s="246"/>
      <c r="M9" s="246"/>
      <c r="N9" s="247"/>
      <c r="O9" s="246"/>
      <c r="P9" s="247"/>
      <c r="Q9" s="251">
        <v>0</v>
      </c>
      <c r="R9" s="142"/>
      <c r="S9" s="142"/>
      <c r="T9" s="177"/>
      <c r="V9" s="179"/>
    </row>
    <row r="10" spans="1:22" s="178" customFormat="1" ht="15.75" x14ac:dyDescent="0.2">
      <c r="A10" s="277">
        <v>4</v>
      </c>
      <c r="B10" s="241" t="s">
        <v>8</v>
      </c>
      <c r="C10" s="380"/>
      <c r="D10" s="383"/>
      <c r="E10" s="110">
        <v>15000</v>
      </c>
      <c r="F10" s="110"/>
      <c r="G10" s="248"/>
      <c r="H10" s="110"/>
      <c r="I10" s="110"/>
      <c r="J10" s="110"/>
      <c r="K10" s="110"/>
      <c r="L10" s="246"/>
      <c r="M10" s="246"/>
      <c r="N10" s="247"/>
      <c r="O10" s="246"/>
      <c r="P10" s="247"/>
      <c r="Q10" s="251">
        <v>0</v>
      </c>
      <c r="R10" s="142"/>
      <c r="S10" s="142"/>
      <c r="T10" s="177"/>
      <c r="V10" s="180"/>
    </row>
    <row r="11" spans="1:22" s="272" customFormat="1" ht="21" x14ac:dyDescent="0.3">
      <c r="A11" s="367" t="s">
        <v>2</v>
      </c>
      <c r="B11" s="368"/>
      <c r="C11" s="312"/>
      <c r="D11" s="312"/>
      <c r="E11" s="314">
        <f>SUM(E7:E10)</f>
        <v>80000</v>
      </c>
      <c r="F11" s="312"/>
      <c r="G11" s="312"/>
      <c r="H11" s="312"/>
      <c r="I11" s="312"/>
      <c r="J11" s="312"/>
      <c r="K11" s="312"/>
      <c r="L11" s="312"/>
      <c r="M11" s="312"/>
      <c r="N11" s="312"/>
      <c r="O11" s="312"/>
      <c r="P11" s="312"/>
      <c r="Q11" s="270">
        <f>SUM(Q7:Q10)</f>
        <v>0</v>
      </c>
      <c r="R11" s="306">
        <f t="shared" ref="R11:S11" si="0">SUM(R7:R10)</f>
        <v>0</v>
      </c>
      <c r="S11" s="306">
        <f t="shared" si="0"/>
        <v>0</v>
      </c>
      <c r="T11" s="271"/>
      <c r="V11" s="273"/>
    </row>
    <row r="12" spans="1:22" s="272" customFormat="1" ht="21" x14ac:dyDescent="0.3">
      <c r="A12" s="308"/>
      <c r="B12" s="308"/>
      <c r="C12" s="308"/>
      <c r="D12" s="308"/>
      <c r="E12" s="308"/>
      <c r="F12" s="308"/>
      <c r="G12" s="308"/>
      <c r="H12" s="308"/>
      <c r="I12" s="308"/>
      <c r="J12" s="308"/>
      <c r="K12" s="308"/>
      <c r="L12" s="308"/>
      <c r="M12" s="308"/>
      <c r="N12" s="308"/>
      <c r="O12" s="308"/>
      <c r="P12" s="308"/>
      <c r="Q12" s="309"/>
      <c r="R12" s="310"/>
      <c r="S12" s="310"/>
      <c r="T12" s="310"/>
      <c r="V12" s="311"/>
    </row>
    <row r="13" spans="1:22" s="226" customFormat="1" ht="21" customHeight="1" x14ac:dyDescent="0.2">
      <c r="A13" s="375" t="s">
        <v>90</v>
      </c>
      <c r="B13" s="376"/>
      <c r="C13" s="376"/>
      <c r="D13" s="376"/>
      <c r="E13" s="376"/>
      <c r="F13" s="376"/>
      <c r="G13" s="376"/>
      <c r="H13" s="376"/>
      <c r="I13" s="376"/>
      <c r="J13" s="376"/>
      <c r="K13" s="376"/>
      <c r="L13" s="376"/>
      <c r="M13" s="376"/>
      <c r="N13" s="376"/>
      <c r="O13" s="376"/>
      <c r="P13" s="376"/>
      <c r="Q13" s="377"/>
      <c r="R13" s="307"/>
      <c r="S13" s="307"/>
      <c r="T13" s="225"/>
      <c r="V13" s="227"/>
    </row>
    <row r="14" spans="1:22" s="178" customFormat="1" ht="15.75" x14ac:dyDescent="0.2">
      <c r="A14" s="277">
        <v>1</v>
      </c>
      <c r="B14" s="241" t="str">
        <f>'Salary Record'!C75</f>
        <v>Ashraf Bhai</v>
      </c>
      <c r="C14" s="181"/>
      <c r="D14" s="182"/>
      <c r="E14" s="110">
        <f>'Salary Record'!K74</f>
        <v>65000</v>
      </c>
      <c r="F14" s="110">
        <f>'Salary Record'!C80</f>
        <v>29</v>
      </c>
      <c r="G14" s="248">
        <f>'Salary Record'!C81</f>
        <v>1</v>
      </c>
      <c r="H14" s="110">
        <f>'Salary Record'!I79</f>
        <v>0</v>
      </c>
      <c r="I14" s="110">
        <f>'Salary Record'!I78</f>
        <v>29</v>
      </c>
      <c r="J14" s="252">
        <f>'Salary Record'!K79</f>
        <v>0</v>
      </c>
      <c r="K14" s="252">
        <f>'Salary Record'!K80</f>
        <v>62833.333333333328</v>
      </c>
      <c r="L14" s="253">
        <f>'Salary Record'!G78</f>
        <v>0</v>
      </c>
      <c r="M14" s="254">
        <f>'Salary Record'!G79</f>
        <v>10000</v>
      </c>
      <c r="N14" s="255">
        <f>'Salary Record'!G80</f>
        <v>10000</v>
      </c>
      <c r="O14" s="254">
        <f>'Salary Record'!G81</f>
        <v>2000</v>
      </c>
      <c r="P14" s="255">
        <f>'Salary Record'!G82</f>
        <v>8000</v>
      </c>
      <c r="Q14" s="256">
        <f>'Salary Record'!K82</f>
        <v>60833.333333333328</v>
      </c>
      <c r="R14" s="142">
        <v>22000</v>
      </c>
      <c r="S14" s="142">
        <f>Q14-R14</f>
        <v>38833.333333333328</v>
      </c>
      <c r="T14" s="177"/>
      <c r="U14" s="177"/>
      <c r="V14" s="185"/>
    </row>
    <row r="15" spans="1:22" s="178" customFormat="1" ht="15.75" x14ac:dyDescent="0.2">
      <c r="A15" s="277">
        <v>2</v>
      </c>
      <c r="B15" s="241" t="s">
        <v>14</v>
      </c>
      <c r="C15" s="181"/>
      <c r="D15" s="182"/>
      <c r="E15" s="110">
        <f>'Salary Record'!K58</f>
        <v>45000</v>
      </c>
      <c r="F15" s="110">
        <f>'Salary Record'!C64</f>
        <v>29</v>
      </c>
      <c r="G15" s="248">
        <f>'Salary Record'!C65</f>
        <v>1</v>
      </c>
      <c r="H15" s="110">
        <f>'Salary Record'!I63</f>
        <v>0</v>
      </c>
      <c r="I15" s="110">
        <f>'Salary Record'!I62</f>
        <v>30</v>
      </c>
      <c r="J15" s="244">
        <f>'Salary Record'!K63</f>
        <v>0</v>
      </c>
      <c r="K15" s="110">
        <f>'Salary Record'!K64</f>
        <v>45000</v>
      </c>
      <c r="L15" s="245">
        <f>'Salary Record'!G62</f>
        <v>0</v>
      </c>
      <c r="M15" s="245">
        <f>'Salary Record'!G63</f>
        <v>25000</v>
      </c>
      <c r="N15" s="245">
        <f>'Salary Record'!G64</f>
        <v>25000</v>
      </c>
      <c r="O15" s="245">
        <f>'Salary Record'!G65</f>
        <v>25000</v>
      </c>
      <c r="P15" s="245">
        <f>'Salary Record'!G66</f>
        <v>0</v>
      </c>
      <c r="Q15" s="251">
        <f>'Salary Record'!K66</f>
        <v>20000</v>
      </c>
      <c r="R15" s="142"/>
      <c r="S15" s="142"/>
      <c r="T15" s="177"/>
      <c r="U15" s="177"/>
      <c r="V15" s="179"/>
    </row>
    <row r="16" spans="1:22" s="178" customFormat="1" ht="21" customHeight="1" x14ac:dyDescent="0.2">
      <c r="A16" s="276">
        <v>3</v>
      </c>
      <c r="B16" s="241" t="s">
        <v>17</v>
      </c>
      <c r="C16" s="183" t="s">
        <v>34</v>
      </c>
      <c r="D16" s="184">
        <f>SUM(Q16:Q45)</f>
        <v>944262.5</v>
      </c>
      <c r="E16" s="110">
        <f>'Salary Record'!K9</f>
        <v>60000</v>
      </c>
      <c r="F16" s="110">
        <f>'Salary Record'!C15</f>
        <v>29</v>
      </c>
      <c r="G16" s="110">
        <f>'Salary Record'!C16</f>
        <v>1</v>
      </c>
      <c r="H16" s="244">
        <f>'Salary Record'!I14</f>
        <v>0</v>
      </c>
      <c r="I16" s="110">
        <f>'Salary Record'!I13</f>
        <v>30</v>
      </c>
      <c r="J16" s="244">
        <f>'Salary Record'!K14</f>
        <v>0</v>
      </c>
      <c r="K16" s="110">
        <f>'Salary Record'!K15</f>
        <v>60000</v>
      </c>
      <c r="L16" s="245">
        <f>'Salary Record'!U9</f>
        <v>0</v>
      </c>
      <c r="M16" s="246">
        <f>'Salary Record'!V9</f>
        <v>0</v>
      </c>
      <c r="N16" s="247">
        <f>'Salary Record'!W9</f>
        <v>0</v>
      </c>
      <c r="O16" s="247">
        <f>'Salary Record'!X9</f>
        <v>0</v>
      </c>
      <c r="P16" s="247">
        <f>'Salary Record'!Y9</f>
        <v>0</v>
      </c>
      <c r="Q16" s="251">
        <f>'Salary Record'!K17</f>
        <v>60000</v>
      </c>
      <c r="R16" s="142"/>
      <c r="S16" s="142"/>
      <c r="T16" s="177"/>
      <c r="U16" s="177"/>
      <c r="V16" s="179"/>
    </row>
    <row r="17" spans="1:24" s="178" customFormat="1" ht="21" customHeight="1" x14ac:dyDescent="0.2">
      <c r="A17" s="277">
        <v>4</v>
      </c>
      <c r="B17" s="348" t="str">
        <f>'Salary Record'!C123</f>
        <v>Ahsan Khan</v>
      </c>
      <c r="C17" s="197"/>
      <c r="D17" s="198"/>
      <c r="E17" s="245">
        <f>'Salary Record'!K122</f>
        <v>38000</v>
      </c>
      <c r="F17" s="245">
        <f>'Salary Record'!C128</f>
        <v>29</v>
      </c>
      <c r="G17" s="250">
        <f>'Salary Record'!C129</f>
        <v>1</v>
      </c>
      <c r="H17" s="245">
        <f>'Salary Record'!I127</f>
        <v>0</v>
      </c>
      <c r="I17" s="245">
        <f>'Salary Record'!I126</f>
        <v>29</v>
      </c>
      <c r="J17" s="244">
        <f>'Salary Record'!K127</f>
        <v>0</v>
      </c>
      <c r="K17" s="244">
        <f>'Salary Record'!K128</f>
        <v>36733.333333333336</v>
      </c>
      <c r="L17" s="245">
        <f>'Salary Record'!G126</f>
        <v>35000</v>
      </c>
      <c r="M17" s="245">
        <f>'Salary Record'!G127</f>
        <v>25000</v>
      </c>
      <c r="N17" s="247">
        <f>'Salary Record'!G128</f>
        <v>60000</v>
      </c>
      <c r="O17" s="245">
        <f>'Salary Record'!G129</f>
        <v>25000</v>
      </c>
      <c r="P17" s="247">
        <f>'Salary Record'!G130</f>
        <v>35000</v>
      </c>
      <c r="Q17" s="251">
        <f>'Salary Record'!K130</f>
        <v>11733.333333333336</v>
      </c>
      <c r="R17" s="206"/>
      <c r="S17" s="142"/>
      <c r="T17" s="177"/>
      <c r="V17" s="179">
        <f>Q14+Q15+Q16+Q37+Q39+Q71+Q72</f>
        <v>247541.66666666666</v>
      </c>
      <c r="W17" s="177"/>
    </row>
    <row r="18" spans="1:24" s="178" customFormat="1" ht="15.75" x14ac:dyDescent="0.2">
      <c r="A18" s="277">
        <v>5</v>
      </c>
      <c r="B18" s="241" t="str">
        <f>'Salary Record'!C26</f>
        <v>Mossi</v>
      </c>
      <c r="C18" s="186"/>
      <c r="D18" s="187"/>
      <c r="E18" s="110">
        <f>'Salary Record'!K25</f>
        <v>5000</v>
      </c>
      <c r="F18" s="110">
        <f>'Salary Record'!C31</f>
        <v>0</v>
      </c>
      <c r="G18" s="248">
        <f>'Salary Record'!C32</f>
        <v>0</v>
      </c>
      <c r="H18" s="110"/>
      <c r="I18" s="110">
        <f>'Salary Record'!I29</f>
        <v>0</v>
      </c>
      <c r="J18" s="110"/>
      <c r="K18" s="110">
        <f>'Salary Record'!K31</f>
        <v>5000</v>
      </c>
      <c r="L18" s="246">
        <f>'Salary Record'!G29</f>
        <v>0</v>
      </c>
      <c r="M18" s="246">
        <f>'Salary Record'!G30</f>
        <v>5000</v>
      </c>
      <c r="N18" s="247">
        <f>'Salary Record'!G31</f>
        <v>5000</v>
      </c>
      <c r="O18" s="246">
        <f>'Salary Record'!G32</f>
        <v>5000</v>
      </c>
      <c r="P18" s="247">
        <f>'Salary Record'!G33</f>
        <v>0</v>
      </c>
      <c r="Q18" s="251">
        <f>'Salary Record'!K33</f>
        <v>0</v>
      </c>
      <c r="R18" s="142"/>
      <c r="S18" s="142"/>
      <c r="T18" s="177"/>
      <c r="V18" s="179"/>
    </row>
    <row r="19" spans="1:24" s="178" customFormat="1" ht="15.75" x14ac:dyDescent="0.2">
      <c r="A19" s="276">
        <v>6</v>
      </c>
      <c r="B19" s="241" t="str">
        <f>'Salary Record'!C42</f>
        <v>Umer Farooq</v>
      </c>
      <c r="C19" s="181"/>
      <c r="D19" s="182"/>
      <c r="E19" s="110">
        <f>'Salary Record'!K41</f>
        <v>18000</v>
      </c>
      <c r="F19" s="110">
        <f>'Salary Record'!C47</f>
        <v>0</v>
      </c>
      <c r="G19" s="248">
        <f>'Salary Record'!C48</f>
        <v>0</v>
      </c>
      <c r="H19" s="110">
        <f>'Salary Record'!I46</f>
        <v>0</v>
      </c>
      <c r="I19" s="110">
        <f>'Salary Record'!I45</f>
        <v>30</v>
      </c>
      <c r="J19" s="257">
        <f>'Salary Record'!K46</f>
        <v>0</v>
      </c>
      <c r="K19" s="257">
        <f>'Salary Record'!K47</f>
        <v>18000</v>
      </c>
      <c r="L19" s="258">
        <f>'Salary Record'!G45</f>
        <v>5000</v>
      </c>
      <c r="M19" s="258">
        <f>'Salary Record'!G46</f>
        <v>18000</v>
      </c>
      <c r="N19" s="259">
        <f>'Salary Record'!G47</f>
        <v>23000</v>
      </c>
      <c r="O19" s="258">
        <f>'Salary Record'!G48</f>
        <v>18000</v>
      </c>
      <c r="P19" s="259">
        <f>'Salary Record'!G49</f>
        <v>5000</v>
      </c>
      <c r="Q19" s="260">
        <f>'Salary Record'!K49</f>
        <v>0</v>
      </c>
      <c r="R19" s="142"/>
      <c r="S19" s="142"/>
      <c r="T19" s="177"/>
      <c r="U19" s="177"/>
      <c r="V19" s="179"/>
    </row>
    <row r="20" spans="1:24" s="272" customFormat="1" ht="21" x14ac:dyDescent="0.3">
      <c r="A20" s="367" t="s">
        <v>2</v>
      </c>
      <c r="B20" s="368"/>
      <c r="C20" s="312"/>
      <c r="D20" s="312"/>
      <c r="E20" s="314">
        <f>SUM(E14:E19)</f>
        <v>231000</v>
      </c>
      <c r="F20" s="312"/>
      <c r="G20" s="312"/>
      <c r="H20" s="312"/>
      <c r="I20" s="312"/>
      <c r="J20" s="313">
        <f>SUM(J15:J19)</f>
        <v>0</v>
      </c>
      <c r="K20" s="313">
        <f>SUM(K14:K19)</f>
        <v>227566.66666666666</v>
      </c>
      <c r="L20" s="313"/>
      <c r="M20" s="312"/>
      <c r="N20" s="312"/>
      <c r="O20" s="312"/>
      <c r="P20" s="312"/>
      <c r="Q20" s="314">
        <f>SUM(Q14:Q19)</f>
        <v>152566.66666666666</v>
      </c>
      <c r="R20" s="306">
        <f t="shared" ref="R20:S20" si="1">SUM(R15:R19)</f>
        <v>0</v>
      </c>
      <c r="S20" s="306">
        <f t="shared" si="1"/>
        <v>0</v>
      </c>
      <c r="T20" s="271"/>
      <c r="U20" s="310"/>
      <c r="V20" s="273"/>
    </row>
    <row r="21" spans="1:24" s="272" customFormat="1" ht="21" x14ac:dyDescent="0.3">
      <c r="A21" s="308"/>
      <c r="B21" s="308"/>
      <c r="C21" s="308"/>
      <c r="D21" s="308"/>
      <c r="E21" s="308"/>
      <c r="F21" s="308"/>
      <c r="G21" s="308"/>
      <c r="H21" s="308"/>
      <c r="I21" s="308"/>
      <c r="J21" s="308"/>
      <c r="K21" s="308"/>
      <c r="L21" s="308"/>
      <c r="M21" s="308"/>
      <c r="N21" s="308"/>
      <c r="O21" s="308"/>
      <c r="P21" s="308"/>
      <c r="Q21" s="309"/>
      <c r="R21" s="310"/>
      <c r="S21" s="310"/>
      <c r="T21" s="310"/>
      <c r="V21" s="311"/>
    </row>
    <row r="22" spans="1:24" s="222" customFormat="1" ht="21" customHeight="1" x14ac:dyDescent="0.2">
      <c r="A22" s="372" t="s">
        <v>94</v>
      </c>
      <c r="B22" s="373"/>
      <c r="C22" s="373"/>
      <c r="D22" s="373"/>
      <c r="E22" s="373"/>
      <c r="F22" s="373"/>
      <c r="G22" s="373"/>
      <c r="H22" s="373"/>
      <c r="I22" s="373"/>
      <c r="J22" s="373"/>
      <c r="K22" s="373"/>
      <c r="L22" s="373"/>
      <c r="M22" s="373"/>
      <c r="N22" s="373"/>
      <c r="O22" s="373"/>
      <c r="P22" s="373"/>
      <c r="Q22" s="374"/>
      <c r="R22" s="220"/>
      <c r="S22" s="220"/>
      <c r="T22" s="221"/>
      <c r="U22" s="228"/>
      <c r="V22" s="223"/>
    </row>
    <row r="23" spans="1:24" s="192" customFormat="1" ht="20.25" customHeight="1" x14ac:dyDescent="0.2">
      <c r="A23" s="277">
        <v>1</v>
      </c>
      <c r="B23" s="353" t="str">
        <f>'Salary Record'!C554</f>
        <v>Khizer Mujeeb</v>
      </c>
      <c r="C23" s="188"/>
      <c r="D23" s="189"/>
      <c r="E23" s="263">
        <f>'Salary Record'!K553</f>
        <v>29500</v>
      </c>
      <c r="F23" s="263">
        <f>'Salary Record'!C559</f>
        <v>30</v>
      </c>
      <c r="G23" s="264">
        <f>'Salary Record'!C560</f>
        <v>0</v>
      </c>
      <c r="H23" s="263">
        <f>'Salary Record'!I558</f>
        <v>58</v>
      </c>
      <c r="I23" s="263">
        <f>'Salary Record'!I557</f>
        <v>30</v>
      </c>
      <c r="J23" s="237">
        <f>'Salary Record'!K558</f>
        <v>7129.166666666667</v>
      </c>
      <c r="K23" s="263">
        <f>'Salary Record'!K559</f>
        <v>36629.166666666664</v>
      </c>
      <c r="L23" s="238">
        <f>'Salary Record'!G557</f>
        <v>0</v>
      </c>
      <c r="M23" s="239">
        <f>'Salary Record'!G558</f>
        <v>0</v>
      </c>
      <c r="N23" s="240">
        <f>'Salary Record'!G559</f>
        <v>0</v>
      </c>
      <c r="O23" s="239">
        <f>'Salary Record'!G560</f>
        <v>0</v>
      </c>
      <c r="P23" s="240">
        <f>'Salary Record'!G561</f>
        <v>0</v>
      </c>
      <c r="Q23" s="302">
        <f>'Salary Record'!K561</f>
        <v>36629.166666666664</v>
      </c>
      <c r="R23" s="190"/>
      <c r="S23" s="191">
        <f>Q23-R23</f>
        <v>36629.166666666664</v>
      </c>
      <c r="T23" s="177" t="s">
        <v>132</v>
      </c>
      <c r="V23" s="193"/>
    </row>
    <row r="24" spans="1:24" ht="20.25" customHeight="1" x14ac:dyDescent="0.25">
      <c r="A24" s="279">
        <v>2</v>
      </c>
      <c r="B24" s="326" t="str">
        <f>'Salary Record'!C522</f>
        <v>Hassan Khan</v>
      </c>
      <c r="C24" s="99"/>
      <c r="D24" s="92"/>
      <c r="E24" s="22">
        <f>'Salary Record'!K521</f>
        <v>24500</v>
      </c>
      <c r="F24" s="22">
        <f>'Salary Record'!C527</f>
        <v>30</v>
      </c>
      <c r="G24" s="16">
        <f>'Salary Record'!C528</f>
        <v>0</v>
      </c>
      <c r="H24" s="22">
        <f>'Salary Record'!I526</f>
        <v>82</v>
      </c>
      <c r="I24" s="22">
        <f>'Salary Record'!I525</f>
        <v>30</v>
      </c>
      <c r="J24" s="16">
        <f>'Salary Record'!K526</f>
        <v>8370.8333333333321</v>
      </c>
      <c r="K24" s="10">
        <f>'Salary Record'!K527</f>
        <v>32870.833333333328</v>
      </c>
      <c r="L24" s="9">
        <f>'Salary Record'!G525</f>
        <v>0</v>
      </c>
      <c r="M24" s="17">
        <f>'Salary Record'!G526</f>
        <v>0</v>
      </c>
      <c r="N24" s="18">
        <f>'Salary Record'!G527</f>
        <v>0</v>
      </c>
      <c r="O24" s="17">
        <f>'Salary Record'!G528</f>
        <v>0</v>
      </c>
      <c r="P24" s="18">
        <f>'Salary Record'!G529</f>
        <v>0</v>
      </c>
      <c r="Q24" s="142">
        <f>'Salary Record'!K529</f>
        <v>32870.833333333328</v>
      </c>
      <c r="R24" s="23"/>
      <c r="S24" s="23"/>
      <c r="T24" s="129"/>
    </row>
    <row r="25" spans="1:24" s="178" customFormat="1" ht="21" customHeight="1" x14ac:dyDescent="0.2">
      <c r="A25" s="277">
        <v>3</v>
      </c>
      <c r="B25" s="326" t="str">
        <f>'Salary Record'!C538</f>
        <v>Noor Islam</v>
      </c>
      <c r="C25" s="209"/>
      <c r="D25" s="210"/>
      <c r="E25" s="110">
        <f>'Salary Record'!K537</f>
        <v>30000</v>
      </c>
      <c r="F25" s="110">
        <f>'Salary Record'!C543</f>
        <v>30</v>
      </c>
      <c r="G25" s="248">
        <f>'Salary Record'!C544</f>
        <v>0</v>
      </c>
      <c r="H25" s="110">
        <f>'Salary Record'!I542</f>
        <v>12</v>
      </c>
      <c r="I25" s="110">
        <f>'Salary Record'!I541</f>
        <v>30</v>
      </c>
      <c r="J25" s="248">
        <f>'Salary Record'!K542</f>
        <v>1500</v>
      </c>
      <c r="K25" s="244">
        <f>'Salary Record'!K543</f>
        <v>31500</v>
      </c>
      <c r="L25" s="245">
        <f>'Salary Record'!G541</f>
        <v>0</v>
      </c>
      <c r="M25" s="246">
        <f>'Salary Record'!G542</f>
        <v>0</v>
      </c>
      <c r="N25" s="247" t="str">
        <f>'Salary Record'!G543</f>
        <v/>
      </c>
      <c r="O25" s="246">
        <f>'Salary Record'!G544</f>
        <v>0</v>
      </c>
      <c r="P25" s="247" t="str">
        <f>'Salary Record'!G545</f>
        <v/>
      </c>
      <c r="Q25" s="249">
        <f>'Salary Record'!K545</f>
        <v>31500</v>
      </c>
      <c r="R25" s="142"/>
      <c r="S25" s="142"/>
      <c r="T25" s="177"/>
      <c r="V25" s="179"/>
    </row>
    <row r="26" spans="1:24" s="178" customFormat="1" ht="20.25" customHeight="1" x14ac:dyDescent="0.25">
      <c r="A26" s="279">
        <v>4</v>
      </c>
      <c r="B26" s="352" t="str">
        <f>'Salary Record'!C506</f>
        <v>Junaid</v>
      </c>
      <c r="C26" s="194"/>
      <c r="D26" s="195"/>
      <c r="E26" s="245">
        <f>'Salary Record'!K505</f>
        <v>24500</v>
      </c>
      <c r="F26" s="330">
        <f>'Salary Record'!C511</f>
        <v>30</v>
      </c>
      <c r="G26" s="331">
        <f>'Salary Record'!C512</f>
        <v>0</v>
      </c>
      <c r="H26" s="333">
        <f>'Salary Record'!I510</f>
        <v>88</v>
      </c>
      <c r="I26" s="245">
        <f>'Salary Record'!I509</f>
        <v>30</v>
      </c>
      <c r="J26" s="244">
        <f>'Salary Record'!K510</f>
        <v>8983.3333333333321</v>
      </c>
      <c r="K26" s="110">
        <f>'Salary Record'!K511</f>
        <v>33483.333333333328</v>
      </c>
      <c r="L26" s="245">
        <f>'Salary Record'!G509</f>
        <v>0</v>
      </c>
      <c r="M26" s="245">
        <f>'Salary Record'!G510</f>
        <v>0</v>
      </c>
      <c r="N26" s="247">
        <f>'Salary Record'!G511</f>
        <v>0</v>
      </c>
      <c r="O26" s="245">
        <f>'Salary Record'!G512</f>
        <v>0</v>
      </c>
      <c r="P26" s="247">
        <f>'Salary Record'!G513</f>
        <v>0</v>
      </c>
      <c r="Q26" s="249">
        <f>'Salary Record'!K513</f>
        <v>33483.333333333328</v>
      </c>
      <c r="R26" s="196"/>
      <c r="S26" s="142">
        <f>Q26-R26</f>
        <v>33483.333333333328</v>
      </c>
      <c r="T26" s="177"/>
      <c r="V26" s="179"/>
      <c r="X26" s="177"/>
    </row>
    <row r="27" spans="1:24" s="272" customFormat="1" ht="21" x14ac:dyDescent="0.3">
      <c r="A27" s="367" t="s">
        <v>2</v>
      </c>
      <c r="B27" s="368"/>
      <c r="C27" s="312"/>
      <c r="D27" s="312"/>
      <c r="E27" s="314">
        <f>SUM(E23:E26)</f>
        <v>108500</v>
      </c>
      <c r="F27" s="312"/>
      <c r="G27" s="312"/>
      <c r="H27" s="312"/>
      <c r="I27" s="312"/>
      <c r="J27" s="327">
        <f>SUM(J23:J26)</f>
        <v>25983.333333333332</v>
      </c>
      <c r="K27" s="312"/>
      <c r="L27" s="312"/>
      <c r="M27" s="312"/>
      <c r="N27" s="312"/>
      <c r="O27" s="312"/>
      <c r="P27" s="312"/>
      <c r="Q27" s="270">
        <f>SUM(Q23:Q26)</f>
        <v>134483.33333333331</v>
      </c>
      <c r="R27" s="306">
        <f>SUM(R21:R26)</f>
        <v>0</v>
      </c>
      <c r="S27" s="306">
        <f>SUM(S21:S26)</f>
        <v>70112.5</v>
      </c>
      <c r="T27" s="271">
        <f>Q27-Q25</f>
        <v>102983.33333333331</v>
      </c>
      <c r="U27" s="310"/>
      <c r="V27" s="273"/>
    </row>
    <row r="28" spans="1:24" s="272" customFormat="1" ht="21" x14ac:dyDescent="0.3">
      <c r="A28" s="308"/>
      <c r="B28" s="308"/>
      <c r="C28" s="308"/>
      <c r="D28" s="308"/>
      <c r="E28" s="308"/>
      <c r="F28" s="308"/>
      <c r="G28" s="308"/>
      <c r="H28" s="308"/>
      <c r="I28" s="308"/>
      <c r="J28" s="308"/>
      <c r="K28" s="308"/>
      <c r="L28" s="308"/>
      <c r="M28" s="308"/>
      <c r="N28" s="308"/>
      <c r="O28" s="308"/>
      <c r="P28" s="308"/>
      <c r="Q28" s="309"/>
      <c r="R28" s="310"/>
      <c r="S28" s="310"/>
      <c r="T28" s="310"/>
      <c r="V28" s="311"/>
    </row>
    <row r="29" spans="1:24" s="226" customFormat="1" ht="21" customHeight="1" x14ac:dyDescent="0.2">
      <c r="A29" s="375" t="s">
        <v>93</v>
      </c>
      <c r="B29" s="376"/>
      <c r="C29" s="376"/>
      <c r="D29" s="376"/>
      <c r="E29" s="376"/>
      <c r="F29" s="376"/>
      <c r="G29" s="376"/>
      <c r="H29" s="376"/>
      <c r="I29" s="376"/>
      <c r="J29" s="376"/>
      <c r="K29" s="376"/>
      <c r="L29" s="376"/>
      <c r="M29" s="376"/>
      <c r="N29" s="376"/>
      <c r="O29" s="376"/>
      <c r="P29" s="376"/>
      <c r="Q29" s="377"/>
      <c r="R29" s="224"/>
      <c r="S29" s="224"/>
      <c r="T29" s="337"/>
      <c r="V29" s="227"/>
    </row>
    <row r="30" spans="1:24" s="178" customFormat="1" ht="21" customHeight="1" x14ac:dyDescent="0.2">
      <c r="A30" s="276">
        <v>1</v>
      </c>
      <c r="B30" s="352" t="str">
        <f>'Salary Record'!C602</f>
        <v>Ahsan Razak</v>
      </c>
      <c r="C30" s="199"/>
      <c r="D30" s="200"/>
      <c r="E30" s="110">
        <f>'Salary Record'!K601</f>
        <v>26500</v>
      </c>
      <c r="F30" s="110">
        <f>'Salary Record'!C607</f>
        <v>30</v>
      </c>
      <c r="G30" s="248">
        <f>'Salary Record'!C608</f>
        <v>0</v>
      </c>
      <c r="H30" s="110">
        <f>'Salary Record'!I606</f>
        <v>97</v>
      </c>
      <c r="I30" s="110">
        <f>'Salary Record'!I605</f>
        <v>30</v>
      </c>
      <c r="J30" s="248">
        <f>'Salary Record'!K606</f>
        <v>10710.416666666668</v>
      </c>
      <c r="K30" s="248">
        <f>'Salary Record'!K607</f>
        <v>37210.416666666672</v>
      </c>
      <c r="L30" s="267">
        <f>'Salary Record'!G605</f>
        <v>0</v>
      </c>
      <c r="M30" s="110">
        <f>'Salary Record'!G606</f>
        <v>45000</v>
      </c>
      <c r="N30" s="262">
        <f>'Salary Record'!G607</f>
        <v>45000</v>
      </c>
      <c r="O30" s="110">
        <f>'Salary Record'!G608</f>
        <v>25000</v>
      </c>
      <c r="P30" s="262">
        <f>'Salary Record'!G609</f>
        <v>20000</v>
      </c>
      <c r="Q30" s="249">
        <f>'Salary Record'!K609</f>
        <v>12210.416666666672</v>
      </c>
      <c r="R30" s="142">
        <v>5000</v>
      </c>
      <c r="S30" s="142">
        <f>Q30-R30</f>
        <v>7210.4166666666715</v>
      </c>
      <c r="T30" s="177" t="s">
        <v>132</v>
      </c>
      <c r="U30" s="177"/>
      <c r="V30" s="185"/>
    </row>
    <row r="31" spans="1:24" s="178" customFormat="1" ht="21" customHeight="1" x14ac:dyDescent="0.2">
      <c r="A31" s="276">
        <v>2</v>
      </c>
      <c r="B31" s="352" t="str">
        <f>'Salary Record'!C570</f>
        <v>Suleman Dilawer</v>
      </c>
      <c r="C31" s="197"/>
      <c r="D31" s="198"/>
      <c r="E31" s="110">
        <f>'Salary Record'!K569</f>
        <v>27000</v>
      </c>
      <c r="F31" s="110">
        <f>'Salary Record'!C575</f>
        <v>30</v>
      </c>
      <c r="G31" s="248">
        <f>'Salary Record'!C576</f>
        <v>0</v>
      </c>
      <c r="H31" s="110">
        <f>'Salary Record'!I574</f>
        <v>70</v>
      </c>
      <c r="I31" s="110">
        <f>'Salary Record'!I573</f>
        <v>30</v>
      </c>
      <c r="J31" s="244">
        <f>'Salary Record'!K574</f>
        <v>7875</v>
      </c>
      <c r="K31" s="244">
        <f>'Salary Record'!K575</f>
        <v>34875</v>
      </c>
      <c r="L31" s="245">
        <f>'Salary Record'!G573</f>
        <v>0</v>
      </c>
      <c r="M31" s="246">
        <f>'Salary Record'!G574</f>
        <v>27000</v>
      </c>
      <c r="N31" s="247">
        <f>'Salary Record'!G575</f>
        <v>27000</v>
      </c>
      <c r="O31" s="246">
        <f>'Salary Record'!G576</f>
        <v>27000</v>
      </c>
      <c r="P31" s="247">
        <f>'Salary Record'!G577</f>
        <v>0</v>
      </c>
      <c r="Q31" s="249">
        <f>'Salary Record'!K577</f>
        <v>7875</v>
      </c>
      <c r="R31" s="206">
        <v>0</v>
      </c>
      <c r="S31" s="142"/>
      <c r="T31" s="177"/>
      <c r="V31" s="179"/>
    </row>
    <row r="32" spans="1:24" s="178" customFormat="1" ht="21" customHeight="1" x14ac:dyDescent="0.2">
      <c r="A32" s="276">
        <v>3</v>
      </c>
      <c r="B32" s="352" t="str">
        <f>'Salary Record'!C586</f>
        <v>Mumtaz Ali Chakar</v>
      </c>
      <c r="C32" s="197"/>
      <c r="D32" s="198"/>
      <c r="E32" s="266">
        <f>'Salary Record'!K585</f>
        <v>34500</v>
      </c>
      <c r="F32" s="266">
        <f>'Salary Record'!C591</f>
        <v>30</v>
      </c>
      <c r="G32" s="244">
        <f>'Salary Record'!C592</f>
        <v>0</v>
      </c>
      <c r="H32" s="266">
        <f>'Salary Record'!I590</f>
        <v>10</v>
      </c>
      <c r="I32" s="266">
        <f>'Salary Record'!I589</f>
        <v>30</v>
      </c>
      <c r="J32" s="244">
        <f>'Salary Record'!K590</f>
        <v>1437.5</v>
      </c>
      <c r="K32" s="110">
        <f>'Salary Record'!K591</f>
        <v>35937.5</v>
      </c>
      <c r="L32" s="245">
        <f>'Salary Record'!G589</f>
        <v>0</v>
      </c>
      <c r="M32" s="246">
        <f>'Salary Record'!G590</f>
        <v>34500</v>
      </c>
      <c r="N32" s="247">
        <f>'Salary Record'!G591</f>
        <v>34500</v>
      </c>
      <c r="O32" s="246">
        <f>'Salary Record'!G592</f>
        <v>34500</v>
      </c>
      <c r="P32" s="247">
        <f>'Salary Record'!G593</f>
        <v>0</v>
      </c>
      <c r="Q32" s="249">
        <f>'Salary Record'!K593</f>
        <v>1437.5</v>
      </c>
      <c r="R32" s="196">
        <v>0</v>
      </c>
      <c r="S32" s="142"/>
      <c r="T32" s="177"/>
      <c r="V32" s="179"/>
    </row>
    <row r="33" spans="1:26" ht="15.75" x14ac:dyDescent="0.25">
      <c r="A33" s="276">
        <v>4</v>
      </c>
      <c r="B33" s="352" t="str">
        <f>'Salary Record'!C618</f>
        <v>Sufyan</v>
      </c>
      <c r="C33" s="102"/>
      <c r="D33" s="90"/>
      <c r="E33" s="9">
        <f>'Salary Record'!K617</f>
        <v>22000</v>
      </c>
      <c r="F33" s="9">
        <f>'Salary Record'!C623</f>
        <v>30</v>
      </c>
      <c r="G33" s="21">
        <f>'Salary Record'!C624</f>
        <v>0</v>
      </c>
      <c r="H33" s="9">
        <f>'Salary Record'!I622</f>
        <v>42</v>
      </c>
      <c r="I33" s="9">
        <f>'Salary Record'!I621</f>
        <v>30</v>
      </c>
      <c r="J33" s="16">
        <f>'Salary Record'!K622</f>
        <v>3850</v>
      </c>
      <c r="K33" s="16">
        <f>'Salary Record'!K623</f>
        <v>25850</v>
      </c>
      <c r="L33" s="9">
        <f>'Salary Record'!G621</f>
        <v>40000</v>
      </c>
      <c r="M33" s="9">
        <f>'Salary Record'!G622</f>
        <v>15500</v>
      </c>
      <c r="N33" s="18">
        <f>'Salary Record'!G623</f>
        <v>55500</v>
      </c>
      <c r="O33" s="9">
        <f>'Salary Record'!G624</f>
        <v>15500</v>
      </c>
      <c r="P33" s="18">
        <f>'Salary Record'!G625</f>
        <v>40000</v>
      </c>
      <c r="Q33" s="142">
        <f>'Salary Record'!K625</f>
        <v>10350</v>
      </c>
      <c r="R33" s="143"/>
      <c r="S33" s="23"/>
      <c r="T33" s="129"/>
      <c r="U33" s="8"/>
    </row>
    <row r="34" spans="1:26" s="272" customFormat="1" ht="21" x14ac:dyDescent="0.3">
      <c r="A34" s="367" t="s">
        <v>2</v>
      </c>
      <c r="B34" s="368"/>
      <c r="C34" s="312"/>
      <c r="D34" s="312"/>
      <c r="E34" s="314">
        <f>SUM(E30:E33)</f>
        <v>110000</v>
      </c>
      <c r="F34" s="312"/>
      <c r="G34" s="312"/>
      <c r="H34" s="312"/>
      <c r="I34" s="312"/>
      <c r="J34" s="314">
        <f ca="1">SUM(J30:J85)</f>
        <v>20904.166666666664</v>
      </c>
      <c r="K34" s="312"/>
      <c r="L34" s="312"/>
      <c r="M34" s="312"/>
      <c r="N34" s="312"/>
      <c r="O34" s="312"/>
      <c r="P34" s="312"/>
      <c r="Q34" s="270">
        <f>SUM(Q30:Q33)</f>
        <v>31872.916666666672</v>
      </c>
      <c r="R34" s="306">
        <f ca="1">SUM(R29:R85)</f>
        <v>5000</v>
      </c>
      <c r="S34" s="306">
        <f ca="1">SUM(S29:S85)</f>
        <v>19757.291666666664</v>
      </c>
      <c r="T34" s="271"/>
      <c r="U34" s="310"/>
      <c r="V34" s="273"/>
    </row>
    <row r="35" spans="1:26" s="272" customFormat="1" ht="21" x14ac:dyDescent="0.3">
      <c r="A35" s="308"/>
      <c r="B35" s="308"/>
      <c r="C35" s="308"/>
      <c r="D35" s="308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9"/>
      <c r="R35" s="310"/>
      <c r="S35" s="310"/>
      <c r="T35" s="310"/>
      <c r="V35" s="311"/>
    </row>
    <row r="36" spans="1:26" s="233" customFormat="1" ht="21" customHeight="1" x14ac:dyDescent="0.2">
      <c r="A36" s="384" t="s">
        <v>35</v>
      </c>
      <c r="B36" s="385"/>
      <c r="C36" s="385"/>
      <c r="D36" s="385"/>
      <c r="E36" s="385"/>
      <c r="F36" s="385"/>
      <c r="G36" s="385"/>
      <c r="H36" s="385"/>
      <c r="I36" s="385"/>
      <c r="J36" s="385"/>
      <c r="K36" s="385"/>
      <c r="L36" s="385"/>
      <c r="M36" s="385"/>
      <c r="N36" s="385"/>
      <c r="O36" s="385"/>
      <c r="P36" s="385"/>
      <c r="Q36" s="386"/>
      <c r="R36" s="229"/>
      <c r="S36" s="229"/>
      <c r="T36" s="230"/>
      <c r="U36" s="231"/>
      <c r="V36" s="232"/>
    </row>
    <row r="37" spans="1:26" s="178" customFormat="1" ht="21" customHeight="1" x14ac:dyDescent="0.2">
      <c r="A37" s="277">
        <v>1</v>
      </c>
      <c r="B37" s="326" t="s">
        <v>5</v>
      </c>
      <c r="C37" s="201"/>
      <c r="D37" s="202"/>
      <c r="E37" s="248">
        <f>'Salary Record'!K186</f>
        <v>60000</v>
      </c>
      <c r="F37" s="248">
        <f>'Salary Record'!C192</f>
        <v>30</v>
      </c>
      <c r="G37" s="248">
        <f>'Salary Record'!C193</f>
        <v>0</v>
      </c>
      <c r="H37" s="248">
        <f>'Salary Record'!I191</f>
        <v>108</v>
      </c>
      <c r="I37" s="248">
        <f>'Salary Record'!I190</f>
        <v>30</v>
      </c>
      <c r="J37" s="244">
        <f>'Salary Record'!K191</f>
        <v>27000</v>
      </c>
      <c r="K37" s="244">
        <f>'Salary Record'!K192</f>
        <v>87000</v>
      </c>
      <c r="L37" s="245">
        <f>'Salary Record'!G190</f>
        <v>83200</v>
      </c>
      <c r="M37" s="246">
        <f>'Salary Record'!G191</f>
        <v>50000</v>
      </c>
      <c r="N37" s="247">
        <f>'Salary Record'!G192</f>
        <v>133200</v>
      </c>
      <c r="O37" s="246">
        <f>'Salary Record'!G193</f>
        <v>55000</v>
      </c>
      <c r="P37" s="247">
        <f>'Salary Record'!G194</f>
        <v>78200</v>
      </c>
      <c r="Q37" s="249">
        <f>'Salary Record'!K194</f>
        <v>32000</v>
      </c>
      <c r="R37" s="142"/>
      <c r="S37" s="142"/>
      <c r="T37" s="177" t="s">
        <v>118</v>
      </c>
      <c r="U37" s="179"/>
      <c r="V37" s="179"/>
    </row>
    <row r="38" spans="1:26" s="178" customFormat="1" ht="21" customHeight="1" x14ac:dyDescent="0.2">
      <c r="A38" s="277">
        <v>2</v>
      </c>
      <c r="B38" s="241" t="str">
        <f>'Salary Record'!C139</f>
        <v>Amir (JPMC)</v>
      </c>
      <c r="C38" s="203"/>
      <c r="D38" s="200"/>
      <c r="E38" s="110">
        <f>'Salary Record'!K138</f>
        <v>43000</v>
      </c>
      <c r="F38" s="110">
        <f>'Salary Record'!C144</f>
        <v>30</v>
      </c>
      <c r="G38" s="248">
        <f>'Salary Record'!C145</f>
        <v>0</v>
      </c>
      <c r="H38" s="110">
        <f>'Salary Record'!I143</f>
        <v>20</v>
      </c>
      <c r="I38" s="110">
        <f>'Salary Record'!I142</f>
        <v>30</v>
      </c>
      <c r="J38" s="244">
        <f>'Salary Record'!K143</f>
        <v>3583.333333333333</v>
      </c>
      <c r="K38" s="244">
        <f>'Salary Record'!K144</f>
        <v>46583.333333333336</v>
      </c>
      <c r="L38" s="245">
        <f>'Salary Record'!G142</f>
        <v>62500</v>
      </c>
      <c r="M38" s="245">
        <f>'Salary Record'!G143</f>
        <v>43000</v>
      </c>
      <c r="N38" s="247">
        <f>'Salary Record'!G144</f>
        <v>105500</v>
      </c>
      <c r="O38" s="245">
        <f>'Salary Record'!G145</f>
        <v>43000</v>
      </c>
      <c r="P38" s="247">
        <f>'Salary Record'!G146</f>
        <v>62500</v>
      </c>
      <c r="Q38" s="249">
        <f>'Salary Record'!K146</f>
        <v>3583.3333333333358</v>
      </c>
      <c r="R38" s="142"/>
      <c r="S38" s="142"/>
      <c r="T38" s="177" t="s">
        <v>121</v>
      </c>
      <c r="U38" s="177" t="s">
        <v>124</v>
      </c>
      <c r="V38" s="179"/>
    </row>
    <row r="39" spans="1:26" s="178" customFormat="1" ht="21" customHeight="1" x14ac:dyDescent="0.2">
      <c r="A39" s="277">
        <v>3</v>
      </c>
      <c r="B39" s="241" t="s">
        <v>24</v>
      </c>
      <c r="C39" s="203"/>
      <c r="D39" s="200"/>
      <c r="E39" s="110">
        <f>'Salary Record'!K154</f>
        <v>35000</v>
      </c>
      <c r="F39" s="110">
        <f>'Salary Record'!C160</f>
        <v>30</v>
      </c>
      <c r="G39" s="248">
        <f>'Salary Record'!C161</f>
        <v>0</v>
      </c>
      <c r="H39" s="110">
        <f>'Salary Record'!I159</f>
        <v>64</v>
      </c>
      <c r="I39" s="110">
        <f>'Salary Record'!I158</f>
        <v>30</v>
      </c>
      <c r="J39" s="244">
        <f>'Salary Record'!K159</f>
        <v>9333.3333333333339</v>
      </c>
      <c r="K39" s="110">
        <f>'Salary Record'!K160</f>
        <v>44333.333333333336</v>
      </c>
      <c r="L39" s="245">
        <f>'Salary Record'!G158</f>
        <v>0</v>
      </c>
      <c r="M39" s="246">
        <f>'Salary Record'!G159</f>
        <v>0</v>
      </c>
      <c r="N39" s="247">
        <f>'Salary Record'!G160</f>
        <v>0</v>
      </c>
      <c r="O39" s="246">
        <f>'Salary Record'!G161</f>
        <v>0</v>
      </c>
      <c r="P39" s="247">
        <f>'Salary Record'!G162</f>
        <v>0</v>
      </c>
      <c r="Q39" s="249">
        <f>'Salary Record'!K162</f>
        <v>44333.333333333336</v>
      </c>
      <c r="R39" s="142"/>
      <c r="S39" s="142"/>
      <c r="T39" s="177" t="s">
        <v>122</v>
      </c>
      <c r="U39" s="177" t="s">
        <v>123</v>
      </c>
      <c r="V39" s="179"/>
    </row>
    <row r="40" spans="1:26" s="178" customFormat="1" ht="21" customHeight="1" x14ac:dyDescent="0.2">
      <c r="A40" s="277">
        <v>4</v>
      </c>
      <c r="B40" s="350" t="s">
        <v>4</v>
      </c>
      <c r="C40" s="194"/>
      <c r="D40" s="195"/>
      <c r="E40" s="248">
        <f>'Salary Record'!K664</f>
        <v>35000</v>
      </c>
      <c r="F40" s="248">
        <f>'Salary Record'!C670</f>
        <v>30</v>
      </c>
      <c r="G40" s="248">
        <f>'Salary Record'!C671</f>
        <v>0</v>
      </c>
      <c r="H40" s="248">
        <f>'Salary Record'!I669</f>
        <v>118</v>
      </c>
      <c r="I40" s="248">
        <f>'Salary Record'!I668</f>
        <v>30</v>
      </c>
      <c r="J40" s="244">
        <f>'Salary Record'!K669</f>
        <v>17208.333333333336</v>
      </c>
      <c r="K40" s="110">
        <f>'Salary Record'!K670</f>
        <v>52208.333333333336</v>
      </c>
      <c r="L40" s="245">
        <f>'Salary Record'!G668</f>
        <v>20000</v>
      </c>
      <c r="M40" s="246">
        <f>'Salary Record'!G669</f>
        <v>5000</v>
      </c>
      <c r="N40" s="247">
        <f>'Salary Record'!G670</f>
        <v>25000</v>
      </c>
      <c r="O40" s="246">
        <f>'Salary Record'!G671</f>
        <v>5000</v>
      </c>
      <c r="P40" s="247">
        <f>'Salary Record'!G672</f>
        <v>20000</v>
      </c>
      <c r="Q40" s="249">
        <f>'Salary Record'!K672</f>
        <v>47208.333333333336</v>
      </c>
      <c r="R40" s="142"/>
      <c r="S40" s="142"/>
      <c r="T40" s="177" t="s">
        <v>119</v>
      </c>
      <c r="U40" s="178" t="s">
        <v>120</v>
      </c>
      <c r="V40" s="179"/>
      <c r="W40" s="177"/>
      <c r="X40" s="177"/>
    </row>
    <row r="41" spans="1:26" s="178" customFormat="1" ht="21" customHeight="1" x14ac:dyDescent="0.2">
      <c r="A41" s="277">
        <v>5</v>
      </c>
      <c r="B41" s="351" t="str">
        <f>'Salary Record'!C203</f>
        <v>Amjad Ustad</v>
      </c>
      <c r="C41" s="197"/>
      <c r="D41" s="198"/>
      <c r="E41" s="329">
        <f>'Salary Record'!K202</f>
        <v>50000</v>
      </c>
      <c r="F41" s="245">
        <f>'Salary Record'!C208</f>
        <v>27</v>
      </c>
      <c r="G41" s="250">
        <f>'Salary Record'!C209</f>
        <v>3</v>
      </c>
      <c r="H41" s="245">
        <f>'Salary Record'!I207</f>
        <v>0</v>
      </c>
      <c r="I41" s="245">
        <f>'Salary Record'!I206</f>
        <v>30</v>
      </c>
      <c r="J41" s="244">
        <f>'Salary Record'!K207</f>
        <v>0</v>
      </c>
      <c r="K41" s="244">
        <f>'Salary Record'!K208</f>
        <v>50000</v>
      </c>
      <c r="L41" s="245">
        <f>'Salary Record'!G206</f>
        <v>34000</v>
      </c>
      <c r="M41" s="245">
        <f>'Salary Record'!G207</f>
        <v>4000</v>
      </c>
      <c r="N41" s="247">
        <f>'Salary Record'!G208</f>
        <v>38000</v>
      </c>
      <c r="O41" s="245">
        <f>'Salary Record'!G209</f>
        <v>5000</v>
      </c>
      <c r="P41" s="247">
        <f>'Salary Record'!G210</f>
        <v>33000</v>
      </c>
      <c r="Q41" s="249">
        <f>'Salary Record'!K210</f>
        <v>45000</v>
      </c>
      <c r="R41" s="196"/>
      <c r="S41" s="142"/>
      <c r="T41" s="177" t="s">
        <v>156</v>
      </c>
      <c r="U41" s="177">
        <f>Q24+Q41+Q65+Q67+Q37+Q38+Q39</f>
        <v>199870.83333333334</v>
      </c>
      <c r="V41" s="179"/>
      <c r="W41" s="177">
        <f>Q43+Q41</f>
        <v>45000</v>
      </c>
    </row>
    <row r="42" spans="1:26" s="178" customFormat="1" ht="21" customHeight="1" x14ac:dyDescent="0.2">
      <c r="A42" s="277">
        <v>6</v>
      </c>
      <c r="B42" s="326" t="str">
        <f>'Salary Record'!C697</f>
        <v>Nadeem Painter</v>
      </c>
      <c r="C42" s="212"/>
      <c r="D42" s="213"/>
      <c r="E42" s="269">
        <f>'Salary Record'!K696</f>
        <v>30000</v>
      </c>
      <c r="F42" s="269">
        <f>'Salary Record'!C702</f>
        <v>30</v>
      </c>
      <c r="G42" s="248">
        <f>'Salary Record'!C703</f>
        <v>0</v>
      </c>
      <c r="H42" s="269">
        <f>'Salary Record'!I701</f>
        <v>132</v>
      </c>
      <c r="I42" s="269">
        <f>'Salary Record'!I700</f>
        <v>30</v>
      </c>
      <c r="J42" s="244">
        <f>'Salary Record'!K701</f>
        <v>16500</v>
      </c>
      <c r="K42" s="244">
        <f>'Salary Record'!K702</f>
        <v>46500</v>
      </c>
      <c r="L42" s="245">
        <f>'Salary Record'!G700</f>
        <v>0</v>
      </c>
      <c r="M42" s="246">
        <f>'Salary Record'!G701</f>
        <v>25000</v>
      </c>
      <c r="N42" s="247">
        <f>'Salary Record'!G702</f>
        <v>25000</v>
      </c>
      <c r="O42" s="246">
        <f>'Salary Record'!G703</f>
        <v>25000</v>
      </c>
      <c r="P42" s="247">
        <f>'Salary Record'!G704</f>
        <v>0</v>
      </c>
      <c r="Q42" s="251">
        <f>'Salary Record'!K704</f>
        <v>21500</v>
      </c>
      <c r="R42" s="142"/>
      <c r="S42" s="142"/>
      <c r="T42" s="177"/>
      <c r="V42" s="179"/>
    </row>
    <row r="43" spans="1:26" s="178" customFormat="1" ht="21" customHeight="1" x14ac:dyDescent="0.2">
      <c r="A43" s="277">
        <v>8</v>
      </c>
      <c r="B43" s="326" t="str">
        <f>'Salary Record'!C219</f>
        <v>Raheel</v>
      </c>
      <c r="C43" s="199"/>
      <c r="D43" s="200"/>
      <c r="E43" s="110">
        <f>'Salary Record'!K218</f>
        <v>25000</v>
      </c>
      <c r="F43" s="110">
        <f>'Salary Record'!C224</f>
        <v>22</v>
      </c>
      <c r="G43" s="248">
        <f>'Salary Record'!C225</f>
        <v>8</v>
      </c>
      <c r="H43" s="110">
        <f>'Salary Record'!I223</f>
        <v>70</v>
      </c>
      <c r="I43" s="110">
        <f>'Salary Record'!I222</f>
        <v>22</v>
      </c>
      <c r="J43" s="248">
        <f>'Salary Record'!K223</f>
        <v>7291.666666666667</v>
      </c>
      <c r="K43" s="248">
        <f>'Salary Record'!K224</f>
        <v>25625.000000000004</v>
      </c>
      <c r="L43" s="267">
        <f>'Salary Record'!G222</f>
        <v>14000</v>
      </c>
      <c r="M43" s="110">
        <f>'Salary Record'!G223</f>
        <v>5000</v>
      </c>
      <c r="N43" s="262">
        <f>'Salary Record'!G224</f>
        <v>19000</v>
      </c>
      <c r="O43" s="110">
        <f>'Salary Record'!G225</f>
        <v>19000</v>
      </c>
      <c r="P43" s="262">
        <f>'Salary Record'!G226</f>
        <v>0</v>
      </c>
      <c r="Q43" s="249">
        <f>'Salary Record'!K226</f>
        <v>0</v>
      </c>
      <c r="R43" s="142">
        <v>18000</v>
      </c>
      <c r="S43" s="142">
        <f>Q43-R43</f>
        <v>-18000</v>
      </c>
      <c r="T43" s="177" t="s">
        <v>169</v>
      </c>
      <c r="U43" s="177" t="s">
        <v>170</v>
      </c>
      <c r="V43" s="179"/>
    </row>
    <row r="44" spans="1:26" s="178" customFormat="1" ht="21" customHeight="1" x14ac:dyDescent="0.2">
      <c r="A44" s="277">
        <v>9</v>
      </c>
      <c r="B44" s="326" t="str">
        <f>'Salary Record'!C251</f>
        <v>Gul Sher</v>
      </c>
      <c r="C44" s="203"/>
      <c r="D44" s="200"/>
      <c r="E44" s="245">
        <f>'Salary Record'!K250</f>
        <v>26000</v>
      </c>
      <c r="F44" s="245">
        <f>'Salary Record'!C256</f>
        <v>27</v>
      </c>
      <c r="G44" s="250">
        <f>'Salary Record'!C257</f>
        <v>3</v>
      </c>
      <c r="H44" s="245">
        <f>'Salary Record'!I255</f>
        <v>45</v>
      </c>
      <c r="I44" s="245">
        <f>'Salary Record'!I254</f>
        <v>27</v>
      </c>
      <c r="J44" s="257">
        <f>'Salary Record'!K255</f>
        <v>4875</v>
      </c>
      <c r="K44" s="257">
        <f>'Salary Record'!K256</f>
        <v>28275</v>
      </c>
      <c r="L44" s="258">
        <f>'Salary Record'!G254</f>
        <v>11500</v>
      </c>
      <c r="M44" s="258">
        <f>'Salary Record'!G255</f>
        <v>27000</v>
      </c>
      <c r="N44" s="268">
        <f>'Salary Record'!G256</f>
        <v>38500</v>
      </c>
      <c r="O44" s="258">
        <f>'Salary Record'!G257</f>
        <v>28275</v>
      </c>
      <c r="P44" s="268">
        <f>'Salary Record'!G258</f>
        <v>10225</v>
      </c>
      <c r="Q44" s="332">
        <f>'Salary Record'!K258</f>
        <v>0</v>
      </c>
      <c r="R44" s="142"/>
      <c r="S44" s="142"/>
      <c r="T44" s="177" t="s">
        <v>127</v>
      </c>
      <c r="U44" s="177" t="s">
        <v>128</v>
      </c>
      <c r="V44" s="179"/>
      <c r="W44" s="177">
        <f>Q44+Q43+Q41+Q70</f>
        <v>64875</v>
      </c>
      <c r="X44" s="179"/>
      <c r="Y44" s="179"/>
      <c r="Z44" s="179"/>
    </row>
    <row r="45" spans="1:26" s="272" customFormat="1" ht="21" x14ac:dyDescent="0.3">
      <c r="A45" s="367" t="s">
        <v>2</v>
      </c>
      <c r="B45" s="368"/>
      <c r="C45" s="312"/>
      <c r="D45" s="312"/>
      <c r="E45" s="314">
        <f>SUM(E37:E44)</f>
        <v>304000</v>
      </c>
      <c r="F45" s="312"/>
      <c r="G45" s="312"/>
      <c r="H45" s="312"/>
      <c r="I45" s="312"/>
      <c r="J45" s="314">
        <f>SUM(J37:J44)</f>
        <v>85791.666666666672</v>
      </c>
      <c r="K45" s="312"/>
      <c r="L45" s="312"/>
      <c r="M45" s="312"/>
      <c r="N45" s="312"/>
      <c r="O45" s="312"/>
      <c r="P45" s="312"/>
      <c r="Q45" s="270">
        <f>SUM(Q37:Q44)</f>
        <v>193625</v>
      </c>
      <c r="R45" s="306">
        <f>SUM(R43:R44)</f>
        <v>18000</v>
      </c>
      <c r="S45" s="306">
        <f>SUM(S43:S44)</f>
        <v>-18000</v>
      </c>
      <c r="T45" s="271"/>
      <c r="V45" s="273"/>
    </row>
    <row r="46" spans="1:26" s="222" customFormat="1" ht="21" customHeight="1" x14ac:dyDescent="0.2">
      <c r="A46" s="372" t="s">
        <v>91</v>
      </c>
      <c r="B46" s="373"/>
      <c r="C46" s="373"/>
      <c r="D46" s="373"/>
      <c r="E46" s="373"/>
      <c r="F46" s="373"/>
      <c r="G46" s="373"/>
      <c r="H46" s="373"/>
      <c r="I46" s="373"/>
      <c r="J46" s="373"/>
      <c r="K46" s="373"/>
      <c r="L46" s="373"/>
      <c r="M46" s="373"/>
      <c r="N46" s="373"/>
      <c r="O46" s="373"/>
      <c r="P46" s="373"/>
      <c r="Q46" s="374"/>
      <c r="R46" s="220"/>
      <c r="S46" s="220"/>
      <c r="T46" s="234"/>
      <c r="U46" s="228"/>
      <c r="V46" s="223"/>
    </row>
    <row r="47" spans="1:26" s="178" customFormat="1" ht="21" customHeight="1" x14ac:dyDescent="0.2">
      <c r="A47" s="277">
        <v>1</v>
      </c>
      <c r="B47" s="326" t="s">
        <v>11</v>
      </c>
      <c r="C47" s="212"/>
      <c r="D47" s="213"/>
      <c r="E47" s="246">
        <f>'Salary Record'!K442</f>
        <v>20000</v>
      </c>
      <c r="F47" s="246">
        <f>'Salary Record'!C448</f>
        <v>30</v>
      </c>
      <c r="G47" s="243">
        <f>'Salary Record'!C449</f>
        <v>0</v>
      </c>
      <c r="H47" s="246">
        <f>'Salary Record'!I447</f>
        <v>3</v>
      </c>
      <c r="I47" s="246">
        <f>'Salary Record'!I446</f>
        <v>30</v>
      </c>
      <c r="J47" s="244">
        <f>'Salary Record'!K447</f>
        <v>250</v>
      </c>
      <c r="K47" s="244">
        <f>'Salary Record'!K448</f>
        <v>20250</v>
      </c>
      <c r="L47" s="245">
        <f>'Salary Record'!G446</f>
        <v>19000</v>
      </c>
      <c r="M47" s="246">
        <f>'Salary Record'!G447</f>
        <v>15000</v>
      </c>
      <c r="N47" s="247">
        <f>'Salary Record'!G448</f>
        <v>34000</v>
      </c>
      <c r="O47" s="246">
        <f>'Salary Record'!G449</f>
        <v>17000</v>
      </c>
      <c r="P47" s="247">
        <f>'Salary Record'!G450</f>
        <v>17000</v>
      </c>
      <c r="Q47" s="249">
        <f>'Salary Record'!K450</f>
        <v>3250</v>
      </c>
      <c r="R47" s="142"/>
      <c r="S47" s="142"/>
      <c r="T47" s="177"/>
      <c r="U47" s="177">
        <f>Q45-Q40</f>
        <v>146416.66666666666</v>
      </c>
      <c r="V47" s="179"/>
      <c r="W47" s="177"/>
    </row>
    <row r="48" spans="1:26" s="178" customFormat="1" ht="21" customHeight="1" x14ac:dyDescent="0.2">
      <c r="A48" s="276">
        <v>2</v>
      </c>
      <c r="B48" s="350" t="str">
        <f>'Salary Record'!C395</f>
        <v>M. Sami</v>
      </c>
      <c r="C48" s="211" t="s">
        <v>88</v>
      </c>
      <c r="D48" s="210">
        <f>Q48</f>
        <v>15150</v>
      </c>
      <c r="E48" s="110">
        <f>'Salary Record'!K394</f>
        <v>27000</v>
      </c>
      <c r="F48" s="110">
        <f>'Salary Record'!C400</f>
        <v>30</v>
      </c>
      <c r="G48" s="248">
        <f>'Salary Record'!C401</f>
        <v>0</v>
      </c>
      <c r="H48" s="110">
        <f>'Salary Record'!I399</f>
        <v>28</v>
      </c>
      <c r="I48" s="110">
        <f>'Salary Record'!I398</f>
        <v>30</v>
      </c>
      <c r="J48" s="244">
        <f>'Salary Record'!K399</f>
        <v>3150</v>
      </c>
      <c r="K48" s="244">
        <f>'Salary Record'!K400</f>
        <v>30150</v>
      </c>
      <c r="L48" s="245">
        <f>'Salary Record'!G398</f>
        <v>0</v>
      </c>
      <c r="M48" s="258">
        <f>'Salary Record'!G399</f>
        <v>15000</v>
      </c>
      <c r="N48" s="259">
        <f>'Salary Record'!G400</f>
        <v>15000</v>
      </c>
      <c r="O48" s="258">
        <f>'Salary Record'!G401</f>
        <v>15000</v>
      </c>
      <c r="P48" s="259">
        <f>'Salary Record'!G402</f>
        <v>0</v>
      </c>
      <c r="Q48" s="332">
        <f>'Salary Record'!K402</f>
        <v>15150</v>
      </c>
      <c r="R48" s="142"/>
      <c r="S48" s="142"/>
      <c r="T48" s="177"/>
      <c r="U48" s="177"/>
      <c r="V48" s="179"/>
      <c r="X48" s="177"/>
    </row>
    <row r="49" spans="1:25" s="178" customFormat="1" ht="21" customHeight="1" x14ac:dyDescent="0.2">
      <c r="A49" s="277">
        <v>3</v>
      </c>
      <c r="B49" s="326" t="str">
        <f>'Salary Record'!C411</f>
        <v>Adil (FTC)</v>
      </c>
      <c r="C49" s="209"/>
      <c r="D49" s="210"/>
      <c r="E49" s="110">
        <f>'Salary Record'!K410</f>
        <v>21000</v>
      </c>
      <c r="F49" s="110">
        <f>'Salary Record'!C416</f>
        <v>30</v>
      </c>
      <c r="G49" s="248">
        <f>'Salary Record'!C417</f>
        <v>0</v>
      </c>
      <c r="H49" s="110">
        <f>'Salary Record'!I415</f>
        <v>5</v>
      </c>
      <c r="I49" s="110">
        <f>'Salary Record'!I414</f>
        <v>30</v>
      </c>
      <c r="J49" s="244">
        <f>'Salary Record'!K415</f>
        <v>437.5</v>
      </c>
      <c r="K49" s="244">
        <f>'Salary Record'!K416</f>
        <v>21437.5</v>
      </c>
      <c r="L49" s="245">
        <f>'Salary Record'!G414</f>
        <v>0</v>
      </c>
      <c r="M49" s="246">
        <f>'Salary Record'!G415</f>
        <v>15000</v>
      </c>
      <c r="N49" s="247">
        <f>'Salary Record'!G416</f>
        <v>15000</v>
      </c>
      <c r="O49" s="246">
        <f>'Salary Record'!G417</f>
        <v>15000</v>
      </c>
      <c r="P49" s="247">
        <f>'Salary Record'!G418</f>
        <v>0</v>
      </c>
      <c r="Q49" s="249">
        <f>'Salary Record'!K418</f>
        <v>6437.5</v>
      </c>
      <c r="R49" s="142"/>
      <c r="S49" s="142"/>
      <c r="T49" s="177" t="s">
        <v>129</v>
      </c>
      <c r="U49" s="177"/>
      <c r="V49" s="179"/>
    </row>
    <row r="50" spans="1:25" s="178" customFormat="1" ht="21" customHeight="1" x14ac:dyDescent="0.2">
      <c r="A50" s="277">
        <v>4</v>
      </c>
      <c r="B50" s="351" t="str">
        <f>'Salary Record'!C427</f>
        <v>Zafar</v>
      </c>
      <c r="C50" s="194"/>
      <c r="D50" s="195"/>
      <c r="E50" s="245">
        <f>'Salary Record'!K426</f>
        <v>28000</v>
      </c>
      <c r="F50" s="245">
        <f>'Salary Record'!C432</f>
        <v>30</v>
      </c>
      <c r="G50" s="250">
        <f>'Salary Record'!C433</f>
        <v>0</v>
      </c>
      <c r="H50" s="245">
        <f>'Salary Record'!I431</f>
        <v>0</v>
      </c>
      <c r="I50" s="245">
        <f>'Salary Record'!I430</f>
        <v>30</v>
      </c>
      <c r="J50" s="244">
        <f>'Salary Record'!K431</f>
        <v>0</v>
      </c>
      <c r="K50" s="110">
        <f>'Salary Record'!K432</f>
        <v>28000</v>
      </c>
      <c r="L50" s="245">
        <f>'Salary Record'!G430</f>
        <v>0</v>
      </c>
      <c r="M50" s="245">
        <f>'Salary Record'!G431</f>
        <v>15000</v>
      </c>
      <c r="N50" s="247">
        <f>'Salary Record'!G432</f>
        <v>15000</v>
      </c>
      <c r="O50" s="245">
        <f>'Salary Record'!G433</f>
        <v>15000</v>
      </c>
      <c r="P50" s="247">
        <f>'Salary Record'!G434</f>
        <v>0</v>
      </c>
      <c r="Q50" s="249">
        <f>'Salary Record'!K434</f>
        <v>13000</v>
      </c>
      <c r="R50" s="142"/>
      <c r="S50" s="142"/>
      <c r="T50" s="177"/>
      <c r="U50" s="177"/>
      <c r="V50" s="179" t="s">
        <v>191</v>
      </c>
      <c r="W50" s="178">
        <v>5000</v>
      </c>
    </row>
    <row r="51" spans="1:25" s="178" customFormat="1" ht="21" customHeight="1" x14ac:dyDescent="0.2">
      <c r="A51" s="276">
        <v>5</v>
      </c>
      <c r="B51" s="326" t="str">
        <f>'Salary Record'!C379</f>
        <v>M. Shafeeq</v>
      </c>
      <c r="C51" s="214"/>
      <c r="D51" s="202"/>
      <c r="E51" s="110">
        <f>'Salary Record'!K378</f>
        <v>22000</v>
      </c>
      <c r="F51" s="110">
        <f>'Salary Record'!C384</f>
        <v>30</v>
      </c>
      <c r="G51" s="248">
        <f>'Salary Record'!C385</f>
        <v>0</v>
      </c>
      <c r="H51" s="110">
        <f>'Salary Record'!I383</f>
        <v>108</v>
      </c>
      <c r="I51" s="110">
        <f>'Salary Record'!I382</f>
        <v>30</v>
      </c>
      <c r="J51" s="248">
        <f>'Salary Record'!K383</f>
        <v>9900</v>
      </c>
      <c r="K51" s="248">
        <f>'Salary Record'!K384</f>
        <v>31900</v>
      </c>
      <c r="L51" s="267">
        <f>'Salary Record'!G382</f>
        <v>0</v>
      </c>
      <c r="M51" s="110">
        <f>'Salary Record'!G383</f>
        <v>45000</v>
      </c>
      <c r="N51" s="262">
        <f>'Salary Record'!G384</f>
        <v>45000</v>
      </c>
      <c r="O51" s="110">
        <f>'Salary Record'!G385</f>
        <v>15000</v>
      </c>
      <c r="P51" s="262">
        <f>'Salary Record'!G386</f>
        <v>30000</v>
      </c>
      <c r="Q51" s="249">
        <f>'Salary Record'!K386</f>
        <v>16900</v>
      </c>
      <c r="R51" s="196">
        <f>Q51*75%</f>
        <v>12675</v>
      </c>
      <c r="S51" s="142">
        <v>0</v>
      </c>
      <c r="T51" s="177" t="s">
        <v>149</v>
      </c>
      <c r="U51" s="336"/>
      <c r="V51" s="185" t="s">
        <v>192</v>
      </c>
      <c r="W51" s="178">
        <v>149397</v>
      </c>
    </row>
    <row r="52" spans="1:25" s="272" customFormat="1" ht="21" x14ac:dyDescent="0.3">
      <c r="A52" s="367" t="s">
        <v>2</v>
      </c>
      <c r="B52" s="368"/>
      <c r="C52" s="312"/>
      <c r="D52" s="312"/>
      <c r="E52" s="314">
        <f>SUM(E47:E51)</f>
        <v>118000</v>
      </c>
      <c r="F52" s="312"/>
      <c r="G52" s="312"/>
      <c r="H52" s="312"/>
      <c r="I52" s="312"/>
      <c r="J52" s="314">
        <f>SUM(J47:J51)</f>
        <v>13737.5</v>
      </c>
      <c r="K52" s="312"/>
      <c r="L52" s="312"/>
      <c r="M52" s="312"/>
      <c r="N52" s="312"/>
      <c r="O52" s="312"/>
      <c r="P52" s="312"/>
      <c r="Q52" s="270">
        <f>SUM(Q47:Q51)</f>
        <v>54737.5</v>
      </c>
      <c r="R52" s="306">
        <f>SUM(R49:R51)</f>
        <v>12675</v>
      </c>
      <c r="S52" s="306">
        <f>SUM(S49:S51)</f>
        <v>0</v>
      </c>
      <c r="T52" s="271"/>
      <c r="V52" s="273" t="s">
        <v>193</v>
      </c>
      <c r="W52" s="272">
        <v>163692</v>
      </c>
    </row>
    <row r="53" spans="1:25" s="272" customFormat="1" ht="21" x14ac:dyDescent="0.3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9"/>
      <c r="R53" s="310"/>
      <c r="S53" s="310"/>
      <c r="T53" s="310"/>
      <c r="V53" s="311" t="s">
        <v>194</v>
      </c>
      <c r="W53" s="272">
        <v>65000</v>
      </c>
    </row>
    <row r="54" spans="1:25" s="222" customFormat="1" ht="21" customHeight="1" x14ac:dyDescent="0.2">
      <c r="A54" s="372" t="s">
        <v>92</v>
      </c>
      <c r="B54" s="373"/>
      <c r="C54" s="373"/>
      <c r="D54" s="373"/>
      <c r="E54" s="373"/>
      <c r="F54" s="373"/>
      <c r="G54" s="373"/>
      <c r="H54" s="373"/>
      <c r="I54" s="373"/>
      <c r="J54" s="373"/>
      <c r="K54" s="373"/>
      <c r="L54" s="373"/>
      <c r="M54" s="373"/>
      <c r="N54" s="373"/>
      <c r="O54" s="373"/>
      <c r="P54" s="373"/>
      <c r="Q54" s="374"/>
      <c r="R54" s="220"/>
      <c r="S54" s="220"/>
      <c r="T54" s="234"/>
      <c r="U54" s="228"/>
      <c r="V54" s="223" t="s">
        <v>195</v>
      </c>
      <c r="W54" s="222">
        <v>28000</v>
      </c>
      <c r="Y54" s="228"/>
    </row>
    <row r="55" spans="1:25" s="178" customFormat="1" ht="21" customHeight="1" x14ac:dyDescent="0.2">
      <c r="A55" s="277">
        <v>1</v>
      </c>
      <c r="B55" s="350" t="str">
        <f>'Salary Record'!C331</f>
        <v>Mukhtiar</v>
      </c>
      <c r="C55" s="197"/>
      <c r="D55" s="198"/>
      <c r="E55" s="269">
        <f>'Salary Record'!K330</f>
        <v>32000</v>
      </c>
      <c r="F55" s="269">
        <f>'Salary Record'!C336</f>
        <v>29</v>
      </c>
      <c r="G55" s="248">
        <f>'Salary Record'!C337</f>
        <v>1</v>
      </c>
      <c r="H55" s="269">
        <f>'Salary Record'!I335</f>
        <v>36</v>
      </c>
      <c r="I55" s="269">
        <f>'Salary Record'!I334</f>
        <v>29</v>
      </c>
      <c r="J55" s="244">
        <f>'Salary Record'!K335</f>
        <v>4800</v>
      </c>
      <c r="K55" s="244">
        <f>'Salary Record'!K336</f>
        <v>35733.333333333336</v>
      </c>
      <c r="L55" s="245">
        <f>'Salary Record'!G334</f>
        <v>14870</v>
      </c>
      <c r="M55" s="246">
        <f>'Salary Record'!G335</f>
        <v>15000</v>
      </c>
      <c r="N55" s="247">
        <f>'Salary Record'!G336</f>
        <v>29870</v>
      </c>
      <c r="O55" s="246">
        <f>'Salary Record'!G337</f>
        <v>15000</v>
      </c>
      <c r="P55" s="247">
        <f>'Salary Record'!G338</f>
        <v>14870</v>
      </c>
      <c r="Q55" s="249">
        <f>'Salary Record'!K338</f>
        <v>20733.333333333336</v>
      </c>
      <c r="R55" s="142"/>
      <c r="S55" s="142"/>
      <c r="T55" s="177" t="s">
        <v>135</v>
      </c>
      <c r="U55" s="178" t="s">
        <v>136</v>
      </c>
      <c r="V55" s="179" t="s">
        <v>196</v>
      </c>
      <c r="W55" s="178">
        <v>280884</v>
      </c>
    </row>
    <row r="56" spans="1:25" ht="18" x14ac:dyDescent="0.25">
      <c r="A56" s="277">
        <v>2</v>
      </c>
      <c r="B56" s="350" t="str">
        <f>'Salary Record'!C363</f>
        <v>Asif Hussain</v>
      </c>
      <c r="C56" s="102"/>
      <c r="D56" s="90"/>
      <c r="E56" s="22">
        <f>'Salary Record'!K362</f>
        <v>22000</v>
      </c>
      <c r="F56" s="269">
        <f>'Salary Record'!C368</f>
        <v>30</v>
      </c>
      <c r="G56" s="248">
        <f>'Salary Record'!C369</f>
        <v>0</v>
      </c>
      <c r="H56" s="269">
        <f>'Salary Record'!I367</f>
        <v>89</v>
      </c>
      <c r="I56" s="269">
        <f>'Salary Record'!I366</f>
        <v>30</v>
      </c>
      <c r="J56" s="16">
        <f>'Salary Record'!K367</f>
        <v>8158.3333333333339</v>
      </c>
      <c r="K56" s="16">
        <f>'Salary Record'!K368</f>
        <v>30158.333333333336</v>
      </c>
      <c r="L56" s="9">
        <f>'Salary Record'!G366</f>
        <v>1760</v>
      </c>
      <c r="M56" s="17">
        <f>'Salary Record'!G367</f>
        <v>20000</v>
      </c>
      <c r="N56" s="18">
        <f>'Salary Record'!G368</f>
        <v>21760</v>
      </c>
      <c r="O56" s="17">
        <f>'Salary Record'!G369</f>
        <v>10000</v>
      </c>
      <c r="P56" s="18">
        <f>'Salary Record'!G370</f>
        <v>11760</v>
      </c>
      <c r="Q56" s="142">
        <f>'Salary Record'!K370</f>
        <v>20158.333333333336</v>
      </c>
      <c r="R56" s="144"/>
      <c r="S56" s="23"/>
      <c r="T56" s="129"/>
      <c r="U56" s="134"/>
      <c r="V56" s="2" t="s">
        <v>197</v>
      </c>
      <c r="W56">
        <v>36250</v>
      </c>
    </row>
    <row r="57" spans="1:25" ht="15.75" x14ac:dyDescent="0.25">
      <c r="A57" s="277">
        <v>3</v>
      </c>
      <c r="B57" s="350" t="str">
        <f>'Salary Record'!C347</f>
        <v xml:space="preserve">M. Imran </v>
      </c>
      <c r="C57" s="99"/>
      <c r="D57" s="92"/>
      <c r="E57" s="334">
        <f>'Salary Record'!K346</f>
        <v>45000</v>
      </c>
      <c r="F57" s="269">
        <f>'Salary Record'!C352</f>
        <v>30</v>
      </c>
      <c r="G57" s="248">
        <f>'Salary Record'!C353</f>
        <v>0</v>
      </c>
      <c r="H57" s="269">
        <f>'Salary Record'!I351</f>
        <v>46</v>
      </c>
      <c r="I57" s="269">
        <f>'Salary Record'!I350</f>
        <v>30</v>
      </c>
      <c r="J57" s="20">
        <f>'Salary Record'!K351</f>
        <v>8625</v>
      </c>
      <c r="K57" s="10">
        <f>'Salary Record'!K352</f>
        <v>53625</v>
      </c>
      <c r="L57" s="123">
        <f>'Salary Record'!G350</f>
        <v>10000</v>
      </c>
      <c r="M57" s="10">
        <f>'Salary Record'!G351</f>
        <v>17000</v>
      </c>
      <c r="N57" s="88">
        <f>'Salary Record'!G352</f>
        <v>17000</v>
      </c>
      <c r="O57" s="10">
        <f>'Salary Record'!G353</f>
        <v>5000</v>
      </c>
      <c r="P57" s="88">
        <f>'Salary Record'!G354</f>
        <v>12000</v>
      </c>
      <c r="Q57" s="23">
        <f>'Salary Record'!K354</f>
        <v>48625</v>
      </c>
      <c r="R57" s="143"/>
      <c r="S57" s="23"/>
      <c r="T57" s="129"/>
      <c r="U57" s="8"/>
      <c r="V57" s="124" t="s">
        <v>198</v>
      </c>
      <c r="W57">
        <v>106604</v>
      </c>
    </row>
    <row r="58" spans="1:25" s="178" customFormat="1" ht="21" customHeight="1" x14ac:dyDescent="0.2">
      <c r="A58" s="277">
        <v>4</v>
      </c>
      <c r="B58" s="350" t="str">
        <f>'Salary Record'!C315</f>
        <v>M. Arif</v>
      </c>
      <c r="C58" s="204"/>
      <c r="D58" s="205"/>
      <c r="E58" s="248">
        <f>'Salary Record'!K314</f>
        <v>35000</v>
      </c>
      <c r="F58" s="248">
        <f>'Salary Record'!C320</f>
        <v>10</v>
      </c>
      <c r="G58" s="248">
        <f>'Salary Record'!C321</f>
        <v>20</v>
      </c>
      <c r="H58" s="248">
        <f>'Salary Record'!I319</f>
        <v>0</v>
      </c>
      <c r="I58" s="248">
        <f>'Salary Record'!I318</f>
        <v>10</v>
      </c>
      <c r="J58" s="244">
        <f>'Salary Record'!K319</f>
        <v>0</v>
      </c>
      <c r="K58" s="244">
        <f>'Salary Record'!K320</f>
        <v>11666.666666666668</v>
      </c>
      <c r="L58" s="245">
        <f>'Salary Record'!G318</f>
        <v>0</v>
      </c>
      <c r="M58" s="246">
        <f>'Salary Record'!G319</f>
        <v>5000</v>
      </c>
      <c r="N58" s="247">
        <f>'Salary Record'!G320</f>
        <v>5000</v>
      </c>
      <c r="O58" s="246">
        <f>'Salary Record'!G321</f>
        <v>5000</v>
      </c>
      <c r="P58" s="247">
        <f>'Salary Record'!G322</f>
        <v>0</v>
      </c>
      <c r="Q58" s="249">
        <f>'Salary Record'!K322</f>
        <v>6666.6666666666679</v>
      </c>
      <c r="R58" s="142"/>
      <c r="S58" s="142"/>
      <c r="T58" s="177"/>
      <c r="U58" s="177"/>
      <c r="V58" s="179"/>
    </row>
    <row r="59" spans="1:25" ht="15.75" x14ac:dyDescent="0.25">
      <c r="A59" s="277">
        <v>5</v>
      </c>
      <c r="B59" s="350" t="str">
        <f>'Salary Record'!C299</f>
        <v>Ibtehaj</v>
      </c>
      <c r="C59" s="95"/>
      <c r="D59" s="94"/>
      <c r="E59" s="20">
        <f>'Salary Record'!K298</f>
        <v>35000</v>
      </c>
      <c r="F59" s="20">
        <f>'Salary Record'!C304</f>
        <v>12</v>
      </c>
      <c r="G59" s="20">
        <f>'Salary Record'!C305</f>
        <v>18</v>
      </c>
      <c r="H59" s="20">
        <f>'Salary Record'!I303</f>
        <v>27</v>
      </c>
      <c r="I59" s="20">
        <f>'Salary Record'!I302</f>
        <v>12</v>
      </c>
      <c r="J59" s="16">
        <f>'Salary Record'!K303</f>
        <v>3937.5000000000005</v>
      </c>
      <c r="K59" s="16">
        <f>'Salary Record'!K304</f>
        <v>17937.5</v>
      </c>
      <c r="L59" s="9">
        <f>'Salary Record'!G302</f>
        <v>0</v>
      </c>
      <c r="M59" s="17">
        <f>'Salary Record'!G303</f>
        <v>5000</v>
      </c>
      <c r="N59" s="18">
        <f>'Salary Record'!G304</f>
        <v>5000</v>
      </c>
      <c r="O59" s="17">
        <f>'Salary Record'!G305</f>
        <v>5000</v>
      </c>
      <c r="P59" s="18">
        <f>'Salary Record'!G306</f>
        <v>0</v>
      </c>
      <c r="Q59" s="126">
        <f>'Salary Record'!K306</f>
        <v>12937.5</v>
      </c>
      <c r="R59" s="145"/>
      <c r="S59" s="126"/>
      <c r="T59" s="132"/>
      <c r="U59" s="8"/>
    </row>
    <row r="60" spans="1:25" ht="15.75" x14ac:dyDescent="0.25">
      <c r="A60" s="277">
        <v>6</v>
      </c>
      <c r="B60" s="350" t="str">
        <f>'Salary Record'!C283</f>
        <v>Afaq Ahmed</v>
      </c>
      <c r="C60" s="95"/>
      <c r="D60" s="94"/>
      <c r="E60" s="20">
        <f>'Salary Record'!K282</f>
        <v>35000</v>
      </c>
      <c r="F60" s="20">
        <f>'Salary Record'!C288</f>
        <v>12</v>
      </c>
      <c r="G60" s="20">
        <f>'Salary Record'!C289</f>
        <v>18</v>
      </c>
      <c r="H60" s="20">
        <f>'Salary Record'!I287</f>
        <v>0</v>
      </c>
      <c r="I60" s="20">
        <f>'Salary Record'!I286</f>
        <v>12</v>
      </c>
      <c r="J60" s="16">
        <f>'Salary Record'!K287</f>
        <v>0</v>
      </c>
      <c r="K60" s="16">
        <f>'Salary Record'!K288</f>
        <v>14000</v>
      </c>
      <c r="L60" s="9" t="str">
        <f>'Salary Record'!G286</f>
        <v/>
      </c>
      <c r="M60" s="17">
        <f>'Salary Record'!G287</f>
        <v>5000</v>
      </c>
      <c r="N60" s="18">
        <f>'Salary Record'!G288</f>
        <v>5000</v>
      </c>
      <c r="O60" s="17">
        <f>'Salary Record'!G289</f>
        <v>5000</v>
      </c>
      <c r="P60" s="18">
        <f>'Salary Record'!G290</f>
        <v>0</v>
      </c>
      <c r="Q60" s="23">
        <f>'Salary Record'!K290</f>
        <v>9000</v>
      </c>
      <c r="R60" s="143">
        <v>0</v>
      </c>
      <c r="S60" s="23">
        <f>Q60-R60</f>
        <v>9000</v>
      </c>
      <c r="T60" s="129"/>
    </row>
    <row r="61" spans="1:25" s="178" customFormat="1" ht="21" customHeight="1" x14ac:dyDescent="0.2">
      <c r="A61" s="277">
        <v>7</v>
      </c>
      <c r="B61" s="351" t="str">
        <f>'Salary Record'!C267</f>
        <v>Hammad Ahmed</v>
      </c>
      <c r="C61" s="194"/>
      <c r="D61" s="195"/>
      <c r="E61" s="245">
        <f>'Salary Record'!K266</f>
        <v>23000</v>
      </c>
      <c r="F61" s="269">
        <f>'Salary Record'!C272</f>
        <v>30</v>
      </c>
      <c r="G61" s="248">
        <f>'Salary Record'!C273</f>
        <v>0</v>
      </c>
      <c r="H61" s="269">
        <f>'Salary Record'!I271</f>
        <v>89</v>
      </c>
      <c r="I61" s="269">
        <f>'Salary Record'!I270</f>
        <v>30</v>
      </c>
      <c r="J61" s="244">
        <f>'Salary Record'!K271</f>
        <v>8529.1666666666661</v>
      </c>
      <c r="K61" s="110">
        <f>'Salary Record'!K272</f>
        <v>31529.166666666664</v>
      </c>
      <c r="L61" s="245">
        <f>'Salary Record'!G270</f>
        <v>0</v>
      </c>
      <c r="M61" s="245">
        <f>'Salary Record'!G271</f>
        <v>12000</v>
      </c>
      <c r="N61" s="247">
        <f>'Salary Record'!G272</f>
        <v>12000</v>
      </c>
      <c r="O61" s="245">
        <f>'Salary Record'!G273</f>
        <v>12000</v>
      </c>
      <c r="P61" s="247">
        <f>'Salary Record'!G274</f>
        <v>0</v>
      </c>
      <c r="Q61" s="249">
        <f>'Salary Record'!K274</f>
        <v>19529.166666666664</v>
      </c>
      <c r="R61" s="142"/>
      <c r="S61" s="142"/>
      <c r="T61" s="177" t="s">
        <v>151</v>
      </c>
      <c r="V61" s="179" t="s">
        <v>199</v>
      </c>
      <c r="W61" s="178">
        <v>86384</v>
      </c>
    </row>
    <row r="62" spans="1:25" s="272" customFormat="1" ht="21" x14ac:dyDescent="0.3">
      <c r="A62" s="367" t="s">
        <v>2</v>
      </c>
      <c r="B62" s="368"/>
      <c r="C62" s="312"/>
      <c r="D62" s="312"/>
      <c r="E62" s="314">
        <f>SUM(E55:E61)</f>
        <v>227000</v>
      </c>
      <c r="F62" s="312"/>
      <c r="G62" s="312"/>
      <c r="H62" s="312"/>
      <c r="I62" s="312"/>
      <c r="J62" s="314">
        <f ca="1">SUM(J55:J85)</f>
        <v>15604.838709677417</v>
      </c>
      <c r="K62" s="312"/>
      <c r="L62" s="312"/>
      <c r="M62" s="312"/>
      <c r="N62" s="312"/>
      <c r="O62" s="312"/>
      <c r="P62" s="312"/>
      <c r="Q62" s="314">
        <f>SUM(Q55:Q61)</f>
        <v>137650</v>
      </c>
      <c r="R62" s="306">
        <f ca="1">SUM(R55:R85)</f>
        <v>0</v>
      </c>
      <c r="S62" s="306">
        <f ca="1">SUM(S55:S85)</f>
        <v>22000</v>
      </c>
      <c r="T62" s="271"/>
      <c r="U62" s="310"/>
      <c r="V62" s="273" t="s">
        <v>200</v>
      </c>
      <c r="W62" s="272">
        <v>98000</v>
      </c>
    </row>
    <row r="63" spans="1:25" s="272" customFormat="1" ht="21" x14ac:dyDescent="0.3">
      <c r="A63" s="308"/>
      <c r="B63" s="308"/>
      <c r="C63" s="308"/>
      <c r="D63" s="308"/>
      <c r="E63" s="308"/>
      <c r="F63" s="308"/>
      <c r="G63" s="308"/>
      <c r="H63" s="308"/>
      <c r="I63" s="308"/>
      <c r="J63" s="308"/>
      <c r="K63" s="308"/>
      <c r="L63" s="308"/>
      <c r="M63" s="308"/>
      <c r="N63" s="308"/>
      <c r="O63" s="308"/>
      <c r="P63" s="308"/>
      <c r="Q63" s="309"/>
      <c r="R63" s="310"/>
      <c r="S63" s="310"/>
      <c r="T63" s="310"/>
      <c r="V63" s="311"/>
      <c r="W63" s="272">
        <f>SUM(W50:W62)</f>
        <v>1019211</v>
      </c>
    </row>
    <row r="64" spans="1:25" s="226" customFormat="1" ht="21" customHeight="1" x14ac:dyDescent="0.2">
      <c r="A64" s="375" t="s">
        <v>181</v>
      </c>
      <c r="B64" s="376"/>
      <c r="C64" s="376"/>
      <c r="D64" s="376"/>
      <c r="E64" s="376"/>
      <c r="F64" s="376"/>
      <c r="G64" s="376"/>
      <c r="H64" s="376"/>
      <c r="I64" s="376"/>
      <c r="J64" s="376"/>
      <c r="K64" s="376"/>
      <c r="L64" s="376"/>
      <c r="M64" s="376"/>
      <c r="N64" s="376"/>
      <c r="O64" s="376"/>
      <c r="P64" s="376"/>
      <c r="Q64" s="377"/>
      <c r="R64" s="224"/>
      <c r="S64" s="224"/>
      <c r="T64" s="225"/>
      <c r="U64" s="288"/>
      <c r="V64" s="227"/>
      <c r="W64" s="288">
        <v>33000</v>
      </c>
    </row>
    <row r="65" spans="1:26" s="178" customFormat="1" ht="21" customHeight="1" x14ac:dyDescent="0.2">
      <c r="A65" s="276">
        <v>1</v>
      </c>
      <c r="B65" s="349" t="s">
        <v>15</v>
      </c>
      <c r="C65" s="217"/>
      <c r="D65" s="218"/>
      <c r="E65" s="235">
        <f>'Salary Record'!K90</f>
        <v>50000</v>
      </c>
      <c r="F65" s="235">
        <f>'Salary Record'!C96</f>
        <v>28</v>
      </c>
      <c r="G65" s="236">
        <f>'Salary Record'!C97</f>
        <v>2</v>
      </c>
      <c r="H65" s="235">
        <f>'Salary Record'!I95</f>
        <v>58</v>
      </c>
      <c r="I65" s="235">
        <f>'Salary Record'!I94</f>
        <v>30</v>
      </c>
      <c r="J65" s="339">
        <f>'Salary Record'!K95</f>
        <v>12083.333333333334</v>
      </c>
      <c r="K65" s="237">
        <f>'Salary Record'!K96</f>
        <v>62083.333333333336</v>
      </c>
      <c r="L65" s="238">
        <f>'Salary Record'!G94</f>
        <v>0</v>
      </c>
      <c r="M65" s="239">
        <f>'Salary Record'!G95</f>
        <v>50000</v>
      </c>
      <c r="N65" s="240">
        <f>'Salary Record'!G96</f>
        <v>50000</v>
      </c>
      <c r="O65" s="239">
        <f>'Salary Record'!G97</f>
        <v>50000</v>
      </c>
      <c r="P65" s="240">
        <f>'Salary Record'!G98</f>
        <v>0</v>
      </c>
      <c r="Q65" s="302">
        <f>'Salary Record'!K98</f>
        <v>12083.333333333336</v>
      </c>
      <c r="R65" s="191"/>
      <c r="S65" s="142"/>
      <c r="T65" s="177"/>
      <c r="U65" s="177"/>
      <c r="V65" s="179"/>
      <c r="W65" s="177">
        <f>W64+W63</f>
        <v>1052211</v>
      </c>
    </row>
    <row r="66" spans="1:26" ht="15" x14ac:dyDescent="0.25">
      <c r="A66" s="280">
        <v>2</v>
      </c>
      <c r="B66" s="19" t="str">
        <f>'Salary Record'!C459</f>
        <v>Engr. Saad</v>
      </c>
      <c r="C66" s="102"/>
      <c r="D66" s="92"/>
      <c r="E66" s="20">
        <f>'Salary Record'!K458</f>
        <v>70000</v>
      </c>
      <c r="F66" s="20">
        <f>'Salary Record'!C464</f>
        <v>0</v>
      </c>
      <c r="G66" s="20">
        <f>'Salary Record'!C465</f>
        <v>0</v>
      </c>
      <c r="H66" s="20">
        <f>'Salary Record'!I463</f>
        <v>0</v>
      </c>
      <c r="I66" s="20">
        <f>'Salary Record'!I462</f>
        <v>0</v>
      </c>
      <c r="J66" s="16">
        <f>'Salary Record'!K463</f>
        <v>0</v>
      </c>
      <c r="K66" s="16">
        <f>'Salary Record'!K464</f>
        <v>0</v>
      </c>
      <c r="L66" s="9">
        <f>'Salary Record'!G462</f>
        <v>0</v>
      </c>
      <c r="M66" s="17">
        <f>'Salary Record'!G463</f>
        <v>0</v>
      </c>
      <c r="N66" s="18">
        <f>'Salary Record'!G464</f>
        <v>0</v>
      </c>
      <c r="O66" s="17">
        <f>'Salary Record'!G465</f>
        <v>0</v>
      </c>
      <c r="P66" s="18">
        <f>'Salary Record'!G466</f>
        <v>0</v>
      </c>
      <c r="Q66" s="23">
        <f>'Salary Record'!K466</f>
        <v>0</v>
      </c>
      <c r="R66" s="143"/>
      <c r="S66" s="23"/>
      <c r="T66" s="129"/>
    </row>
    <row r="67" spans="1:26" s="178" customFormat="1" ht="21" customHeight="1" x14ac:dyDescent="0.2">
      <c r="A67" s="277">
        <v>3</v>
      </c>
      <c r="B67" s="350" t="str">
        <f>'Salary Record'!C107</f>
        <v>Mubeen</v>
      </c>
      <c r="C67" s="181"/>
      <c r="D67" s="182"/>
      <c r="E67" s="246">
        <f>'Salary Record'!K106</f>
        <v>65000</v>
      </c>
      <c r="F67" s="246">
        <f>'Salary Record'!C112</f>
        <v>30</v>
      </c>
      <c r="G67" s="243">
        <f>'Salary Record'!C113</f>
        <v>0</v>
      </c>
      <c r="H67" s="246">
        <f>'Salary Record'!I111</f>
        <v>0</v>
      </c>
      <c r="I67" s="246">
        <f>'Salary Record'!I110</f>
        <v>30</v>
      </c>
      <c r="J67" s="244">
        <f>'Salary Record'!K111</f>
        <v>0</v>
      </c>
      <c r="K67" s="244">
        <f>'Salary Record'!K112</f>
        <v>64999.999999999993</v>
      </c>
      <c r="L67" s="245">
        <f>'Salary Record'!G110</f>
        <v>10000</v>
      </c>
      <c r="M67" s="246">
        <f>'Salary Record'!G111</f>
        <v>35000</v>
      </c>
      <c r="N67" s="247">
        <f>'Salary Record'!G112</f>
        <v>45000</v>
      </c>
      <c r="O67" s="246">
        <f>'Salary Record'!G113</f>
        <v>35000</v>
      </c>
      <c r="P67" s="247">
        <f>'Salary Record'!G114</f>
        <v>10000</v>
      </c>
      <c r="Q67" s="249">
        <f>'Salary Record'!K114</f>
        <v>29999.999999999993</v>
      </c>
      <c r="R67" s="142"/>
      <c r="S67" s="142"/>
      <c r="T67" s="177"/>
      <c r="U67" s="177"/>
      <c r="V67" s="179"/>
    </row>
    <row r="68" spans="1:26" s="178" customFormat="1" ht="21" customHeight="1" x14ac:dyDescent="0.2">
      <c r="A68" s="276">
        <v>4</v>
      </c>
      <c r="B68" s="349" t="str">
        <f>'Salary Record'!C474</f>
        <v>A. Lateef Chacha</v>
      </c>
      <c r="C68" s="197"/>
      <c r="D68" s="198"/>
      <c r="E68" s="110">
        <f>'Salary Record'!K473</f>
        <v>25000</v>
      </c>
      <c r="F68" s="110">
        <f>'Salary Record'!C479</f>
        <v>30</v>
      </c>
      <c r="G68" s="248">
        <f>'Salary Record'!C480</f>
        <v>0</v>
      </c>
      <c r="H68" s="110">
        <f>'Salary Record'!I478</f>
        <v>20</v>
      </c>
      <c r="I68" s="110">
        <f>'Salary Record'!I477</f>
        <v>30</v>
      </c>
      <c r="J68" s="244">
        <f>'Salary Record'!K478</f>
        <v>2083.3333333333335</v>
      </c>
      <c r="K68" s="244">
        <f>'Salary Record'!K479</f>
        <v>27083.333333333332</v>
      </c>
      <c r="L68" s="245">
        <f>'Salary Record'!G477</f>
        <v>2000</v>
      </c>
      <c r="M68" s="245">
        <f>'Salary Record'!G478</f>
        <v>4500</v>
      </c>
      <c r="N68" s="247">
        <f>'Salary Record'!G479</f>
        <v>6500</v>
      </c>
      <c r="O68" s="245">
        <f>'Salary Record'!G480</f>
        <v>2000</v>
      </c>
      <c r="P68" s="247">
        <f>'Salary Record'!G481</f>
        <v>4500</v>
      </c>
      <c r="Q68" s="249">
        <f>'Salary Record'!K481</f>
        <v>25083.333333333332</v>
      </c>
      <c r="R68" s="142"/>
      <c r="S68" s="142"/>
      <c r="T68" s="177"/>
      <c r="U68" s="177"/>
      <c r="V68" s="179"/>
    </row>
    <row r="69" spans="1:26" ht="15.75" x14ac:dyDescent="0.25">
      <c r="A69" s="280">
        <v>5</v>
      </c>
      <c r="B69" s="349" t="str">
        <f>'Salary Record'!C490</f>
        <v>Lateef</v>
      </c>
      <c r="C69" s="15"/>
      <c r="D69" s="89"/>
      <c r="E69" s="9">
        <f>'Salary Record'!K489</f>
        <v>30000</v>
      </c>
      <c r="F69" s="9">
        <f>'Salary Record'!C495</f>
        <v>28</v>
      </c>
      <c r="G69" s="21">
        <f>'Salary Record'!C496</f>
        <v>2</v>
      </c>
      <c r="H69" s="9">
        <f>'Salary Record'!I494</f>
        <v>14</v>
      </c>
      <c r="I69" s="9">
        <f>'Salary Record'!I493</f>
        <v>28</v>
      </c>
      <c r="J69" s="16">
        <f>'Salary Record'!K494</f>
        <v>1750</v>
      </c>
      <c r="K69" s="16">
        <f>'Salary Record'!K495</f>
        <v>29750</v>
      </c>
      <c r="L69" s="9">
        <f>'Salary Record'!G493</f>
        <v>6000</v>
      </c>
      <c r="M69" s="9">
        <f>'Salary Record'!G494</f>
        <v>19000</v>
      </c>
      <c r="N69" s="151">
        <f>'Salary Record'!G495</f>
        <v>25000</v>
      </c>
      <c r="O69" s="9">
        <f>'Salary Record'!G496</f>
        <v>5000</v>
      </c>
      <c r="P69" s="151">
        <f>'Salary Record'!G497</f>
        <v>20000</v>
      </c>
      <c r="Q69" s="142">
        <f>'Salary Record'!K497</f>
        <v>24750</v>
      </c>
      <c r="R69" s="143">
        <v>0</v>
      </c>
      <c r="S69" s="23">
        <f t="shared" ref="S69" si="2">Q69-R69</f>
        <v>24750</v>
      </c>
      <c r="T69" s="129"/>
      <c r="U69" s="8"/>
      <c r="X69" s="2"/>
      <c r="Z69" s="2"/>
    </row>
    <row r="70" spans="1:26" s="178" customFormat="1" ht="21" customHeight="1" x14ac:dyDescent="0.2">
      <c r="A70" s="277">
        <v>6</v>
      </c>
      <c r="B70" s="326" t="s">
        <v>31</v>
      </c>
      <c r="C70" s="209"/>
      <c r="D70" s="210"/>
      <c r="E70" s="242">
        <f>'Salary Record'!K234</f>
        <v>30000</v>
      </c>
      <c r="F70" s="242">
        <f>'Salary Record'!C240</f>
        <v>28</v>
      </c>
      <c r="G70" s="243">
        <f>'Salary Record'!C241</f>
        <v>2</v>
      </c>
      <c r="H70" s="242">
        <f>'Salary Record'!I239</f>
        <v>119</v>
      </c>
      <c r="I70" s="242">
        <f>'Salary Record'!I238</f>
        <v>30</v>
      </c>
      <c r="J70" s="244">
        <f>'Salary Record'!K239</f>
        <v>14875</v>
      </c>
      <c r="K70" s="110">
        <f>'Salary Record'!K240</f>
        <v>44875</v>
      </c>
      <c r="L70" s="245">
        <f>'Salary Record'!G238</f>
        <v>80000</v>
      </c>
      <c r="M70" s="246">
        <f>'Salary Record'!G239</f>
        <v>25000</v>
      </c>
      <c r="N70" s="247">
        <f>'Salary Record'!G240</f>
        <v>105000</v>
      </c>
      <c r="O70" s="246">
        <f>'Salary Record'!G241</f>
        <v>25000</v>
      </c>
      <c r="P70" s="247">
        <f>'Salary Record'!G242</f>
        <v>80000</v>
      </c>
      <c r="Q70" s="249">
        <f>'Salary Record'!K242</f>
        <v>19875</v>
      </c>
      <c r="R70" s="142"/>
      <c r="S70" s="142"/>
      <c r="T70" s="177" t="s">
        <v>138</v>
      </c>
      <c r="U70" s="177" t="s">
        <v>139</v>
      </c>
      <c r="V70" s="179">
        <f>Q68+Q69+Q72</f>
        <v>77958.333333333328</v>
      </c>
    </row>
    <row r="71" spans="1:26" ht="15.75" x14ac:dyDescent="0.25">
      <c r="A71" s="276">
        <v>7</v>
      </c>
      <c r="B71" s="241" t="str">
        <f>'Salary Record'!C634</f>
        <v>Sheheryar Khalid</v>
      </c>
      <c r="C71" s="112"/>
      <c r="D71" s="113"/>
      <c r="E71" s="9">
        <f>'Salary Record'!K633</f>
        <v>30000</v>
      </c>
      <c r="F71" s="9">
        <f>'Salary Record'!C639</f>
        <v>0</v>
      </c>
      <c r="G71" s="21">
        <f>'Salary Record'!C640</f>
        <v>0</v>
      </c>
      <c r="H71" s="9">
        <f>'Salary Record'!I638</f>
        <v>98</v>
      </c>
      <c r="I71" s="9">
        <f>'Salary Record'!I637</f>
        <v>0</v>
      </c>
      <c r="J71" s="340">
        <f>'Salary Record'!K638</f>
        <v>12250</v>
      </c>
      <c r="K71" s="16">
        <f>'Salary Record'!K639</f>
        <v>12250</v>
      </c>
      <c r="L71" s="9">
        <f>'Salary Record'!G637</f>
        <v>45000</v>
      </c>
      <c r="M71" s="9">
        <f>'Salary Record'!G638</f>
        <v>0</v>
      </c>
      <c r="N71" s="18">
        <f>'Salary Record'!G639</f>
        <v>45000</v>
      </c>
      <c r="O71" s="9">
        <f>'Salary Record'!G640</f>
        <v>10000</v>
      </c>
      <c r="P71" s="18">
        <f>'Salary Record'!G641</f>
        <v>35000</v>
      </c>
      <c r="Q71" s="249">
        <f>'Salary Record'!K641</f>
        <v>2250</v>
      </c>
      <c r="R71" s="144">
        <f>Q71*75%</f>
        <v>1687.5</v>
      </c>
      <c r="S71" s="23">
        <v>0</v>
      </c>
      <c r="T71" s="129"/>
    </row>
    <row r="72" spans="1:26" s="178" customFormat="1" ht="21" customHeight="1" x14ac:dyDescent="0.2">
      <c r="A72" s="280">
        <v>8</v>
      </c>
      <c r="B72" s="241" t="s">
        <v>9</v>
      </c>
      <c r="C72" s="203"/>
      <c r="D72" s="200"/>
      <c r="E72" s="248">
        <f>'Salary Record'!K170</f>
        <v>30000</v>
      </c>
      <c r="F72" s="248">
        <f>'Salary Record'!C176</f>
        <v>0</v>
      </c>
      <c r="G72" s="248">
        <f>'Salary Record'!C177</f>
        <v>0</v>
      </c>
      <c r="H72" s="248">
        <f>'Salary Record'!I175</f>
        <v>65</v>
      </c>
      <c r="I72" s="248">
        <f>'Salary Record'!I174</f>
        <v>30</v>
      </c>
      <c r="J72" s="244">
        <f>'Salary Record'!K175</f>
        <v>8125</v>
      </c>
      <c r="K72" s="244">
        <f>'Salary Record'!K176</f>
        <v>38125</v>
      </c>
      <c r="L72" s="245">
        <f>'Salary Record'!G174</f>
        <v>62867</v>
      </c>
      <c r="M72" s="246">
        <f>'Salary Record'!G175</f>
        <v>10000</v>
      </c>
      <c r="N72" s="247">
        <f>'Salary Record'!G176</f>
        <v>72867</v>
      </c>
      <c r="O72" s="246">
        <f>'Salary Record'!G177</f>
        <v>10000</v>
      </c>
      <c r="P72" s="247">
        <f>'Salary Record'!G178</f>
        <v>62867</v>
      </c>
      <c r="Q72" s="249">
        <f>'Salary Record'!K178</f>
        <v>28125</v>
      </c>
      <c r="R72" s="142"/>
      <c r="S72" s="142"/>
      <c r="T72" s="177" t="s">
        <v>125</v>
      </c>
      <c r="U72" s="177" t="s">
        <v>126</v>
      </c>
      <c r="V72" s="179"/>
    </row>
    <row r="73" spans="1:26" s="272" customFormat="1" ht="21" x14ac:dyDescent="0.3">
      <c r="A73" s="367" t="s">
        <v>2</v>
      </c>
      <c r="B73" s="368"/>
      <c r="C73" s="312"/>
      <c r="D73" s="312"/>
      <c r="E73" s="316">
        <f>SUM(E65:E72)</f>
        <v>330000</v>
      </c>
      <c r="F73" s="312"/>
      <c r="G73" s="312"/>
      <c r="H73" s="312"/>
      <c r="I73" s="312"/>
      <c r="J73" s="316">
        <f>SUM(J65:J72)</f>
        <v>51166.666666666672</v>
      </c>
      <c r="K73" s="312"/>
      <c r="L73" s="312"/>
      <c r="M73" s="312"/>
      <c r="N73" s="312"/>
      <c r="O73" s="312"/>
      <c r="P73" s="312"/>
      <c r="Q73" s="270">
        <f>SUM(Q65:Q72)</f>
        <v>142166.66666666666</v>
      </c>
      <c r="R73" s="306" t="e">
        <f ca="1">SUM(R68:R92)</f>
        <v>#REF!</v>
      </c>
      <c r="S73" s="306" t="e">
        <f ca="1">SUM(S68:S92)</f>
        <v>#REF!</v>
      </c>
      <c r="T73" s="271"/>
      <c r="V73" s="273">
        <f>Q69+Q68</f>
        <v>49833.333333333328</v>
      </c>
    </row>
    <row r="74" spans="1:26" s="272" customFormat="1" ht="21" x14ac:dyDescent="0.3">
      <c r="A74" s="308"/>
      <c r="B74" s="308"/>
      <c r="C74" s="308"/>
      <c r="D74" s="308"/>
      <c r="E74" s="308"/>
      <c r="F74" s="308"/>
      <c r="G74" s="308"/>
      <c r="H74" s="308"/>
      <c r="I74" s="308"/>
      <c r="J74" s="308"/>
      <c r="K74" s="308"/>
      <c r="L74" s="308"/>
      <c r="M74" s="308"/>
      <c r="N74" s="308"/>
      <c r="O74" s="308"/>
      <c r="P74" s="308"/>
      <c r="Q74" s="309"/>
      <c r="R74" s="310"/>
      <c r="S74" s="310"/>
      <c r="T74" s="310"/>
      <c r="U74" s="310"/>
      <c r="V74" s="311"/>
      <c r="W74" s="310"/>
    </row>
    <row r="75" spans="1:26" s="222" customFormat="1" ht="21" customHeight="1" x14ac:dyDescent="0.2">
      <c r="A75" s="372" t="s">
        <v>180</v>
      </c>
      <c r="B75" s="373"/>
      <c r="C75" s="373"/>
      <c r="D75" s="373"/>
      <c r="E75" s="373"/>
      <c r="F75" s="373"/>
      <c r="G75" s="373"/>
      <c r="H75" s="373"/>
      <c r="I75" s="373"/>
      <c r="J75" s="373"/>
      <c r="K75" s="373"/>
      <c r="L75" s="373"/>
      <c r="M75" s="373"/>
      <c r="N75" s="373"/>
      <c r="O75" s="373"/>
      <c r="P75" s="373"/>
      <c r="Q75" s="374"/>
      <c r="R75" s="220"/>
      <c r="S75" s="220"/>
      <c r="T75" s="234"/>
      <c r="U75" s="228"/>
      <c r="V75" s="223"/>
    </row>
    <row r="76" spans="1:26" s="178" customFormat="1" ht="21" customHeight="1" x14ac:dyDescent="0.3">
      <c r="A76" s="277">
        <v>1</v>
      </c>
      <c r="B76" s="241" t="str">
        <f>'Salary Record'!C650</f>
        <v>Zeeshan AC</v>
      </c>
      <c r="C76" s="181"/>
      <c r="D76" s="182"/>
      <c r="E76" s="110">
        <f>'Salary Record'!K649</f>
        <v>28000</v>
      </c>
      <c r="F76" s="110">
        <f>'Salary Record'!C655</f>
        <v>0</v>
      </c>
      <c r="G76" s="248">
        <f>'Salary Record'!C656</f>
        <v>0</v>
      </c>
      <c r="H76" s="110">
        <f>'Salary Record'!I654</f>
        <v>0</v>
      </c>
      <c r="I76" s="110">
        <f>'Salary Record'!I653</f>
        <v>30</v>
      </c>
      <c r="J76" s="244">
        <f>'Salary Record'!K654</f>
        <v>0</v>
      </c>
      <c r="K76" s="110">
        <f>'Salary Record'!K655</f>
        <v>28000</v>
      </c>
      <c r="L76" s="245">
        <f>'Salary Record'!G653</f>
        <v>0</v>
      </c>
      <c r="M76" s="245">
        <f>'Salary Record'!G654</f>
        <v>0</v>
      </c>
      <c r="N76" s="245" t="str">
        <f>'Salary Record'!G655</f>
        <v/>
      </c>
      <c r="O76" s="245">
        <f>'Salary Record'!G656</f>
        <v>0</v>
      </c>
      <c r="P76" s="245" t="str">
        <f>'Salary Record'!G657</f>
        <v/>
      </c>
      <c r="Q76" s="249">
        <f>'Salary Record'!K657</f>
        <v>28000</v>
      </c>
      <c r="R76" s="142"/>
      <c r="S76" s="142"/>
      <c r="T76" s="177"/>
      <c r="U76" s="177">
        <f>Q73-Q67</f>
        <v>112166.66666666666</v>
      </c>
      <c r="V76" s="273"/>
    </row>
    <row r="77" spans="1:26" s="272" customFormat="1" ht="21" x14ac:dyDescent="0.3">
      <c r="A77" s="367" t="s">
        <v>2</v>
      </c>
      <c r="B77" s="368"/>
      <c r="C77" s="312"/>
      <c r="D77" s="312"/>
      <c r="E77" s="314">
        <f>SUM(E76:E76)</f>
        <v>28000</v>
      </c>
      <c r="F77" s="312"/>
      <c r="G77" s="312"/>
      <c r="H77" s="312"/>
      <c r="I77" s="312"/>
      <c r="J77" s="314">
        <f>SUM(J76:J76)</f>
        <v>0</v>
      </c>
      <c r="K77" s="313"/>
      <c r="L77" s="312"/>
      <c r="M77" s="312"/>
      <c r="N77" s="312"/>
      <c r="O77" s="312"/>
      <c r="P77" s="312"/>
      <c r="Q77" s="270">
        <f>SUM(Q76:Q76)</f>
        <v>28000</v>
      </c>
      <c r="R77" s="306">
        <f>SUM(R76:R76)</f>
        <v>0</v>
      </c>
      <c r="S77" s="306">
        <f>SUM(S76:S76)</f>
        <v>0</v>
      </c>
      <c r="T77" s="271"/>
      <c r="U77" s="310"/>
      <c r="V77" s="273"/>
    </row>
    <row r="78" spans="1:26" ht="21" customHeight="1" x14ac:dyDescent="0.2">
      <c r="A78" s="365" t="s">
        <v>106</v>
      </c>
      <c r="B78" s="366"/>
      <c r="C78" s="304"/>
      <c r="D78" s="304"/>
      <c r="E78" s="318">
        <f>SUM(E4+E5+E77+E62+E52+E45+E34+E27+E20+E11+E73)</f>
        <v>1536500</v>
      </c>
      <c r="F78" s="304"/>
      <c r="G78" s="304"/>
      <c r="H78" s="304"/>
      <c r="I78" s="304"/>
      <c r="J78" s="317">
        <f ca="1">SUM(J4+J5+J77+J62+J52+J45+J34+J27+J20+J11+J73)</f>
        <v>140606.24999999997</v>
      </c>
      <c r="K78" s="305"/>
      <c r="L78" s="275">
        <f>SUM(L4:L77)</f>
        <v>556697</v>
      </c>
      <c r="M78" s="315">
        <f>SUM(M4:M77)</f>
        <v>691500</v>
      </c>
      <c r="N78" s="275">
        <f>SUM(N4:N77)</f>
        <v>1238197</v>
      </c>
      <c r="O78" s="275">
        <f>SUM(O4:O77)</f>
        <v>628275</v>
      </c>
      <c r="P78" s="275">
        <f>SUM(P4:P77)</f>
        <v>609922</v>
      </c>
      <c r="Q78" s="274">
        <f>SUM(Q4+Q5+Q77+Q62+Q52+Q45+Q34+Q27+Q20+Q11+Q73)</f>
        <v>875102.08333333326</v>
      </c>
      <c r="R78" s="98" t="e">
        <f ca="1">SUM(R4+R5+R77+#REF!+R62+R52+#REF!+R45+R34+R27+R20+R11)</f>
        <v>#REF!</v>
      </c>
      <c r="S78" s="98" t="e">
        <f ca="1">SUM(S4+S5+S77+#REF!+S62+S52+#REF!+S45+S34+S27+S20+S11)</f>
        <v>#REF!</v>
      </c>
      <c r="T78" s="131"/>
      <c r="U78" s="8"/>
      <c r="W78" s="8"/>
    </row>
    <row r="79" spans="1:26" ht="20.45" customHeight="1" x14ac:dyDescent="0.2">
      <c r="A79" s="369" t="s">
        <v>189</v>
      </c>
      <c r="B79" s="370"/>
      <c r="C79" s="370"/>
      <c r="D79" s="370"/>
      <c r="E79" s="370"/>
      <c r="F79" s="370"/>
      <c r="G79" s="370"/>
      <c r="H79" s="370"/>
      <c r="I79" s="370"/>
      <c r="J79" s="370"/>
      <c r="K79" s="370"/>
      <c r="L79" s="370"/>
      <c r="M79" s="370"/>
      <c r="N79" s="370"/>
      <c r="O79" s="370"/>
      <c r="P79" s="371"/>
      <c r="Q79" s="152"/>
      <c r="R79" s="98"/>
      <c r="S79" s="98"/>
      <c r="T79" s="131"/>
      <c r="U79" s="8">
        <f>Q76+Q72+Q69+Q67+Q40+Q37+Q26+Q25+Q24+Q23+Q14+Q68</f>
        <v>410483.33333333331</v>
      </c>
      <c r="W79" s="8"/>
    </row>
    <row r="80" spans="1:26" ht="20.45" customHeight="1" x14ac:dyDescent="0.2">
      <c r="A80" s="369" t="s">
        <v>190</v>
      </c>
      <c r="B80" s="370"/>
      <c r="C80" s="370"/>
      <c r="D80" s="370"/>
      <c r="E80" s="370"/>
      <c r="F80" s="370"/>
      <c r="G80" s="370"/>
      <c r="H80" s="370"/>
      <c r="I80" s="370"/>
      <c r="J80" s="370"/>
      <c r="K80" s="370"/>
      <c r="L80" s="370"/>
      <c r="M80" s="370"/>
      <c r="N80" s="370"/>
      <c r="O80" s="370"/>
      <c r="P80" s="371"/>
      <c r="Q80" s="152"/>
      <c r="R80" s="98"/>
      <c r="S80" s="98"/>
      <c r="T80" s="131"/>
      <c r="U80" s="8"/>
      <c r="W80" s="8"/>
    </row>
    <row r="81" spans="1:26" ht="20.45" customHeight="1" x14ac:dyDescent="0.25">
      <c r="A81" s="278"/>
      <c r="B81" s="133"/>
      <c r="C81" s="133"/>
      <c r="D81" s="133"/>
      <c r="E81" s="133"/>
      <c r="F81" s="133"/>
      <c r="G81" s="133"/>
      <c r="H81" s="133"/>
      <c r="I81" s="133"/>
      <c r="J81" s="133"/>
      <c r="K81" s="155"/>
      <c r="L81" s="155"/>
      <c r="M81" s="155"/>
      <c r="N81" s="155"/>
      <c r="O81" s="156"/>
      <c r="P81" s="156"/>
      <c r="Q81" s="157"/>
      <c r="R81" s="98"/>
      <c r="S81" s="98"/>
      <c r="T81" s="131"/>
      <c r="U81" s="8">
        <f>Q76+Q72+Q69+Q68+Q14+Q27</f>
        <v>301275</v>
      </c>
      <c r="W81" s="8">
        <f>Q72+Q27+Q14</f>
        <v>223441.66666666663</v>
      </c>
    </row>
    <row r="82" spans="1:26" ht="18" x14ac:dyDescent="0.25">
      <c r="A82" s="280"/>
      <c r="B82" s="153"/>
      <c r="C82" s="100"/>
      <c r="D82" s="101"/>
      <c r="E82" s="9"/>
      <c r="F82" s="9"/>
      <c r="G82" s="21"/>
      <c r="H82" s="104"/>
      <c r="I82" s="9"/>
      <c r="J82" s="16"/>
      <c r="K82" s="10"/>
      <c r="L82" s="9"/>
      <c r="M82" s="9"/>
      <c r="N82" s="18"/>
      <c r="O82" s="9"/>
      <c r="P82" s="18"/>
      <c r="Q82" s="338"/>
      <c r="R82" s="123"/>
      <c r="S82" s="23"/>
      <c r="T82" s="129"/>
      <c r="U82" s="8"/>
      <c r="W82" s="8"/>
    </row>
    <row r="83" spans="1:26" ht="15" x14ac:dyDescent="0.25">
      <c r="A83" s="280">
        <v>5</v>
      </c>
      <c r="B83" s="19">
        <f>'Salary Record'!C873</f>
        <v>0</v>
      </c>
      <c r="C83" s="95"/>
      <c r="D83" s="94"/>
      <c r="E83" s="10">
        <f>'Salary Record'!K872</f>
        <v>0</v>
      </c>
      <c r="F83" s="10">
        <f>'Salary Record'!C878</f>
        <v>0</v>
      </c>
      <c r="G83" s="20">
        <f>'Salary Record'!C879</f>
        <v>0</v>
      </c>
      <c r="H83" s="10">
        <f>'Salary Record'!I877</f>
        <v>0</v>
      </c>
      <c r="I83" s="10">
        <f>'Salary Record'!I876</f>
        <v>30</v>
      </c>
      <c r="J83" s="16">
        <f>'Salary Record'!K877</f>
        <v>0</v>
      </c>
      <c r="K83" s="10">
        <f>'Salary Record'!K878</f>
        <v>0</v>
      </c>
      <c r="L83" s="9">
        <f>'Salary Record'!G876</f>
        <v>0</v>
      </c>
      <c r="M83" s="17">
        <f>'Salary Record'!G877</f>
        <v>0</v>
      </c>
      <c r="N83" s="18">
        <f>'Salary Record'!G878</f>
        <v>0</v>
      </c>
      <c r="O83" s="17">
        <f>'Salary Record'!G879</f>
        <v>0</v>
      </c>
      <c r="P83" s="18">
        <f>'Salary Record'!G880</f>
        <v>0</v>
      </c>
      <c r="Q83" s="23">
        <f>'Salary Record'!K880</f>
        <v>0</v>
      </c>
      <c r="R83" s="144">
        <f>Q83*75%</f>
        <v>0</v>
      </c>
      <c r="S83" s="23">
        <v>0</v>
      </c>
      <c r="T83" s="129"/>
    </row>
    <row r="84" spans="1:26" s="178" customFormat="1" ht="21" customHeight="1" x14ac:dyDescent="0.2">
      <c r="A84" s="276">
        <v>7</v>
      </c>
      <c r="B84" s="241" t="str">
        <f>'Salary Record'!C681</f>
        <v>Asif (Cooling tower)</v>
      </c>
      <c r="C84" s="207" t="s">
        <v>39</v>
      </c>
      <c r="D84" s="208">
        <f>SUM(Q46:Q86)</f>
        <v>1600210.4166666665</v>
      </c>
      <c r="E84" s="246">
        <f>'Salary Record'!K680</f>
        <v>0</v>
      </c>
      <c r="F84" s="246">
        <f>'Salary Record'!C686</f>
        <v>0</v>
      </c>
      <c r="G84" s="243">
        <f>'Salary Record'!C687</f>
        <v>0</v>
      </c>
      <c r="H84" s="246">
        <f>'Salary Record'!I685</f>
        <v>0</v>
      </c>
      <c r="I84" s="246">
        <f>'Salary Record'!I684</f>
        <v>30</v>
      </c>
      <c r="J84" s="244">
        <f>'Salary Record'!K685</f>
        <v>0</v>
      </c>
      <c r="K84" s="244">
        <f>'Salary Record'!K686</f>
        <v>0</v>
      </c>
      <c r="L84" s="245">
        <f>'Salary Record'!G684</f>
        <v>0</v>
      </c>
      <c r="M84" s="246">
        <f>'Salary Record'!G685</f>
        <v>0</v>
      </c>
      <c r="N84" s="246">
        <f>'Salary Record'!G686</f>
        <v>0</v>
      </c>
      <c r="O84" s="246">
        <f>'Salary Record'!G687</f>
        <v>0</v>
      </c>
      <c r="P84" s="247">
        <f>'Salary Record'!G688</f>
        <v>0</v>
      </c>
      <c r="Q84" s="251">
        <f>'Salary Record'!K688</f>
        <v>0</v>
      </c>
      <c r="R84" s="142"/>
      <c r="S84" s="142"/>
      <c r="T84" s="177"/>
      <c r="U84" s="177"/>
      <c r="V84" s="179"/>
    </row>
    <row r="85" spans="1:26" x14ac:dyDescent="0.2">
      <c r="A85" s="281"/>
      <c r="B85" s="146"/>
      <c r="C85" s="146"/>
      <c r="D85" s="146"/>
      <c r="E85" s="117"/>
      <c r="F85" s="117"/>
      <c r="G85" s="147"/>
      <c r="H85" s="117"/>
      <c r="I85" s="117"/>
      <c r="J85" s="117"/>
      <c r="K85" s="117"/>
      <c r="L85" s="117"/>
      <c r="M85" s="117"/>
      <c r="N85" s="148"/>
      <c r="O85" s="117"/>
      <c r="P85" s="148"/>
      <c r="Q85" s="119"/>
    </row>
    <row r="86" spans="1:26" s="178" customFormat="1" ht="21" customHeight="1" x14ac:dyDescent="0.2">
      <c r="A86" s="277">
        <v>5</v>
      </c>
      <c r="B86" s="241"/>
      <c r="C86" s="204"/>
      <c r="D86" s="205"/>
      <c r="E86" s="248">
        <f>'Salary Record'!K728</f>
        <v>0</v>
      </c>
      <c r="F86" s="248">
        <f>'Salary Record'!C734</f>
        <v>0</v>
      </c>
      <c r="G86" s="248">
        <f>'Salary Record'!C735</f>
        <v>0</v>
      </c>
      <c r="H86" s="248">
        <f>'Salary Record'!I733</f>
        <v>0</v>
      </c>
      <c r="I86" s="248">
        <f>'Salary Record'!I732</f>
        <v>0</v>
      </c>
      <c r="J86" s="244">
        <f>'Salary Record'!K733</f>
        <v>0</v>
      </c>
      <c r="K86" s="244">
        <f>'Salary Record'!K734</f>
        <v>0</v>
      </c>
      <c r="L86" s="245">
        <f>'Salary Record'!G732</f>
        <v>0</v>
      </c>
      <c r="M86" s="246">
        <f>'Salary Record'!G733</f>
        <v>0</v>
      </c>
      <c r="N86" s="247">
        <f>'Salary Record'!G734</f>
        <v>0</v>
      </c>
      <c r="O86" s="246">
        <f>'Salary Record'!G735</f>
        <v>0</v>
      </c>
      <c r="P86" s="247">
        <f>'Salary Record'!G736</f>
        <v>0</v>
      </c>
      <c r="Q86" s="303">
        <f>'Salary Record'!K736</f>
        <v>0</v>
      </c>
      <c r="R86" s="206"/>
      <c r="S86" s="142"/>
      <c r="T86" s="177"/>
      <c r="U86" s="177"/>
      <c r="V86" s="179"/>
    </row>
    <row r="87" spans="1:26" s="178" customFormat="1" ht="21" customHeight="1" x14ac:dyDescent="0.2">
      <c r="A87" s="276">
        <v>2</v>
      </c>
      <c r="B87" s="321" t="s">
        <v>13</v>
      </c>
      <c r="C87" s="215" t="s">
        <v>32</v>
      </c>
      <c r="D87" s="216" t="e">
        <f>SUM(Q26:Q90)</f>
        <v>#REF!</v>
      </c>
      <c r="E87" s="263" t="e">
        <f>'Salary Record'!#REF!</f>
        <v>#REF!</v>
      </c>
      <c r="F87" s="263" t="e">
        <f>'Salary Record'!#REF!</f>
        <v>#REF!</v>
      </c>
      <c r="G87" s="264" t="e">
        <f>'Salary Record'!#REF!</f>
        <v>#REF!</v>
      </c>
      <c r="H87" s="263" t="e">
        <f>'Salary Record'!#REF!</f>
        <v>#REF!</v>
      </c>
      <c r="I87" s="263" t="e">
        <f>'Salary Record'!#REF!</f>
        <v>#REF!</v>
      </c>
      <c r="J87" s="237" t="e">
        <f>'Salary Record'!#REF!</f>
        <v>#REF!</v>
      </c>
      <c r="K87" s="263" t="e">
        <f>'Salary Record'!#REF!</f>
        <v>#REF!</v>
      </c>
      <c r="L87" s="238" t="e">
        <f>'Salary Record'!#REF!</f>
        <v>#REF!</v>
      </c>
      <c r="M87" s="238" t="e">
        <f>'Salary Record'!#REF!</f>
        <v>#REF!</v>
      </c>
      <c r="N87" s="240" t="e">
        <f>'Salary Record'!#REF!</f>
        <v>#REF!</v>
      </c>
      <c r="O87" s="239" t="e">
        <f>'Salary Record'!#REF!</f>
        <v>#REF!</v>
      </c>
      <c r="P87" s="240" t="e">
        <f>'Salary Record'!#REF!</f>
        <v>#REF!</v>
      </c>
      <c r="Q87" s="265" t="e">
        <f>'Salary Record'!#REF!</f>
        <v>#REF!</v>
      </c>
      <c r="R87" s="191"/>
      <c r="S87" s="142"/>
      <c r="T87" s="177"/>
      <c r="U87" s="177"/>
      <c r="V87" s="179"/>
    </row>
    <row r="88" spans="1:26" ht="15" x14ac:dyDescent="0.25">
      <c r="A88" s="280"/>
      <c r="B88" s="19"/>
      <c r="C88" s="149" t="s">
        <v>33</v>
      </c>
      <c r="D88" s="150" t="e">
        <f>SUM(Q27:Q92)</f>
        <v>#REF!</v>
      </c>
      <c r="E88" s="17" t="e">
        <f>'Salary Record'!#REF!</f>
        <v>#REF!</v>
      </c>
      <c r="F88" s="17" t="e">
        <f>'Salary Record'!#REF!</f>
        <v>#REF!</v>
      </c>
      <c r="G88" s="24" t="e">
        <f>'Salary Record'!#REF!</f>
        <v>#REF!</v>
      </c>
      <c r="H88" s="17" t="e">
        <f>'Salary Record'!#REF!</f>
        <v>#REF!</v>
      </c>
      <c r="I88" s="17" t="e">
        <f>'Salary Record'!#REF!</f>
        <v>#REF!</v>
      </c>
      <c r="J88" s="16" t="e">
        <f>'Salary Record'!#REF!</f>
        <v>#REF!</v>
      </c>
      <c r="K88" s="16" t="e">
        <f>'Salary Record'!#REF!</f>
        <v>#REF!</v>
      </c>
      <c r="L88" s="9" t="e">
        <f>'Salary Record'!#REF!</f>
        <v>#REF!</v>
      </c>
      <c r="M88" s="17" t="e">
        <f>'Salary Record'!#REF!</f>
        <v>#REF!</v>
      </c>
      <c r="N88" s="18" t="e">
        <f>'Salary Record'!#REF!</f>
        <v>#REF!</v>
      </c>
      <c r="O88" s="17" t="e">
        <f>'Salary Record'!#REF!</f>
        <v>#REF!</v>
      </c>
      <c r="P88" s="18" t="e">
        <f>'Salary Record'!#REF!</f>
        <v>#REF!</v>
      </c>
      <c r="Q88" s="23" t="e">
        <f>'Salary Record'!#REF!</f>
        <v>#REF!</v>
      </c>
      <c r="R88" s="143"/>
      <c r="S88" s="23"/>
      <c r="T88" s="129"/>
    </row>
    <row r="89" spans="1:26" s="178" customFormat="1" ht="21" customHeight="1" x14ac:dyDescent="0.2">
      <c r="A89" s="276">
        <v>5</v>
      </c>
      <c r="B89" s="241" t="s">
        <v>157</v>
      </c>
      <c r="C89" s="209" t="s">
        <v>87</v>
      </c>
      <c r="D89" s="210">
        <f>SUM(Q27:Q74)</f>
        <v>1254587.5000000002</v>
      </c>
      <c r="E89" s="269" t="e">
        <f>'Salary Record'!#REF!</f>
        <v>#REF!</v>
      </c>
      <c r="F89" s="269" t="e">
        <f>'Salary Record'!#REF!</f>
        <v>#REF!</v>
      </c>
      <c r="G89" s="248" t="e">
        <f>'Salary Record'!#REF!</f>
        <v>#REF!</v>
      </c>
      <c r="H89" s="269" t="e">
        <f>'Salary Record'!#REF!</f>
        <v>#REF!</v>
      </c>
      <c r="I89" s="269" t="e">
        <f>'Salary Record'!#REF!</f>
        <v>#REF!</v>
      </c>
      <c r="J89" s="244" t="e">
        <f>'Salary Record'!#REF!</f>
        <v>#REF!</v>
      </c>
      <c r="K89" s="244" t="e">
        <f>'Salary Record'!#REF!</f>
        <v>#REF!</v>
      </c>
      <c r="L89" s="245" t="e">
        <f>'Salary Record'!#REF!</f>
        <v>#REF!</v>
      </c>
      <c r="M89" s="246" t="e">
        <f>'Salary Record'!#REF!</f>
        <v>#REF!</v>
      </c>
      <c r="N89" s="247" t="e">
        <f>'Salary Record'!#REF!</f>
        <v>#REF!</v>
      </c>
      <c r="O89" s="246" t="e">
        <f>'Salary Record'!#REF!</f>
        <v>#REF!</v>
      </c>
      <c r="P89" s="247" t="e">
        <f>'Salary Record'!#REF!</f>
        <v>#REF!</v>
      </c>
      <c r="Q89" s="251" t="e">
        <f>'Salary Record'!#REF!</f>
        <v>#REF!</v>
      </c>
      <c r="R89" s="142"/>
      <c r="S89" s="142"/>
      <c r="T89" s="177" t="s">
        <v>117</v>
      </c>
      <c r="V89" s="179"/>
    </row>
    <row r="90" spans="1:26" x14ac:dyDescent="0.2">
      <c r="A90" s="281"/>
      <c r="B90" s="146"/>
      <c r="C90" s="146"/>
      <c r="D90" s="146"/>
      <c r="E90" s="117"/>
      <c r="F90" s="117"/>
      <c r="G90" s="147"/>
      <c r="H90" s="117"/>
      <c r="I90" s="117"/>
      <c r="J90" s="117"/>
      <c r="K90" s="117"/>
      <c r="L90" s="117"/>
      <c r="M90" s="117"/>
      <c r="N90" s="148"/>
      <c r="O90" s="117"/>
      <c r="P90" s="148"/>
      <c r="Q90" s="119"/>
    </row>
    <row r="91" spans="1:26" ht="15" x14ac:dyDescent="0.25">
      <c r="A91" s="279">
        <v>10</v>
      </c>
      <c r="B91" s="19" t="str">
        <f>'Salary Record'!C713</f>
        <v>Azeem D/W</v>
      </c>
      <c r="C91" s="100"/>
      <c r="D91" s="101"/>
      <c r="E91" s="9">
        <f>'Salary Record'!K712</f>
        <v>1400</v>
      </c>
      <c r="F91" s="9">
        <f>'Salary Record'!C718</f>
        <v>0</v>
      </c>
      <c r="G91" s="21">
        <f>'Salary Record'!C719</f>
        <v>0</v>
      </c>
      <c r="H91" s="9">
        <f>'Salary Record'!I717</f>
        <v>0</v>
      </c>
      <c r="I91" s="9">
        <f>'Salary Record'!I716</f>
        <v>0</v>
      </c>
      <c r="J91" s="80">
        <f>'Salary Record'!K717</f>
        <v>0</v>
      </c>
      <c r="K91" s="80">
        <f>'Salary Record'!K718</f>
        <v>0</v>
      </c>
      <c r="L91" s="81">
        <f>'Salary Record'!G716</f>
        <v>0</v>
      </c>
      <c r="M91" s="81">
        <f>'Salary Record'!G717</f>
        <v>0</v>
      </c>
      <c r="N91" s="82">
        <f>'Salary Record'!G718</f>
        <v>0</v>
      </c>
      <c r="O91" s="81">
        <f>'Salary Record'!G719</f>
        <v>0</v>
      </c>
      <c r="P91" s="82">
        <f>'Salary Record'!G720</f>
        <v>0</v>
      </c>
      <c r="Q91" s="120">
        <f>'Salary Record'!K720</f>
        <v>0</v>
      </c>
      <c r="R91" s="23"/>
      <c r="S91" s="23">
        <f>Q91-R91</f>
        <v>0</v>
      </c>
      <c r="T91" s="129"/>
      <c r="U91" s="8"/>
      <c r="X91" s="2"/>
      <c r="Y91" s="2"/>
      <c r="Z91" s="2"/>
    </row>
    <row r="92" spans="1:26" ht="15.75" x14ac:dyDescent="0.25">
      <c r="A92" s="280">
        <v>3</v>
      </c>
      <c r="B92" s="19" t="s">
        <v>12</v>
      </c>
      <c r="C92" s="91" t="s">
        <v>86</v>
      </c>
      <c r="D92" s="92">
        <f>SUM(Q92:Q92)</f>
        <v>0</v>
      </c>
      <c r="E92" s="10">
        <f>'Salary Record'!K840</f>
        <v>0</v>
      </c>
      <c r="F92" s="10">
        <f>'Salary Record'!C846</f>
        <v>4</v>
      </c>
      <c r="G92" s="20">
        <f>'Salary Record'!C847</f>
        <v>26</v>
      </c>
      <c r="H92" s="10">
        <f>'Salary Record'!I845</f>
        <v>0</v>
      </c>
      <c r="I92" s="10">
        <f>'Salary Record'!I844</f>
        <v>4</v>
      </c>
      <c r="J92" s="16">
        <f>'Salary Record'!K845</f>
        <v>0</v>
      </c>
      <c r="K92" s="10">
        <f>'Salary Record'!K846</f>
        <v>0</v>
      </c>
      <c r="L92" s="9">
        <f>'Salary Record'!G844</f>
        <v>0</v>
      </c>
      <c r="M92" s="17">
        <f>'Salary Record'!G845</f>
        <v>0</v>
      </c>
      <c r="N92" s="18">
        <f>'Salary Record'!G846</f>
        <v>0</v>
      </c>
      <c r="O92" s="10">
        <f>'Salary Record'!G847</f>
        <v>0</v>
      </c>
      <c r="P92" s="18">
        <f>'Salary Record'!G848</f>
        <v>0</v>
      </c>
      <c r="Q92" s="142">
        <f>'Salary Record'!K848</f>
        <v>0</v>
      </c>
      <c r="R92" s="143"/>
      <c r="S92" s="23"/>
      <c r="T92" s="129"/>
      <c r="U92" s="8"/>
    </row>
    <row r="93" spans="1:26" ht="20.25" x14ac:dyDescent="0.3">
      <c r="B93" s="357" t="s">
        <v>95</v>
      </c>
      <c r="C93" s="358"/>
      <c r="D93" s="358"/>
      <c r="E93" s="358"/>
      <c r="F93" s="358"/>
      <c r="G93" s="358"/>
      <c r="H93" s="358"/>
      <c r="I93" s="358"/>
      <c r="J93" s="358"/>
      <c r="K93" s="358"/>
      <c r="L93" s="358"/>
      <c r="M93"/>
      <c r="N93"/>
      <c r="O93"/>
      <c r="P93"/>
      <c r="T93"/>
      <c r="V93"/>
    </row>
    <row r="94" spans="1:26" ht="15" x14ac:dyDescent="0.25">
      <c r="B94" s="322" t="s">
        <v>96</v>
      </c>
      <c r="C94" s="141" t="s">
        <v>112</v>
      </c>
      <c r="D94" s="141" t="s">
        <v>110</v>
      </c>
      <c r="E94" s="141" t="str">
        <f>N1</f>
        <v>June</v>
      </c>
      <c r="G94" s="2"/>
      <c r="H94" s="114"/>
      <c r="K94"/>
      <c r="L94"/>
      <c r="M94"/>
      <c r="N94"/>
      <c r="O94"/>
      <c r="P94"/>
      <c r="T94"/>
      <c r="V94"/>
    </row>
    <row r="95" spans="1:26" x14ac:dyDescent="0.2">
      <c r="B95" s="323" t="s">
        <v>185</v>
      </c>
      <c r="C95" s="137">
        <v>100000</v>
      </c>
      <c r="D95" s="138">
        <v>100000</v>
      </c>
      <c r="E95" s="138">
        <v>25000</v>
      </c>
      <c r="G95" s="2"/>
      <c r="H95" s="114"/>
      <c r="K95" s="8"/>
      <c r="L95"/>
      <c r="M95"/>
      <c r="N95"/>
      <c r="O95"/>
      <c r="P95"/>
      <c r="T95"/>
      <c r="V95"/>
    </row>
    <row r="96" spans="1:26" x14ac:dyDescent="0.2">
      <c r="B96" s="323" t="s">
        <v>172</v>
      </c>
      <c r="C96" s="137"/>
      <c r="D96" s="138"/>
      <c r="E96" s="138">
        <v>25000</v>
      </c>
      <c r="G96" s="2"/>
      <c r="H96" s="114"/>
      <c r="K96"/>
      <c r="L96"/>
      <c r="M96"/>
      <c r="N96"/>
      <c r="O96"/>
      <c r="P96"/>
      <c r="T96"/>
      <c r="V96"/>
    </row>
    <row r="97" spans="2:22" x14ac:dyDescent="0.2">
      <c r="B97" s="323" t="s">
        <v>187</v>
      </c>
      <c r="C97" s="137"/>
      <c r="D97" s="138"/>
      <c r="E97" s="138">
        <v>25000</v>
      </c>
      <c r="G97" s="2"/>
      <c r="H97" s="114"/>
      <c r="I97" s="2" t="e">
        <f>Q77+#REF!+Q62+Q52+#REF!+Q45+Q34+Q27+Q20+Q5</f>
        <v>#REF!</v>
      </c>
      <c r="K97"/>
      <c r="L97"/>
      <c r="M97"/>
      <c r="N97"/>
      <c r="O97"/>
      <c r="P97"/>
      <c r="T97"/>
      <c r="V97"/>
    </row>
    <row r="98" spans="2:22" x14ac:dyDescent="0.2">
      <c r="B98" s="323" t="s">
        <v>92</v>
      </c>
      <c r="C98" s="137"/>
      <c r="D98" s="138"/>
      <c r="E98" s="138">
        <v>25000</v>
      </c>
      <c r="G98" s="2"/>
      <c r="H98" s="114"/>
      <c r="K98"/>
      <c r="L98"/>
      <c r="M98"/>
      <c r="N98"/>
      <c r="O98"/>
      <c r="P98"/>
      <c r="T98"/>
      <c r="V98"/>
    </row>
    <row r="99" spans="2:22" ht="14.25" x14ac:dyDescent="0.2">
      <c r="B99" s="323" t="s">
        <v>173</v>
      </c>
      <c r="C99" s="137"/>
      <c r="D99" s="138"/>
      <c r="E99" s="138">
        <v>80000</v>
      </c>
      <c r="F99" s="121"/>
      <c r="G99" s="121"/>
      <c r="H99" s="121"/>
      <c r="I99" s="121"/>
      <c r="K99"/>
      <c r="L99"/>
      <c r="M99"/>
      <c r="N99"/>
      <c r="O99"/>
      <c r="P99"/>
      <c r="T99"/>
      <c r="V99"/>
    </row>
    <row r="100" spans="2:22" x14ac:dyDescent="0.2">
      <c r="B100" s="323" t="s">
        <v>34</v>
      </c>
      <c r="C100" s="137"/>
      <c r="D100" s="138"/>
      <c r="E100" s="138">
        <f>Q20</f>
        <v>152566.66666666666</v>
      </c>
      <c r="G100" s="2"/>
      <c r="H100" s="114"/>
      <c r="K100"/>
      <c r="L100"/>
      <c r="M100"/>
      <c r="N100"/>
      <c r="O100"/>
      <c r="P100"/>
      <c r="T100"/>
      <c r="V100"/>
    </row>
    <row r="101" spans="2:22" x14ac:dyDescent="0.2">
      <c r="B101" s="323" t="s">
        <v>174</v>
      </c>
      <c r="C101" s="137"/>
      <c r="D101" s="138"/>
      <c r="E101" s="138">
        <f>Q27</f>
        <v>134483.33333333331</v>
      </c>
      <c r="F101" s="8"/>
      <c r="G101" s="8"/>
      <c r="H101" s="139"/>
      <c r="I101" s="8"/>
      <c r="K101" s="14"/>
      <c r="L101"/>
      <c r="M101"/>
      <c r="N101"/>
      <c r="O101"/>
      <c r="P101"/>
      <c r="T101"/>
      <c r="V101"/>
    </row>
    <row r="102" spans="2:22" x14ac:dyDescent="0.2">
      <c r="B102" s="323" t="s">
        <v>175</v>
      </c>
      <c r="C102" s="137"/>
      <c r="D102" s="138"/>
      <c r="E102" s="138">
        <f>Q34</f>
        <v>31872.916666666672</v>
      </c>
      <c r="G102" s="2"/>
      <c r="H102" s="114"/>
      <c r="J102" s="8"/>
      <c r="K102"/>
      <c r="L102"/>
      <c r="M102"/>
      <c r="N102"/>
      <c r="O102"/>
      <c r="P102"/>
      <c r="T102"/>
      <c r="V102"/>
    </row>
    <row r="103" spans="2:22" x14ac:dyDescent="0.2">
      <c r="B103" s="323" t="s">
        <v>172</v>
      </c>
      <c r="C103" s="137"/>
      <c r="D103" s="138"/>
      <c r="E103" s="138">
        <f>Q45</f>
        <v>193625</v>
      </c>
      <c r="G103" s="2"/>
      <c r="H103" s="114"/>
      <c r="J103" s="8"/>
      <c r="K103" s="14"/>
      <c r="L103"/>
      <c r="M103"/>
      <c r="N103"/>
      <c r="O103"/>
      <c r="P103"/>
      <c r="T103"/>
      <c r="V103"/>
    </row>
    <row r="104" spans="2:22" x14ac:dyDescent="0.2">
      <c r="B104" s="323" t="s">
        <v>39</v>
      </c>
      <c r="C104" s="137"/>
      <c r="D104" s="138"/>
      <c r="E104" s="138">
        <f>Q52</f>
        <v>54737.5</v>
      </c>
      <c r="F104" s="8"/>
      <c r="G104" s="8"/>
      <c r="H104" s="139"/>
      <c r="I104" s="8"/>
      <c r="J104" s="8"/>
      <c r="K104" s="14"/>
      <c r="L104"/>
      <c r="M104"/>
      <c r="N104"/>
      <c r="O104"/>
      <c r="P104"/>
      <c r="T104"/>
      <c r="V104"/>
    </row>
    <row r="105" spans="2:22" x14ac:dyDescent="0.2">
      <c r="B105" s="323" t="s">
        <v>92</v>
      </c>
      <c r="C105" s="137"/>
      <c r="D105" s="138"/>
      <c r="E105" s="138">
        <f>Q62</f>
        <v>137650</v>
      </c>
      <c r="F105" s="8"/>
      <c r="G105"/>
      <c r="I105" s="8"/>
      <c r="K105"/>
      <c r="L105"/>
      <c r="M105"/>
      <c r="N105"/>
      <c r="O105"/>
      <c r="P105"/>
      <c r="T105"/>
      <c r="V105"/>
    </row>
    <row r="106" spans="2:22" x14ac:dyDescent="0.2">
      <c r="B106" s="328" t="s">
        <v>185</v>
      </c>
      <c r="C106" s="137"/>
      <c r="D106" s="138"/>
      <c r="E106" s="138">
        <f>Q73</f>
        <v>142166.66666666666</v>
      </c>
      <c r="F106"/>
      <c r="G106" s="8">
        <f>E109-E95-E96-E97-E98-E99-E108</f>
        <v>875102.08333333326</v>
      </c>
      <c r="H106"/>
      <c r="I106"/>
      <c r="J106"/>
      <c r="K106"/>
      <c r="L106"/>
      <c r="M106" s="8"/>
      <c r="N106"/>
      <c r="O106" s="8"/>
      <c r="P106"/>
      <c r="U106" s="8"/>
    </row>
    <row r="107" spans="2:22" x14ac:dyDescent="0.2">
      <c r="B107" s="335" t="s">
        <v>176</v>
      </c>
      <c r="C107" s="137"/>
      <c r="D107" s="138"/>
      <c r="E107" s="138">
        <f>Q76</f>
        <v>28000</v>
      </c>
      <c r="F107"/>
      <c r="G107"/>
      <c r="H107"/>
      <c r="I107" s="8"/>
      <c r="J107" s="8"/>
      <c r="K107"/>
      <c r="L107"/>
      <c r="M107"/>
      <c r="N107"/>
      <c r="O107" s="8"/>
      <c r="P107" s="14"/>
      <c r="U107" s="8"/>
    </row>
    <row r="108" spans="2:22" x14ac:dyDescent="0.2">
      <c r="B108" s="323" t="s">
        <v>177</v>
      </c>
      <c r="C108" s="137"/>
      <c r="D108" s="138"/>
      <c r="E108" s="138">
        <v>5000</v>
      </c>
      <c r="F108"/>
      <c r="G108"/>
      <c r="H108"/>
      <c r="I108"/>
      <c r="J108"/>
      <c r="K108"/>
      <c r="L108"/>
      <c r="M108"/>
      <c r="N108"/>
      <c r="O108" s="8"/>
      <c r="P108" s="8"/>
      <c r="U108" s="8"/>
    </row>
    <row r="109" spans="2:22" ht="15" x14ac:dyDescent="0.25">
      <c r="B109" s="324" t="s">
        <v>103</v>
      </c>
      <c r="C109" s="136">
        <f>SUM(C95:C108)</f>
        <v>100000</v>
      </c>
      <c r="D109" s="136">
        <f>SUM(D95:D108)</f>
        <v>100000</v>
      </c>
      <c r="E109" s="136">
        <f>SUM(E95:E108)</f>
        <v>1060102.0833333333</v>
      </c>
      <c r="F109"/>
      <c r="G109"/>
      <c r="H109" s="8"/>
      <c r="I109"/>
      <c r="J109"/>
      <c r="K109"/>
      <c r="L109"/>
      <c r="M109"/>
      <c r="N109"/>
      <c r="O109" s="8"/>
      <c r="P109" s="8"/>
      <c r="U109" s="8"/>
    </row>
    <row r="110" spans="2:22" x14ac:dyDescent="0.2">
      <c r="B110"/>
      <c r="C110"/>
      <c r="D110"/>
      <c r="E110" s="8"/>
      <c r="F110"/>
      <c r="G110"/>
      <c r="H110"/>
      <c r="I110"/>
      <c r="J110"/>
      <c r="K110"/>
      <c r="L110"/>
      <c r="M110"/>
      <c r="N110"/>
      <c r="O110" s="8"/>
      <c r="P110" s="8"/>
      <c r="U110" s="8"/>
    </row>
    <row r="111" spans="2:22" x14ac:dyDescent="0.2">
      <c r="B111"/>
      <c r="C111"/>
      <c r="D111"/>
      <c r="E111" s="139"/>
      <c r="F111"/>
      <c r="G111"/>
      <c r="H111"/>
      <c r="I111"/>
      <c r="J111"/>
      <c r="K111"/>
      <c r="L111"/>
      <c r="M111"/>
      <c r="N111"/>
      <c r="O111" s="8"/>
      <c r="P111" s="8"/>
      <c r="U111" s="2"/>
    </row>
    <row r="112" spans="2:22" x14ac:dyDescent="0.2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8"/>
      <c r="P112" s="2"/>
      <c r="U112" s="8"/>
    </row>
    <row r="113" spans="2:22" ht="15" x14ac:dyDescent="0.25">
      <c r="B113"/>
      <c r="C113"/>
      <c r="D113"/>
      <c r="E113">
        <v>1136285</v>
      </c>
      <c r="F113"/>
      <c r="G113"/>
      <c r="H113"/>
      <c r="I113"/>
      <c r="J113"/>
      <c r="K113"/>
      <c r="L113"/>
      <c r="M113"/>
      <c r="N113"/>
      <c r="O113" s="115">
        <f>SUM(O93:O110)</f>
        <v>0</v>
      </c>
      <c r="P113" s="8"/>
    </row>
    <row r="114" spans="2:22" x14ac:dyDescent="0.2">
      <c r="B114"/>
      <c r="C114"/>
      <c r="D114"/>
      <c r="E114" s="8">
        <f>E95+E96+E97+E98+E99</f>
        <v>180000</v>
      </c>
      <c r="F114"/>
      <c r="G114"/>
      <c r="H114"/>
      <c r="I114"/>
      <c r="J114"/>
      <c r="K114"/>
      <c r="L114"/>
      <c r="M114"/>
      <c r="N114"/>
      <c r="P114"/>
      <c r="U114" s="8"/>
    </row>
    <row r="115" spans="2:22" x14ac:dyDescent="0.2">
      <c r="B115"/>
      <c r="C115"/>
      <c r="D115"/>
      <c r="E115" s="8">
        <f>E114+E113</f>
        <v>1316285</v>
      </c>
      <c r="F115"/>
      <c r="G115"/>
      <c r="H115"/>
      <c r="I115"/>
      <c r="J115"/>
      <c r="K115"/>
      <c r="L115"/>
      <c r="M115"/>
      <c r="N115"/>
      <c r="P115"/>
      <c r="U115" s="8"/>
    </row>
    <row r="116" spans="2:22" x14ac:dyDescent="0.2">
      <c r="B116"/>
      <c r="C116"/>
      <c r="D116"/>
      <c r="E116" s="8"/>
      <c r="F116"/>
      <c r="G116"/>
      <c r="H116"/>
      <c r="I116"/>
      <c r="J116"/>
      <c r="K116"/>
      <c r="L116"/>
      <c r="M116"/>
      <c r="N116"/>
      <c r="P116"/>
      <c r="Q116" s="8"/>
      <c r="R116" s="8"/>
      <c r="S116" s="8"/>
      <c r="T116" s="139"/>
      <c r="U116" s="8"/>
    </row>
    <row r="117" spans="2:22" x14ac:dyDescent="0.2">
      <c r="B117"/>
      <c r="C117"/>
      <c r="D117"/>
      <c r="E117" s="8"/>
      <c r="F117"/>
      <c r="G117"/>
      <c r="H117"/>
      <c r="I117"/>
      <c r="J117"/>
      <c r="K117"/>
      <c r="L117"/>
      <c r="M117"/>
      <c r="N117"/>
      <c r="P117"/>
      <c r="U117" s="2"/>
      <c r="V117"/>
    </row>
    <row r="118" spans="2:22" x14ac:dyDescent="0.2">
      <c r="B118"/>
      <c r="C118"/>
      <c r="D118"/>
      <c r="E118" s="8"/>
      <c r="F118"/>
      <c r="G118"/>
      <c r="H118"/>
      <c r="I118"/>
      <c r="J118"/>
      <c r="K118"/>
      <c r="L118"/>
      <c r="M118"/>
      <c r="N118"/>
      <c r="O118"/>
      <c r="P118"/>
      <c r="U118" s="2"/>
      <c r="V118"/>
    </row>
    <row r="119" spans="2:22" x14ac:dyDescent="0.2">
      <c r="B119"/>
      <c r="C119"/>
      <c r="D119"/>
      <c r="E119"/>
      <c r="J119"/>
      <c r="K119"/>
      <c r="L119"/>
      <c r="M119"/>
      <c r="N119"/>
      <c r="O119"/>
      <c r="P119"/>
      <c r="U119" s="8"/>
      <c r="V119"/>
    </row>
    <row r="120" spans="2:22" x14ac:dyDescent="0.2">
      <c r="B120"/>
      <c r="C120"/>
      <c r="D120"/>
      <c r="E120"/>
      <c r="J120"/>
      <c r="K120"/>
      <c r="L120"/>
      <c r="M120"/>
      <c r="N120"/>
      <c r="O120"/>
      <c r="P120"/>
      <c r="V120"/>
    </row>
    <row r="121" spans="2:22" x14ac:dyDescent="0.2">
      <c r="B121"/>
      <c r="C121"/>
      <c r="D121"/>
      <c r="E121"/>
      <c r="J121"/>
      <c r="K121"/>
      <c r="L121"/>
      <c r="M121"/>
      <c r="N121"/>
      <c r="O121"/>
      <c r="P121"/>
      <c r="U121" s="8"/>
      <c r="V121"/>
    </row>
    <row r="122" spans="2:22" x14ac:dyDescent="0.2">
      <c r="B122"/>
      <c r="C122"/>
      <c r="D122"/>
      <c r="E122"/>
      <c r="J122"/>
      <c r="K122"/>
      <c r="L122"/>
      <c r="M122"/>
      <c r="N122"/>
      <c r="O122"/>
      <c r="P122"/>
      <c r="V122"/>
    </row>
    <row r="123" spans="2:22" x14ac:dyDescent="0.2">
      <c r="B123"/>
      <c r="C123"/>
      <c r="D123"/>
      <c r="E123"/>
      <c r="J123"/>
      <c r="K123"/>
      <c r="L123"/>
      <c r="M123"/>
      <c r="N123"/>
      <c r="O123"/>
      <c r="P123"/>
      <c r="V123"/>
    </row>
    <row r="124" spans="2:22" x14ac:dyDescent="0.2">
      <c r="J124"/>
      <c r="K124"/>
      <c r="L124"/>
      <c r="M124"/>
      <c r="N124"/>
      <c r="O124"/>
      <c r="P124"/>
      <c r="V124"/>
    </row>
    <row r="125" spans="2:22" x14ac:dyDescent="0.2">
      <c r="K125"/>
      <c r="L125"/>
      <c r="M125"/>
      <c r="N125"/>
      <c r="O125"/>
      <c r="P125"/>
    </row>
    <row r="126" spans="2:22" x14ac:dyDescent="0.2">
      <c r="K126"/>
      <c r="L126"/>
      <c r="M126"/>
      <c r="N126"/>
      <c r="P126"/>
    </row>
    <row r="127" spans="2:22" x14ac:dyDescent="0.2">
      <c r="P127"/>
    </row>
    <row r="128" spans="2:22" x14ac:dyDescent="0.2">
      <c r="P128" s="3">
        <f>Q52+Q11</f>
        <v>54737.5</v>
      </c>
    </row>
    <row r="129" spans="16:21" x14ac:dyDescent="0.2">
      <c r="P129" s="3">
        <v>14580</v>
      </c>
    </row>
    <row r="130" spans="16:21" x14ac:dyDescent="0.2">
      <c r="P130" s="3">
        <v>20000</v>
      </c>
      <c r="U130" s="8"/>
    </row>
    <row r="131" spans="16:21" x14ac:dyDescent="0.2">
      <c r="P131" s="3">
        <v>4150</v>
      </c>
      <c r="U131" s="2"/>
    </row>
    <row r="132" spans="16:21" x14ac:dyDescent="0.2">
      <c r="U132" s="2"/>
    </row>
    <row r="133" spans="16:21" x14ac:dyDescent="0.2">
      <c r="U133" s="8"/>
    </row>
    <row r="135" spans="16:21" x14ac:dyDescent="0.2">
      <c r="U135" s="8"/>
    </row>
  </sheetData>
  <autoFilter ref="A3:Z92" xr:uid="{00000000-0009-0000-0000-000000000000}"/>
  <mergeCells count="27">
    <mergeCell ref="A75:Q75"/>
    <mergeCell ref="A13:Q13"/>
    <mergeCell ref="A22:Q22"/>
    <mergeCell ref="A11:B11"/>
    <mergeCell ref="A20:B20"/>
    <mergeCell ref="A52:B52"/>
    <mergeCell ref="A34:B34"/>
    <mergeCell ref="A45:B45"/>
    <mergeCell ref="A36:Q36"/>
    <mergeCell ref="A29:Q29"/>
    <mergeCell ref="A46:Q46"/>
    <mergeCell ref="B93:L93"/>
    <mergeCell ref="N1:O2"/>
    <mergeCell ref="A1:M2"/>
    <mergeCell ref="A78:B78"/>
    <mergeCell ref="A77:B77"/>
    <mergeCell ref="A79:P79"/>
    <mergeCell ref="A80:P80"/>
    <mergeCell ref="A54:Q54"/>
    <mergeCell ref="A64:Q64"/>
    <mergeCell ref="P1:P2"/>
    <mergeCell ref="A6:Q6"/>
    <mergeCell ref="C7:C10"/>
    <mergeCell ref="D7:D10"/>
    <mergeCell ref="A62:B62"/>
    <mergeCell ref="A73:B73"/>
    <mergeCell ref="A27:B27"/>
  </mergeCells>
  <phoneticPr fontId="3" type="noConversion"/>
  <printOptions horizontalCentered="1"/>
  <pageMargins left="0" right="0" top="0" bottom="0" header="0.16" footer="0.19"/>
  <pageSetup paperSize="9" scale="86" orientation="landscape" r:id="rId1"/>
  <headerFooter alignWithMargins="0"/>
  <rowBreaks count="2" manualBreakCount="2">
    <brk id="35" max="16" man="1"/>
    <brk id="53" max="16" man="1"/>
  </rowBreaks>
  <colBreaks count="2" manualBreakCount="2">
    <brk id="17" max="120" man="1"/>
    <brk id="2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886"/>
  <sheetViews>
    <sheetView tabSelected="1" view="pageBreakPreview" topLeftCell="A125" zoomScale="90" zoomScaleNormal="60" zoomScaleSheetLayoutView="90" workbookViewId="0">
      <selection activeCell="X145" sqref="X145"/>
    </sheetView>
  </sheetViews>
  <sheetFormatPr defaultColWidth="9.140625" defaultRowHeight="15" x14ac:dyDescent="0.25"/>
  <cols>
    <col min="1" max="1" width="1" style="4" customWidth="1"/>
    <col min="2" max="2" width="15.28515625" style="4" customWidth="1"/>
    <col min="3" max="3" width="7.7109375" style="4" customWidth="1"/>
    <col min="4" max="4" width="0.42578125" style="4" customWidth="1"/>
    <col min="5" max="5" width="1.7109375" style="4" customWidth="1"/>
    <col min="6" max="6" width="20.7109375" style="4" customWidth="1"/>
    <col min="7" max="7" width="14" style="4" customWidth="1"/>
    <col min="8" max="8" width="1.28515625" style="4" customWidth="1"/>
    <col min="9" max="9" width="6.85546875" style="4" customWidth="1"/>
    <col min="10" max="10" width="17.5703125" style="4" customWidth="1"/>
    <col min="11" max="11" width="13.85546875" style="4" customWidth="1"/>
    <col min="12" max="12" width="1.28515625" style="4" customWidth="1"/>
    <col min="13" max="13" width="1" style="4" customWidth="1"/>
    <col min="14" max="14" width="1.7109375" style="4" customWidth="1"/>
    <col min="15" max="15" width="9.7109375" style="4" customWidth="1"/>
    <col min="16" max="16" width="9" style="4" customWidth="1"/>
    <col min="17" max="17" width="8.42578125" style="4" customWidth="1"/>
    <col min="18" max="18" width="16.42578125" style="4" customWidth="1"/>
    <col min="19" max="19" width="1.28515625" style="4" customWidth="1"/>
    <col min="20" max="20" width="9.42578125" style="4" customWidth="1"/>
    <col min="21" max="21" width="14.5703125" style="4" customWidth="1"/>
    <col min="22" max="22" width="12.7109375" style="4" customWidth="1"/>
    <col min="23" max="23" width="12.85546875" style="4" customWidth="1"/>
    <col min="24" max="24" width="13.28515625" style="4" customWidth="1"/>
    <col min="25" max="25" width="14.42578125" style="4" customWidth="1"/>
    <col min="26" max="26" width="1.5703125" style="4" customWidth="1"/>
    <col min="27" max="27" width="8.42578125" style="4" customWidth="1"/>
    <col min="28" max="28" width="12.140625" style="4" bestFit="1" customWidth="1"/>
    <col min="29" max="29" width="12.7109375" style="4" bestFit="1" customWidth="1"/>
    <col min="30" max="31" width="9.140625" style="4"/>
    <col min="32" max="32" width="12.7109375" style="4" customWidth="1"/>
    <col min="33" max="16384" width="9.140625" style="4"/>
  </cols>
  <sheetData>
    <row r="1" spans="1:27" ht="21" x14ac:dyDescent="0.25">
      <c r="C1" s="416" t="s">
        <v>66</v>
      </c>
      <c r="D1" s="416"/>
      <c r="E1" s="416"/>
      <c r="F1" s="416"/>
      <c r="G1" s="416"/>
      <c r="H1" s="416"/>
      <c r="I1" s="416"/>
      <c r="J1" s="13" t="s">
        <v>49</v>
      </c>
      <c r="K1" s="12">
        <v>2023</v>
      </c>
      <c r="L1" s="12"/>
      <c r="R1" s="83" t="e">
        <f>K17+K33+#REF!+#REF!+#REF!+#REF!+K49+K66+#REF!+K657+#REF!+#REF!+#REF!+K146+K162+#REF!+K178+#REF!+K736+K290+K306+K258+#REF!+#REF!+K513+#REF!+K194+#REF!+K242+K98+#REF!+#REF!+K704+K386+K545+K450+K641+K848+K880+#REF!+K593+#REF!+#REF!+K481+#REF!+K370+K672+#REF!+K114+#REF!+K402+K720+K82+K418+K497+K226+#REF!+K322+#REF!+K529+#REF!+K609+K561+#REF!+K577+K338+K274+K434+#REF!+K130+K210+#REF!-12678</f>
        <v>#REF!</v>
      </c>
      <c r="U1" s="106" t="e">
        <f>K63+K79+K654+K143+K159+#REF!+K175+K669+K191+K239+K733+K319+#REF!+K255+#REF!+K95+K111+K335+K510+K701+K383+K415+K542+K447+K685+#REF!+K399+#REF!+#REF!+K478+K223+#REF!+#REF!+K127+K207+#REF!+K271+K431+K606+K558+K574+K590+#REF!+#REF!</f>
        <v>#REF!</v>
      </c>
    </row>
    <row r="2" spans="1:27" ht="18.75" x14ac:dyDescent="0.3">
      <c r="J2" s="11" t="s">
        <v>60</v>
      </c>
      <c r="K2" s="4">
        <v>30</v>
      </c>
      <c r="R2" s="106"/>
      <c r="U2" s="106"/>
    </row>
    <row r="4" spans="1:27" s="87" customFormat="1" ht="21" customHeight="1" x14ac:dyDescent="0.2">
      <c r="N4" s="63"/>
      <c r="O4" s="63"/>
      <c r="P4" s="63"/>
      <c r="Q4" s="63"/>
      <c r="R4" s="174"/>
      <c r="S4" s="63"/>
      <c r="T4" s="63"/>
      <c r="U4" s="174"/>
      <c r="V4" s="63"/>
      <c r="W4" s="63"/>
      <c r="X4" s="63"/>
      <c r="Y4" s="63"/>
      <c r="Z4" s="63"/>
    </row>
    <row r="5" spans="1:27" s="87" customFormat="1" ht="21" customHeight="1" x14ac:dyDescent="0.2"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spans="1:27" s="29" customFormat="1" ht="21" customHeight="1" thickBot="1" x14ac:dyDescent="0.25"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spans="1:27" s="29" customFormat="1" ht="21" customHeight="1" x14ac:dyDescent="0.2">
      <c r="A7" s="433" t="s">
        <v>40</v>
      </c>
      <c r="B7" s="434"/>
      <c r="C7" s="434"/>
      <c r="D7" s="434"/>
      <c r="E7" s="434"/>
      <c r="F7" s="434"/>
      <c r="G7" s="434"/>
      <c r="H7" s="434"/>
      <c r="I7" s="434"/>
      <c r="J7" s="434"/>
      <c r="K7" s="434"/>
      <c r="L7" s="435"/>
      <c r="M7" s="28"/>
      <c r="N7" s="64"/>
      <c r="O7" s="403" t="s">
        <v>42</v>
      </c>
      <c r="P7" s="404"/>
      <c r="Q7" s="404"/>
      <c r="R7" s="405"/>
      <c r="S7" s="65"/>
      <c r="T7" s="403" t="s">
        <v>43</v>
      </c>
      <c r="U7" s="404"/>
      <c r="V7" s="404"/>
      <c r="W7" s="404"/>
      <c r="X7" s="404"/>
      <c r="Y7" s="405"/>
      <c r="Z7" s="66"/>
      <c r="AA7" s="28"/>
    </row>
    <row r="8" spans="1:27" s="29" customFormat="1" ht="21" customHeight="1" x14ac:dyDescent="0.2">
      <c r="A8" s="30"/>
      <c r="C8" s="402" t="s">
        <v>83</v>
      </c>
      <c r="D8" s="402"/>
      <c r="E8" s="402"/>
      <c r="F8" s="402"/>
      <c r="G8" s="31" t="str">
        <f>$J$1</f>
        <v>June</v>
      </c>
      <c r="H8" s="409">
        <f>$K$1</f>
        <v>2023</v>
      </c>
      <c r="I8" s="409"/>
      <c r="K8" s="32"/>
      <c r="L8" s="33"/>
      <c r="M8" s="32"/>
      <c r="N8" s="67"/>
      <c r="O8" s="68" t="s">
        <v>53</v>
      </c>
      <c r="P8" s="68" t="s">
        <v>7</v>
      </c>
      <c r="Q8" s="68" t="s">
        <v>6</v>
      </c>
      <c r="R8" s="68" t="s">
        <v>54</v>
      </c>
      <c r="S8" s="69"/>
      <c r="T8" s="68" t="s">
        <v>53</v>
      </c>
      <c r="U8" s="68" t="s">
        <v>55</v>
      </c>
      <c r="V8" s="68" t="s">
        <v>20</v>
      </c>
      <c r="W8" s="68" t="s">
        <v>19</v>
      </c>
      <c r="X8" s="68" t="s">
        <v>21</v>
      </c>
      <c r="Y8" s="68" t="s">
        <v>59</v>
      </c>
      <c r="Z8" s="70"/>
      <c r="AA8" s="32"/>
    </row>
    <row r="9" spans="1:27" s="29" customFormat="1" ht="21" customHeight="1" x14ac:dyDescent="0.2">
      <c r="A9" s="30"/>
      <c r="D9" s="35"/>
      <c r="E9" s="35"/>
      <c r="F9" s="35"/>
      <c r="G9" s="35"/>
      <c r="H9" s="35"/>
      <c r="J9" s="36" t="s">
        <v>1</v>
      </c>
      <c r="K9" s="37">
        <v>60000</v>
      </c>
      <c r="L9" s="38"/>
      <c r="N9" s="71"/>
      <c r="O9" s="72" t="s">
        <v>45</v>
      </c>
      <c r="P9" s="72">
        <v>31</v>
      </c>
      <c r="Q9" s="72">
        <v>0</v>
      </c>
      <c r="R9" s="72">
        <f>15-Q9</f>
        <v>15</v>
      </c>
      <c r="S9" s="73"/>
      <c r="T9" s="72" t="s">
        <v>45</v>
      </c>
      <c r="U9" s="74"/>
      <c r="V9" s="74"/>
      <c r="W9" s="74">
        <f>V9+U9</f>
        <v>0</v>
      </c>
      <c r="X9" s="74"/>
      <c r="Y9" s="74">
        <f>W9-X9</f>
        <v>0</v>
      </c>
      <c r="Z9" s="70"/>
    </row>
    <row r="10" spans="1:27" s="29" customFormat="1" ht="21" customHeight="1" x14ac:dyDescent="0.2">
      <c r="A10" s="30"/>
      <c r="B10" s="29" t="s">
        <v>0</v>
      </c>
      <c r="C10" s="40" t="s">
        <v>72</v>
      </c>
      <c r="H10" s="41"/>
      <c r="I10" s="35"/>
      <c r="L10" s="42"/>
      <c r="M10" s="28"/>
      <c r="N10" s="75"/>
      <c r="O10" s="72" t="s">
        <v>71</v>
      </c>
      <c r="P10" s="72">
        <v>28</v>
      </c>
      <c r="Q10" s="72">
        <v>0</v>
      </c>
      <c r="R10" s="72">
        <f t="shared" ref="R10:R20" si="0">IF(Q10="","",R9-Q10)</f>
        <v>15</v>
      </c>
      <c r="S10" s="63"/>
      <c r="T10" s="72" t="s">
        <v>71</v>
      </c>
      <c r="U10" s="105" t="str">
        <f>IF($J$1="February",Y9,"")</f>
        <v/>
      </c>
      <c r="V10" s="74"/>
      <c r="W10" s="105" t="str">
        <f>IF(U10="","",U10+V10)</f>
        <v/>
      </c>
      <c r="X10" s="74"/>
      <c r="Y10" s="105" t="str">
        <f>IF(W10="","",W10-X10)</f>
        <v/>
      </c>
      <c r="Z10" s="76"/>
      <c r="AA10" s="28"/>
    </row>
    <row r="11" spans="1:27" s="29" customFormat="1" ht="21" customHeight="1" x14ac:dyDescent="0.2">
      <c r="A11" s="30"/>
      <c r="B11" s="44" t="s">
        <v>41</v>
      </c>
      <c r="C11" s="45"/>
      <c r="F11" s="387" t="s">
        <v>43</v>
      </c>
      <c r="G11" s="388"/>
      <c r="I11" s="387" t="s">
        <v>44</v>
      </c>
      <c r="J11" s="447"/>
      <c r="K11" s="388"/>
      <c r="L11" s="46"/>
      <c r="N11" s="71"/>
      <c r="O11" s="72" t="s">
        <v>46</v>
      </c>
      <c r="P11" s="72">
        <v>31</v>
      </c>
      <c r="Q11" s="72">
        <v>0</v>
      </c>
      <c r="R11" s="72">
        <f t="shared" si="0"/>
        <v>15</v>
      </c>
      <c r="S11" s="63"/>
      <c r="T11" s="72" t="s">
        <v>46</v>
      </c>
      <c r="U11" s="105" t="str">
        <f>IF($J$1="March",Y10,"")</f>
        <v/>
      </c>
      <c r="V11" s="74"/>
      <c r="W11" s="105" t="str">
        <f t="shared" ref="W11:W20" si="1">IF(U11="","",U11+V11)</f>
        <v/>
      </c>
      <c r="X11" s="74"/>
      <c r="Y11" s="105" t="str">
        <f t="shared" ref="Y11:Y20" si="2">IF(W11="","",W11-X11)</f>
        <v/>
      </c>
      <c r="Z11" s="76"/>
    </row>
    <row r="12" spans="1:27" s="29" customFormat="1" ht="21" customHeight="1" x14ac:dyDescent="0.2">
      <c r="A12" s="30"/>
      <c r="H12" s="47"/>
      <c r="L12" s="34"/>
      <c r="N12" s="71"/>
      <c r="O12" s="72" t="s">
        <v>47</v>
      </c>
      <c r="P12" s="72">
        <v>30</v>
      </c>
      <c r="Q12" s="72">
        <v>0</v>
      </c>
      <c r="R12" s="72">
        <f t="shared" si="0"/>
        <v>15</v>
      </c>
      <c r="S12" s="63"/>
      <c r="T12" s="72" t="s">
        <v>47</v>
      </c>
      <c r="U12" s="105" t="str">
        <f>IF($J$1="April",Y11,"")</f>
        <v/>
      </c>
      <c r="V12" s="74"/>
      <c r="W12" s="105" t="str">
        <f t="shared" si="1"/>
        <v/>
      </c>
      <c r="X12" s="74"/>
      <c r="Y12" s="105" t="str">
        <f t="shared" si="2"/>
        <v/>
      </c>
      <c r="Z12" s="76"/>
    </row>
    <row r="13" spans="1:27" s="29" customFormat="1" ht="21" customHeight="1" x14ac:dyDescent="0.2">
      <c r="A13" s="30"/>
      <c r="B13" s="389" t="s">
        <v>42</v>
      </c>
      <c r="C13" s="390"/>
      <c r="F13" s="48" t="s">
        <v>64</v>
      </c>
      <c r="G13" s="43" t="str">
        <f>IF($J$1="January",U9,IF($J$1="February",U10,IF($J$1="March",U11,IF($J$1="April",U12,IF($J$1="May",U13,IF($J$1="June",U14,IF($J$1="July",U15,IF($J$1="August",U16,IF($J$1="August",U16,IF($J$1="September",U17,IF($J$1="October",U18,IF($J$1="November",U19,IF($J$1="December",U20)))))))))))))</f>
        <v/>
      </c>
      <c r="H13" s="47"/>
      <c r="I13" s="49">
        <f>K2</f>
        <v>30</v>
      </c>
      <c r="J13" s="50" t="s">
        <v>61</v>
      </c>
      <c r="K13" s="51">
        <f>K9/$K$2*I13</f>
        <v>60000</v>
      </c>
      <c r="L13" s="52"/>
      <c r="N13" s="71"/>
      <c r="O13" s="72" t="s">
        <v>48</v>
      </c>
      <c r="P13" s="72">
        <v>29</v>
      </c>
      <c r="Q13" s="72">
        <v>2</v>
      </c>
      <c r="R13" s="72">
        <f t="shared" si="0"/>
        <v>13</v>
      </c>
      <c r="S13" s="63"/>
      <c r="T13" s="72" t="s">
        <v>48</v>
      </c>
      <c r="U13" s="105" t="str">
        <f>IF($J$1="May",Y12,"")</f>
        <v/>
      </c>
      <c r="V13" s="74"/>
      <c r="W13" s="105" t="str">
        <f t="shared" si="1"/>
        <v/>
      </c>
      <c r="X13" s="74"/>
      <c r="Y13" s="105" t="str">
        <f t="shared" si="2"/>
        <v/>
      </c>
      <c r="Z13" s="76"/>
    </row>
    <row r="14" spans="1:27" s="29" customFormat="1" ht="21" customHeight="1" x14ac:dyDescent="0.2">
      <c r="A14" s="30"/>
      <c r="B14" s="39"/>
      <c r="C14" s="39"/>
      <c r="F14" s="48" t="s">
        <v>20</v>
      </c>
      <c r="G14" s="43">
        <f>IF($J$1="January",V9,IF($J$1="February",V10,IF($J$1="March",V11,IF($J$1="April",V12,IF($J$1="May",V13,IF($J$1="June",V14,IF($J$1="July",V15,IF($J$1="August",V16,IF($J$1="August",V16,IF($J$1="September",V17,IF($J$1="October",V18,IF($J$1="November",V19,IF($J$1="December",V20)))))))))))))</f>
        <v>0</v>
      </c>
      <c r="H14" s="47"/>
      <c r="I14" s="49"/>
      <c r="J14" s="50" t="s">
        <v>62</v>
      </c>
      <c r="K14" s="53">
        <f>K9/$K$2/8*I14</f>
        <v>0</v>
      </c>
      <c r="L14" s="54"/>
      <c r="N14" s="71"/>
      <c r="O14" s="72" t="s">
        <v>49</v>
      </c>
      <c r="P14" s="72">
        <v>29</v>
      </c>
      <c r="Q14" s="72">
        <v>1</v>
      </c>
      <c r="R14" s="72">
        <f t="shared" si="0"/>
        <v>12</v>
      </c>
      <c r="S14" s="63"/>
      <c r="T14" s="72" t="s">
        <v>49</v>
      </c>
      <c r="U14" s="105" t="str">
        <f>IF($J$1="June",Y13,"")</f>
        <v/>
      </c>
      <c r="V14" s="74"/>
      <c r="W14" s="105" t="str">
        <f t="shared" si="1"/>
        <v/>
      </c>
      <c r="X14" s="74"/>
      <c r="Y14" s="105" t="str">
        <f t="shared" si="2"/>
        <v/>
      </c>
      <c r="Z14" s="76"/>
    </row>
    <row r="15" spans="1:27" s="29" customFormat="1" ht="21" customHeight="1" x14ac:dyDescent="0.2">
      <c r="A15" s="30"/>
      <c r="B15" s="48" t="s">
        <v>7</v>
      </c>
      <c r="C15" s="39">
        <f>IF($J$1="January",P9,IF($J$1="February",P10,IF($J$1="March",P11,IF($J$1="April",P12,IF($J$1="May",P13,IF($J$1="June",P14,IF($J$1="July",P15,IF($J$1="August",P16,IF($J$1="August",P16,IF($J$1="September",P17,IF($J$1="October",P18,IF($J$1="November",P19,IF($J$1="December",P20)))))))))))))</f>
        <v>29</v>
      </c>
      <c r="F15" s="48" t="s">
        <v>65</v>
      </c>
      <c r="G15" s="43" t="str">
        <f>IF($J$1="January",W9,IF($J$1="February",W10,IF($J$1="March",W11,IF($J$1="April",W12,IF($J$1="May",W13,IF($J$1="June",W14,IF($J$1="July",W15,IF($J$1="August",W16,IF($J$1="August",W16,IF($J$1="September",W17,IF($J$1="October",W18,IF($J$1="November",W19,IF($J$1="December",W20)))))))))))))</f>
        <v/>
      </c>
      <c r="H15" s="47"/>
      <c r="I15" s="392" t="s">
        <v>69</v>
      </c>
      <c r="J15" s="393"/>
      <c r="K15" s="53">
        <f>K13+K14</f>
        <v>60000</v>
      </c>
      <c r="L15" s="54"/>
      <c r="N15" s="71"/>
      <c r="O15" s="72" t="s">
        <v>50</v>
      </c>
      <c r="P15" s="72"/>
      <c r="Q15" s="72"/>
      <c r="R15" s="72" t="str">
        <f t="shared" si="0"/>
        <v/>
      </c>
      <c r="S15" s="63"/>
      <c r="T15" s="72" t="s">
        <v>50</v>
      </c>
      <c r="U15" s="105" t="str">
        <f>IF($J$1="July",Y14,"")</f>
        <v/>
      </c>
      <c r="V15" s="74"/>
      <c r="W15" s="105" t="str">
        <f t="shared" si="1"/>
        <v/>
      </c>
      <c r="X15" s="74"/>
      <c r="Y15" s="105" t="str">
        <f t="shared" si="2"/>
        <v/>
      </c>
      <c r="Z15" s="76"/>
    </row>
    <row r="16" spans="1:27" s="29" customFormat="1" ht="21" customHeight="1" x14ac:dyDescent="0.2">
      <c r="A16" s="30"/>
      <c r="B16" s="48" t="s">
        <v>6</v>
      </c>
      <c r="C16" s="39">
        <f>IF($J$1="January",Q9,IF($J$1="February",Q10,IF($J$1="March",Q11,IF($J$1="April",Q12,IF($J$1="May",Q13,IF($J$1="June",Q14,IF($J$1="July",Q15,IF($J$1="August",Q16,IF($J$1="August",Q16,IF($J$1="September",Q17,IF($J$1="October",Q18,IF($J$1="November",Q19,IF($J$1="December",Q20)))))))))))))</f>
        <v>1</v>
      </c>
      <c r="F16" s="48" t="s">
        <v>21</v>
      </c>
      <c r="G16" s="43">
        <f>IF($J$1="January",X9,IF($J$1="February",X10,IF($J$1="March",X11,IF($J$1="April",X12,IF($J$1="May",X13,IF($J$1="June",X14,IF($J$1="July",X15,IF($J$1="August",X16,IF($J$1="August",X16,IF($J$1="September",X17,IF($J$1="October",X18,IF($J$1="November",X19,IF($J$1="December",X20)))))))))))))</f>
        <v>0</v>
      </c>
      <c r="H16" s="47"/>
      <c r="I16" s="392" t="s">
        <v>70</v>
      </c>
      <c r="J16" s="393"/>
      <c r="K16" s="43">
        <f>G16</f>
        <v>0</v>
      </c>
      <c r="L16" s="55"/>
      <c r="N16" s="71"/>
      <c r="O16" s="72" t="s">
        <v>51</v>
      </c>
      <c r="P16" s="72"/>
      <c r="Q16" s="72"/>
      <c r="R16" s="72">
        <v>0</v>
      </c>
      <c r="S16" s="63"/>
      <c r="T16" s="72" t="s">
        <v>51</v>
      </c>
      <c r="U16" s="105" t="str">
        <f>IF($J$1="August",Y15,"")</f>
        <v/>
      </c>
      <c r="V16" s="74"/>
      <c r="W16" s="105" t="str">
        <f t="shared" si="1"/>
        <v/>
      </c>
      <c r="X16" s="74"/>
      <c r="Y16" s="105" t="str">
        <f t="shared" si="2"/>
        <v/>
      </c>
      <c r="Z16" s="76"/>
    </row>
    <row r="17" spans="1:27" s="29" customFormat="1" ht="21" customHeight="1" x14ac:dyDescent="0.2">
      <c r="A17" s="30"/>
      <c r="B17" s="56" t="s">
        <v>68</v>
      </c>
      <c r="C17" s="39">
        <f>IF($J$1="January",R9,IF($J$1="February",R10,IF($J$1="March",R11,IF($J$1="April",R12,IF($J$1="May",R13,IF($J$1="June",R14,IF($J$1="July",R15,IF($J$1="August",R16,IF($J$1="August",R16,IF($J$1="September",R17,IF($J$1="October",R18,IF($J$1="November",R19,IF($J$1="December",R20)))))))))))))</f>
        <v>12</v>
      </c>
      <c r="F17" s="48" t="s">
        <v>67</v>
      </c>
      <c r="G17" s="43" t="str">
        <f>IF($J$1="January",Y9,IF($J$1="February",Y10,IF($J$1="March",Y11,IF($J$1="April",Y12,IF($J$1="May",Y13,IF($J$1="June",Y14,IF($J$1="July",Y15,IF($J$1="August",Y16,IF($J$1="August",Y16,IF($J$1="September",Y17,IF($J$1="October",Y18,IF($J$1="November",Y19,IF($J$1="December",Y20)))))))))))))</f>
        <v/>
      </c>
      <c r="I17" s="387" t="s">
        <v>63</v>
      </c>
      <c r="J17" s="388"/>
      <c r="K17" s="57">
        <f>K15-K16</f>
        <v>60000</v>
      </c>
      <c r="L17" s="58"/>
      <c r="N17" s="71"/>
      <c r="O17" s="72" t="s">
        <v>56</v>
      </c>
      <c r="P17" s="72"/>
      <c r="Q17" s="72"/>
      <c r="R17" s="72">
        <v>0</v>
      </c>
      <c r="S17" s="63"/>
      <c r="T17" s="72" t="s">
        <v>56</v>
      </c>
      <c r="U17" s="105" t="str">
        <f>IF($J$1="September",Y16,"")</f>
        <v/>
      </c>
      <c r="V17" s="74"/>
      <c r="W17" s="105" t="str">
        <f t="shared" si="1"/>
        <v/>
      </c>
      <c r="X17" s="74"/>
      <c r="Y17" s="105" t="str">
        <f t="shared" si="2"/>
        <v/>
      </c>
      <c r="Z17" s="76"/>
    </row>
    <row r="18" spans="1:27" s="29" customFormat="1" ht="21" customHeight="1" x14ac:dyDescent="0.2">
      <c r="A18" s="30"/>
      <c r="L18" s="46"/>
      <c r="N18" s="71"/>
      <c r="O18" s="72" t="s">
        <v>52</v>
      </c>
      <c r="P18" s="72"/>
      <c r="Q18" s="72"/>
      <c r="R18" s="72">
        <v>0</v>
      </c>
      <c r="S18" s="63"/>
      <c r="T18" s="72" t="s">
        <v>52</v>
      </c>
      <c r="U18" s="105" t="str">
        <f>IF($J$1="October",Y17,"")</f>
        <v/>
      </c>
      <c r="V18" s="74"/>
      <c r="W18" s="105" t="str">
        <f t="shared" si="1"/>
        <v/>
      </c>
      <c r="X18" s="74"/>
      <c r="Y18" s="105" t="str">
        <f t="shared" si="2"/>
        <v/>
      </c>
      <c r="Z18" s="76"/>
    </row>
    <row r="19" spans="1:27" s="29" customFormat="1" ht="21" customHeight="1" x14ac:dyDescent="0.2">
      <c r="A19" s="30"/>
      <c r="B19" s="394" t="s">
        <v>85</v>
      </c>
      <c r="C19" s="394"/>
      <c r="D19" s="394"/>
      <c r="E19" s="394"/>
      <c r="F19" s="394"/>
      <c r="G19" s="394"/>
      <c r="H19" s="394"/>
      <c r="I19" s="394"/>
      <c r="J19" s="394"/>
      <c r="K19" s="394"/>
      <c r="L19" s="46"/>
      <c r="N19" s="71"/>
      <c r="O19" s="72" t="s">
        <v>57</v>
      </c>
      <c r="P19" s="72"/>
      <c r="Q19" s="72"/>
      <c r="R19" s="72">
        <v>0</v>
      </c>
      <c r="S19" s="63"/>
      <c r="T19" s="72" t="s">
        <v>57</v>
      </c>
      <c r="U19" s="105" t="str">
        <f>IF($J$1="November",Y18,"")</f>
        <v/>
      </c>
      <c r="V19" s="74"/>
      <c r="W19" s="105" t="str">
        <f t="shared" si="1"/>
        <v/>
      </c>
      <c r="X19" s="74"/>
      <c r="Y19" s="105" t="str">
        <f t="shared" si="2"/>
        <v/>
      </c>
      <c r="Z19" s="76"/>
    </row>
    <row r="20" spans="1:27" s="29" customFormat="1" ht="21" customHeight="1" x14ac:dyDescent="0.2">
      <c r="A20" s="30"/>
      <c r="B20" s="394"/>
      <c r="C20" s="394"/>
      <c r="D20" s="394"/>
      <c r="E20" s="394"/>
      <c r="F20" s="394"/>
      <c r="G20" s="394"/>
      <c r="H20" s="394"/>
      <c r="I20" s="394"/>
      <c r="J20" s="394"/>
      <c r="K20" s="394"/>
      <c r="L20" s="46"/>
      <c r="N20" s="71"/>
      <c r="O20" s="72" t="s">
        <v>58</v>
      </c>
      <c r="P20" s="72"/>
      <c r="Q20" s="72"/>
      <c r="R20" s="72" t="str">
        <f t="shared" si="0"/>
        <v/>
      </c>
      <c r="S20" s="63"/>
      <c r="T20" s="72" t="s">
        <v>58</v>
      </c>
      <c r="U20" s="105" t="str">
        <f>IF($J$1="December",Y19,"")</f>
        <v/>
      </c>
      <c r="V20" s="74"/>
      <c r="W20" s="105" t="str">
        <f t="shared" si="1"/>
        <v/>
      </c>
      <c r="X20" s="74"/>
      <c r="Y20" s="105" t="str">
        <f t="shared" si="2"/>
        <v/>
      </c>
      <c r="Z20" s="76"/>
    </row>
    <row r="21" spans="1:27" s="29" customFormat="1" ht="21" customHeight="1" x14ac:dyDescent="0.2">
      <c r="A21" s="30"/>
      <c r="L21" s="46"/>
      <c r="N21" s="71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85"/>
    </row>
    <row r="22" spans="1:27" s="96" customFormat="1" ht="21" customHeight="1" x14ac:dyDescent="0.2"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</row>
    <row r="23" spans="1:27" s="29" customFormat="1" ht="21" customHeight="1" x14ac:dyDescent="0.2">
      <c r="A23" s="451" t="s">
        <v>40</v>
      </c>
      <c r="B23" s="449"/>
      <c r="C23" s="449"/>
      <c r="D23" s="449"/>
      <c r="E23" s="449"/>
      <c r="F23" s="449"/>
      <c r="G23" s="449"/>
      <c r="H23" s="449"/>
      <c r="I23" s="449"/>
      <c r="J23" s="449"/>
      <c r="K23" s="449"/>
      <c r="L23" s="452"/>
      <c r="M23" s="28"/>
      <c r="N23" s="75"/>
      <c r="O23" s="421" t="s">
        <v>42</v>
      </c>
      <c r="P23" s="422"/>
      <c r="Q23" s="422"/>
      <c r="R23" s="423"/>
      <c r="S23" s="63"/>
      <c r="T23" s="421" t="s">
        <v>43</v>
      </c>
      <c r="U23" s="422"/>
      <c r="V23" s="422"/>
      <c r="W23" s="422"/>
      <c r="X23" s="422"/>
      <c r="Y23" s="423"/>
      <c r="Z23" s="86"/>
      <c r="AA23" s="28"/>
    </row>
    <row r="24" spans="1:27" s="29" customFormat="1" ht="21" customHeight="1" x14ac:dyDescent="0.2">
      <c r="A24" s="30"/>
      <c r="C24" s="402" t="s">
        <v>83</v>
      </c>
      <c r="D24" s="402"/>
      <c r="E24" s="402"/>
      <c r="F24" s="402"/>
      <c r="G24" s="31" t="str">
        <f>$J$1</f>
        <v>June</v>
      </c>
      <c r="H24" s="409">
        <f>$K$1</f>
        <v>2023</v>
      </c>
      <c r="I24" s="409"/>
      <c r="K24" s="32"/>
      <c r="L24" s="33"/>
      <c r="M24" s="32"/>
      <c r="N24" s="67"/>
      <c r="O24" s="68" t="s">
        <v>53</v>
      </c>
      <c r="P24" s="68" t="s">
        <v>7</v>
      </c>
      <c r="Q24" s="68" t="s">
        <v>6</v>
      </c>
      <c r="R24" s="68" t="s">
        <v>54</v>
      </c>
      <c r="S24" s="69"/>
      <c r="T24" s="68" t="s">
        <v>53</v>
      </c>
      <c r="U24" s="68" t="s">
        <v>55</v>
      </c>
      <c r="V24" s="68" t="s">
        <v>20</v>
      </c>
      <c r="W24" s="68" t="s">
        <v>19</v>
      </c>
      <c r="X24" s="68" t="s">
        <v>21</v>
      </c>
      <c r="Y24" s="68" t="s">
        <v>59</v>
      </c>
      <c r="Z24" s="70"/>
      <c r="AA24" s="32"/>
    </row>
    <row r="25" spans="1:27" s="29" customFormat="1" ht="21" customHeight="1" x14ac:dyDescent="0.2">
      <c r="A25" s="30"/>
      <c r="D25" s="35"/>
      <c r="E25" s="35"/>
      <c r="F25" s="35"/>
      <c r="G25" s="35"/>
      <c r="H25" s="35"/>
      <c r="J25" s="36" t="s">
        <v>1</v>
      </c>
      <c r="K25" s="37">
        <v>5000</v>
      </c>
      <c r="L25" s="38"/>
      <c r="N25" s="71"/>
      <c r="O25" s="72" t="s">
        <v>45</v>
      </c>
      <c r="P25" s="72"/>
      <c r="Q25" s="72"/>
      <c r="R25" s="72"/>
      <c r="S25" s="73"/>
      <c r="T25" s="72" t="s">
        <v>45</v>
      </c>
      <c r="U25" s="74"/>
      <c r="V25" s="74"/>
      <c r="W25" s="74">
        <f>V25+U25</f>
        <v>0</v>
      </c>
      <c r="X25" s="74"/>
      <c r="Y25" s="74">
        <f>W25-X25</f>
        <v>0</v>
      </c>
      <c r="Z25" s="70"/>
    </row>
    <row r="26" spans="1:27" s="29" customFormat="1" ht="21" customHeight="1" x14ac:dyDescent="0.2">
      <c r="A26" s="30"/>
      <c r="B26" s="29" t="s">
        <v>0</v>
      </c>
      <c r="C26" s="40" t="s">
        <v>134</v>
      </c>
      <c r="H26" s="41"/>
      <c r="I26" s="35"/>
      <c r="L26" s="42"/>
      <c r="M26" s="28"/>
      <c r="N26" s="75"/>
      <c r="O26" s="72" t="s">
        <v>71</v>
      </c>
      <c r="P26" s="72"/>
      <c r="Q26" s="72"/>
      <c r="R26" s="72"/>
      <c r="S26" s="63"/>
      <c r="T26" s="72" t="s">
        <v>71</v>
      </c>
      <c r="U26" s="105">
        <f>Y25</f>
        <v>0</v>
      </c>
      <c r="V26" s="74"/>
      <c r="W26" s="105">
        <f>IF(U26="","",U26+V26)</f>
        <v>0</v>
      </c>
      <c r="X26" s="74"/>
      <c r="Y26" s="105">
        <f>IF(W26="","",W26-X26)</f>
        <v>0</v>
      </c>
      <c r="Z26" s="76"/>
      <c r="AA26" s="28"/>
    </row>
    <row r="27" spans="1:27" s="29" customFormat="1" ht="21" customHeight="1" x14ac:dyDescent="0.2">
      <c r="A27" s="30"/>
      <c r="B27" s="44" t="s">
        <v>41</v>
      </c>
      <c r="C27" s="45"/>
      <c r="F27" s="387" t="s">
        <v>43</v>
      </c>
      <c r="G27" s="388"/>
      <c r="I27" s="387" t="s">
        <v>44</v>
      </c>
      <c r="J27" s="447"/>
      <c r="K27" s="388"/>
      <c r="L27" s="46"/>
      <c r="N27" s="71"/>
      <c r="O27" s="72" t="s">
        <v>46</v>
      </c>
      <c r="P27" s="72"/>
      <c r="Q27" s="72"/>
      <c r="R27" s="72" t="str">
        <f t="shared" ref="R27:R36" si="3">IF(Q27="","",R26-Q27)</f>
        <v/>
      </c>
      <c r="S27" s="63"/>
      <c r="T27" s="72" t="s">
        <v>46</v>
      </c>
      <c r="U27" s="105"/>
      <c r="V27" s="74"/>
      <c r="W27" s="105" t="str">
        <f t="shared" ref="W27:W36" si="4">IF(U27="","",U27+V27)</f>
        <v/>
      </c>
      <c r="X27" s="74"/>
      <c r="Y27" s="105" t="str">
        <f t="shared" ref="Y27:Y36" si="5">IF(W27="","",W27-X27)</f>
        <v/>
      </c>
      <c r="Z27" s="76"/>
    </row>
    <row r="28" spans="1:27" s="29" customFormat="1" ht="21" customHeight="1" x14ac:dyDescent="0.2">
      <c r="A28" s="30"/>
      <c r="H28" s="47"/>
      <c r="L28" s="34"/>
      <c r="N28" s="71"/>
      <c r="O28" s="72" t="s">
        <v>47</v>
      </c>
      <c r="P28" s="72"/>
      <c r="Q28" s="72"/>
      <c r="R28" s="72" t="str">
        <f t="shared" si="3"/>
        <v/>
      </c>
      <c r="S28" s="63"/>
      <c r="T28" s="72" t="s">
        <v>47</v>
      </c>
      <c r="U28" s="105"/>
      <c r="V28" s="74"/>
      <c r="W28" s="105">
        <f>V28+U28</f>
        <v>0</v>
      </c>
      <c r="X28" s="74"/>
      <c r="Y28" s="105">
        <f t="shared" si="5"/>
        <v>0</v>
      </c>
      <c r="Z28" s="76"/>
    </row>
    <row r="29" spans="1:27" s="29" customFormat="1" ht="21" customHeight="1" x14ac:dyDescent="0.2">
      <c r="A29" s="30"/>
      <c r="B29" s="389" t="s">
        <v>42</v>
      </c>
      <c r="C29" s="390"/>
      <c r="F29" s="48" t="s">
        <v>64</v>
      </c>
      <c r="G29" s="43">
        <f>IF($J$1="January",U25,IF($J$1="February",U26,IF($J$1="March",U27,IF($J$1="April",U28,IF($J$1="May",U29,IF($J$1="June",U30,IF($J$1="July",U31,IF($J$1="August",U32,IF($J$1="August",U32,IF($J$1="September",U33,IF($J$1="October",U34,IF($J$1="November",U35,IF($J$1="December",U36)))))))))))))</f>
        <v>0</v>
      </c>
      <c r="H29" s="47"/>
      <c r="I29" s="49"/>
      <c r="J29" s="50" t="s">
        <v>61</v>
      </c>
      <c r="K29" s="51">
        <v>5000</v>
      </c>
      <c r="L29" s="52"/>
      <c r="N29" s="71"/>
      <c r="O29" s="72" t="s">
        <v>48</v>
      </c>
      <c r="P29" s="72"/>
      <c r="Q29" s="72"/>
      <c r="R29" s="72" t="str">
        <f t="shared" si="3"/>
        <v/>
      </c>
      <c r="S29" s="63"/>
      <c r="T29" s="72" t="s">
        <v>48</v>
      </c>
      <c r="U29" s="105">
        <f>Y28</f>
        <v>0</v>
      </c>
      <c r="V29" s="74"/>
      <c r="W29" s="105">
        <f t="shared" si="4"/>
        <v>0</v>
      </c>
      <c r="X29" s="74"/>
      <c r="Y29" s="105">
        <f t="shared" si="5"/>
        <v>0</v>
      </c>
      <c r="Z29" s="76"/>
    </row>
    <row r="30" spans="1:27" s="29" customFormat="1" ht="21" customHeight="1" x14ac:dyDescent="0.2">
      <c r="A30" s="30"/>
      <c r="B30" s="39"/>
      <c r="C30" s="39"/>
      <c r="F30" s="48" t="s">
        <v>20</v>
      </c>
      <c r="G30" s="43">
        <f>IF($J$1="January",V25,IF($J$1="February",V26,IF($J$1="March",V27,IF($J$1="April",V28,IF($J$1="May",V29,IF($J$1="June",V30,IF($J$1="July",V31,IF($J$1="August",V32,IF($J$1="August",V32,IF($J$1="September",V33,IF($J$1="October",V34,IF($J$1="November",V35,IF($J$1="December",V36)))))))))))))</f>
        <v>5000</v>
      </c>
      <c r="H30" s="47"/>
      <c r="I30" s="49"/>
      <c r="J30" s="50" t="s">
        <v>62</v>
      </c>
      <c r="K30" s="53">
        <f>K25/$K$2/8*I30</f>
        <v>0</v>
      </c>
      <c r="L30" s="54"/>
      <c r="N30" s="71"/>
      <c r="O30" s="72" t="s">
        <v>49</v>
      </c>
      <c r="P30" s="72"/>
      <c r="Q30" s="72"/>
      <c r="R30" s="72" t="str">
        <f t="shared" si="3"/>
        <v/>
      </c>
      <c r="S30" s="63"/>
      <c r="T30" s="72" t="s">
        <v>49</v>
      </c>
      <c r="U30" s="105">
        <f>Y29</f>
        <v>0</v>
      </c>
      <c r="V30" s="74">
        <v>5000</v>
      </c>
      <c r="W30" s="105">
        <f t="shared" si="4"/>
        <v>5000</v>
      </c>
      <c r="X30" s="74">
        <v>5000</v>
      </c>
      <c r="Y30" s="105">
        <f t="shared" si="5"/>
        <v>0</v>
      </c>
      <c r="Z30" s="76"/>
    </row>
    <row r="31" spans="1:27" s="29" customFormat="1" ht="21" customHeight="1" x14ac:dyDescent="0.2">
      <c r="A31" s="30"/>
      <c r="B31" s="48" t="s">
        <v>7</v>
      </c>
      <c r="C31" s="39">
        <f>IF($J$1="January",P25,IF($J$1="February",P26,IF($J$1="March",P27,IF($J$1="April",P28,IF($J$1="May",P29,IF($J$1="June",P30,IF($J$1="July",P31,IF($J$1="August",P32,IF($J$1="August",P32,IF($J$1="September",P33,IF($J$1="October",P34,IF($J$1="November",P35,IF($J$1="December",P36)))))))))))))</f>
        <v>0</v>
      </c>
      <c r="F31" s="48" t="s">
        <v>65</v>
      </c>
      <c r="G31" s="43">
        <f>IF($J$1="January",W25,IF($J$1="February",W26,IF($J$1="March",W27,IF($J$1="April",W28,IF($J$1="May",W29,IF($J$1="June",W30,IF($J$1="July",W31,IF($J$1="August",W32,IF($J$1="August",W32,IF($J$1="September",W33,IF($J$1="October",W34,IF($J$1="November",W35,IF($J$1="December",W36)))))))))))))</f>
        <v>5000</v>
      </c>
      <c r="H31" s="47"/>
      <c r="I31" s="392" t="s">
        <v>69</v>
      </c>
      <c r="J31" s="393"/>
      <c r="K31" s="53">
        <f>K29+K30</f>
        <v>5000</v>
      </c>
      <c r="L31" s="54"/>
      <c r="N31" s="71"/>
      <c r="O31" s="72" t="s">
        <v>50</v>
      </c>
      <c r="P31" s="72"/>
      <c r="Q31" s="72"/>
      <c r="R31" s="72" t="str">
        <f t="shared" si="3"/>
        <v/>
      </c>
      <c r="S31" s="63"/>
      <c r="T31" s="72" t="s">
        <v>50</v>
      </c>
      <c r="U31" s="105"/>
      <c r="V31" s="74"/>
      <c r="W31" s="105" t="str">
        <f t="shared" si="4"/>
        <v/>
      </c>
      <c r="X31" s="74"/>
      <c r="Y31" s="105" t="str">
        <f t="shared" si="5"/>
        <v/>
      </c>
      <c r="Z31" s="76"/>
    </row>
    <row r="32" spans="1:27" s="29" customFormat="1" ht="21" customHeight="1" x14ac:dyDescent="0.2">
      <c r="A32" s="30"/>
      <c r="B32" s="48" t="s">
        <v>6</v>
      </c>
      <c r="C32" s="39">
        <f>IF($J$1="January",Q25,IF($J$1="February",Q26,IF($J$1="March",Q27,IF($J$1="April",Q28,IF($J$1="May",Q29,IF($J$1="June",Q30,IF($J$1="July",Q31,IF($J$1="August",Q32,IF($J$1="August",Q32,IF($J$1="September",Q33,IF($J$1="October",Q34,IF($J$1="November",Q35,IF($J$1="December",Q36)))))))))))))</f>
        <v>0</v>
      </c>
      <c r="F32" s="48" t="s">
        <v>21</v>
      </c>
      <c r="G32" s="43">
        <f>IF($J$1="January",X25,IF($J$1="February",X26,IF($J$1="March",X27,IF($J$1="April",X28,IF($J$1="May",X29,IF($J$1="June",X30,IF($J$1="July",X31,IF($J$1="August",X32,IF($J$1="August",X32,IF($J$1="September",X33,IF($J$1="October",X34,IF($J$1="November",X35,IF($J$1="December",X36)))))))))))))</f>
        <v>5000</v>
      </c>
      <c r="H32" s="47"/>
      <c r="I32" s="392" t="s">
        <v>70</v>
      </c>
      <c r="J32" s="393"/>
      <c r="K32" s="43">
        <f>X30</f>
        <v>5000</v>
      </c>
      <c r="L32" s="55"/>
      <c r="N32" s="71"/>
      <c r="O32" s="72" t="s">
        <v>51</v>
      </c>
      <c r="P32" s="72"/>
      <c r="Q32" s="72"/>
      <c r="R32" s="72" t="str">
        <f t="shared" si="3"/>
        <v/>
      </c>
      <c r="S32" s="63"/>
      <c r="T32" s="72" t="s">
        <v>51</v>
      </c>
      <c r="U32" s="105"/>
      <c r="V32" s="74"/>
      <c r="W32" s="105" t="str">
        <f t="shared" si="4"/>
        <v/>
      </c>
      <c r="X32" s="74"/>
      <c r="Y32" s="105" t="str">
        <f t="shared" si="5"/>
        <v/>
      </c>
      <c r="Z32" s="76"/>
    </row>
    <row r="33" spans="1:27" s="29" customFormat="1" ht="21" customHeight="1" x14ac:dyDescent="0.2">
      <c r="A33" s="30"/>
      <c r="B33" s="56" t="s">
        <v>68</v>
      </c>
      <c r="C33" s="39" t="str">
        <f>IF($J$1="January",R25,IF($J$1="February",R26,IF($J$1="March",R27,IF($J$1="April",R28,IF($J$1="May",R29,IF($J$1="June",R30,IF($J$1="July",R31,IF($J$1="August",R32,IF($J$1="August",R32,IF($J$1="September",R33,IF($J$1="October",R34,IF($J$1="November",R35,IF($J$1="December",R36)))))))))))))</f>
        <v/>
      </c>
      <c r="F33" s="48" t="s">
        <v>67</v>
      </c>
      <c r="G33" s="43">
        <f>IF($J$1="January",Y25,IF($J$1="February",Y26,IF($J$1="March",Y27,IF($J$1="April",Y28,IF($J$1="May",Y29,IF($J$1="June",Y30,IF($J$1="July",Y31,IF($J$1="August",Y32,IF($J$1="August",Y32,IF($J$1="September",Y33,IF($J$1="October",Y34,IF($J$1="November",Y35,IF($J$1="December",Y36)))))))))))))</f>
        <v>0</v>
      </c>
      <c r="I33" s="387" t="s">
        <v>63</v>
      </c>
      <c r="J33" s="388"/>
      <c r="K33" s="57">
        <f>K31-K32</f>
        <v>0</v>
      </c>
      <c r="L33" s="58"/>
      <c r="N33" s="71"/>
      <c r="O33" s="72" t="s">
        <v>56</v>
      </c>
      <c r="P33" s="72"/>
      <c r="Q33" s="72"/>
      <c r="R33" s="72" t="str">
        <f t="shared" si="3"/>
        <v/>
      </c>
      <c r="S33" s="63"/>
      <c r="T33" s="72" t="s">
        <v>56</v>
      </c>
      <c r="U33" s="105"/>
      <c r="V33" s="74"/>
      <c r="W33" s="105" t="str">
        <f t="shared" si="4"/>
        <v/>
      </c>
      <c r="X33" s="74"/>
      <c r="Y33" s="105" t="str">
        <f t="shared" si="5"/>
        <v/>
      </c>
      <c r="Z33" s="76"/>
    </row>
    <row r="34" spans="1:27" s="29" customFormat="1" ht="21" customHeight="1" x14ac:dyDescent="0.2">
      <c r="A34" s="30"/>
      <c r="L34" s="46"/>
      <c r="N34" s="71"/>
      <c r="O34" s="72" t="s">
        <v>52</v>
      </c>
      <c r="P34" s="72"/>
      <c r="Q34" s="72"/>
      <c r="R34" s="72" t="str">
        <f t="shared" si="3"/>
        <v/>
      </c>
      <c r="S34" s="63"/>
      <c r="T34" s="72" t="s">
        <v>52</v>
      </c>
      <c r="U34" s="105"/>
      <c r="V34" s="74"/>
      <c r="W34" s="105" t="str">
        <f t="shared" si="4"/>
        <v/>
      </c>
      <c r="X34" s="74"/>
      <c r="Y34" s="105" t="str">
        <f t="shared" si="5"/>
        <v/>
      </c>
      <c r="Z34" s="76"/>
    </row>
    <row r="35" spans="1:27" s="29" customFormat="1" ht="21" customHeight="1" x14ac:dyDescent="0.2">
      <c r="A35" s="30"/>
      <c r="B35" s="394" t="s">
        <v>85</v>
      </c>
      <c r="C35" s="394"/>
      <c r="D35" s="394"/>
      <c r="E35" s="394"/>
      <c r="F35" s="394"/>
      <c r="G35" s="394"/>
      <c r="H35" s="394"/>
      <c r="I35" s="394"/>
      <c r="J35" s="394"/>
      <c r="K35" s="394"/>
      <c r="L35" s="46"/>
      <c r="N35" s="71"/>
      <c r="O35" s="72" t="s">
        <v>57</v>
      </c>
      <c r="P35" s="72"/>
      <c r="Q35" s="72"/>
      <c r="R35" s="72" t="str">
        <f t="shared" si="3"/>
        <v/>
      </c>
      <c r="S35" s="63"/>
      <c r="T35" s="72" t="s">
        <v>57</v>
      </c>
      <c r="U35" s="105"/>
      <c r="V35" s="74"/>
      <c r="W35" s="105" t="str">
        <f t="shared" si="4"/>
        <v/>
      </c>
      <c r="X35" s="74"/>
      <c r="Y35" s="105" t="str">
        <f t="shared" si="5"/>
        <v/>
      </c>
      <c r="Z35" s="76"/>
    </row>
    <row r="36" spans="1:27" s="29" customFormat="1" ht="21" customHeight="1" x14ac:dyDescent="0.2">
      <c r="A36" s="30"/>
      <c r="B36" s="394"/>
      <c r="C36" s="394"/>
      <c r="D36" s="394"/>
      <c r="E36" s="394"/>
      <c r="F36" s="394"/>
      <c r="G36" s="394"/>
      <c r="H36" s="394"/>
      <c r="I36" s="394"/>
      <c r="J36" s="394"/>
      <c r="K36" s="394"/>
      <c r="L36" s="46"/>
      <c r="N36" s="71"/>
      <c r="O36" s="72" t="s">
        <v>58</v>
      </c>
      <c r="P36" s="72"/>
      <c r="Q36" s="72"/>
      <c r="R36" s="72" t="str">
        <f t="shared" si="3"/>
        <v/>
      </c>
      <c r="S36" s="63"/>
      <c r="T36" s="72" t="s">
        <v>58</v>
      </c>
      <c r="U36" s="105"/>
      <c r="V36" s="74"/>
      <c r="W36" s="105" t="str">
        <f t="shared" si="4"/>
        <v/>
      </c>
      <c r="X36" s="74"/>
      <c r="Y36" s="105" t="str">
        <f t="shared" si="5"/>
        <v/>
      </c>
      <c r="Z36" s="76"/>
    </row>
    <row r="37" spans="1:27" s="29" customFormat="1" ht="21" customHeight="1" thickBot="1" x14ac:dyDescent="0.25">
      <c r="A37" s="59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1"/>
      <c r="N37" s="77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9"/>
    </row>
    <row r="38" spans="1:27" s="29" customFormat="1" ht="21" customHeight="1" thickBot="1" x14ac:dyDescent="0.25"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spans="1:27" s="29" customFormat="1" ht="21" customHeight="1" x14ac:dyDescent="0.2">
      <c r="A39" s="427" t="s">
        <v>40</v>
      </c>
      <c r="B39" s="428"/>
      <c r="C39" s="428"/>
      <c r="D39" s="428"/>
      <c r="E39" s="428"/>
      <c r="F39" s="428"/>
      <c r="G39" s="428"/>
      <c r="H39" s="428"/>
      <c r="I39" s="428"/>
      <c r="J39" s="428"/>
      <c r="K39" s="428"/>
      <c r="L39" s="429"/>
      <c r="M39" s="28"/>
      <c r="N39" s="64"/>
      <c r="O39" s="403" t="s">
        <v>42</v>
      </c>
      <c r="P39" s="404"/>
      <c r="Q39" s="404"/>
      <c r="R39" s="405"/>
      <c r="S39" s="65"/>
      <c r="T39" s="403" t="s">
        <v>43</v>
      </c>
      <c r="U39" s="404"/>
      <c r="V39" s="404"/>
      <c r="W39" s="404"/>
      <c r="X39" s="404"/>
      <c r="Y39" s="405"/>
      <c r="Z39" s="66"/>
      <c r="AA39" s="28"/>
    </row>
    <row r="40" spans="1:27" s="29" customFormat="1" ht="21" customHeight="1" x14ac:dyDescent="0.2">
      <c r="A40" s="30"/>
      <c r="C40" s="402" t="s">
        <v>83</v>
      </c>
      <c r="D40" s="402"/>
      <c r="E40" s="402"/>
      <c r="F40" s="402"/>
      <c r="G40" s="31" t="str">
        <f>$J$1</f>
        <v>June</v>
      </c>
      <c r="H40" s="409">
        <f>$K$1</f>
        <v>2023</v>
      </c>
      <c r="I40" s="409"/>
      <c r="K40" s="32"/>
      <c r="L40" s="33"/>
      <c r="M40" s="32"/>
      <c r="N40" s="67"/>
      <c r="O40" s="68" t="s">
        <v>53</v>
      </c>
      <c r="P40" s="68" t="s">
        <v>7</v>
      </c>
      <c r="Q40" s="68" t="s">
        <v>6</v>
      </c>
      <c r="R40" s="68" t="s">
        <v>54</v>
      </c>
      <c r="S40" s="69"/>
      <c r="T40" s="68" t="s">
        <v>53</v>
      </c>
      <c r="U40" s="68" t="s">
        <v>55</v>
      </c>
      <c r="V40" s="68" t="s">
        <v>20</v>
      </c>
      <c r="W40" s="68" t="s">
        <v>19</v>
      </c>
      <c r="X40" s="68" t="s">
        <v>21</v>
      </c>
      <c r="Y40" s="68" t="s">
        <v>59</v>
      </c>
      <c r="Z40" s="70"/>
      <c r="AA40" s="32"/>
    </row>
    <row r="41" spans="1:27" s="29" customFormat="1" ht="21" customHeight="1" x14ac:dyDescent="0.2">
      <c r="A41" s="30"/>
      <c r="D41" s="35"/>
      <c r="E41" s="35"/>
      <c r="F41" s="35"/>
      <c r="G41" s="35"/>
      <c r="H41" s="35"/>
      <c r="J41" s="36" t="s">
        <v>1</v>
      </c>
      <c r="K41" s="37">
        <v>18000</v>
      </c>
      <c r="L41" s="38"/>
      <c r="N41" s="71"/>
      <c r="O41" s="72" t="s">
        <v>45</v>
      </c>
      <c r="P41" s="72"/>
      <c r="Q41" s="72"/>
      <c r="R41" s="72"/>
      <c r="S41" s="73"/>
      <c r="T41" s="72" t="s">
        <v>45</v>
      </c>
      <c r="U41" s="74">
        <v>6000</v>
      </c>
      <c r="V41" s="74"/>
      <c r="W41" s="74">
        <f>V41+U41</f>
        <v>6000</v>
      </c>
      <c r="X41" s="74">
        <v>3000</v>
      </c>
      <c r="Y41" s="74">
        <f>W41-X41</f>
        <v>3000</v>
      </c>
      <c r="Z41" s="70"/>
    </row>
    <row r="42" spans="1:27" s="29" customFormat="1" ht="21" customHeight="1" x14ac:dyDescent="0.2">
      <c r="A42" s="30"/>
      <c r="B42" s="29" t="s">
        <v>0</v>
      </c>
      <c r="C42" s="40" t="s">
        <v>167</v>
      </c>
      <c r="H42" s="41"/>
      <c r="I42" s="35"/>
      <c r="L42" s="42"/>
      <c r="M42" s="28"/>
      <c r="N42" s="75"/>
      <c r="O42" s="72" t="s">
        <v>71</v>
      </c>
      <c r="P42" s="72"/>
      <c r="Q42" s="72"/>
      <c r="R42" s="72"/>
      <c r="S42" s="63"/>
      <c r="T42" s="72" t="s">
        <v>71</v>
      </c>
      <c r="U42" s="105">
        <f>Y41</f>
        <v>3000</v>
      </c>
      <c r="V42" s="74">
        <f>10000+5000</f>
        <v>15000</v>
      </c>
      <c r="W42" s="74">
        <f>V42+U42</f>
        <v>18000</v>
      </c>
      <c r="X42" s="74">
        <v>18000</v>
      </c>
      <c r="Y42" s="105">
        <f>IF(W42="","",W42-X42)</f>
        <v>0</v>
      </c>
      <c r="Z42" s="76"/>
      <c r="AA42" s="28"/>
    </row>
    <row r="43" spans="1:27" s="29" customFormat="1" ht="21" customHeight="1" x14ac:dyDescent="0.2">
      <c r="A43" s="30"/>
      <c r="B43" s="44" t="s">
        <v>41</v>
      </c>
      <c r="C43" s="45"/>
      <c r="F43" s="391" t="s">
        <v>43</v>
      </c>
      <c r="G43" s="391"/>
      <c r="I43" s="391" t="s">
        <v>44</v>
      </c>
      <c r="J43" s="391"/>
      <c r="K43" s="391"/>
      <c r="L43" s="46"/>
      <c r="N43" s="71"/>
      <c r="O43" s="72" t="s">
        <v>46</v>
      </c>
      <c r="P43" s="72"/>
      <c r="Q43" s="72"/>
      <c r="R43" s="72" t="str">
        <f t="shared" ref="R43:R52" si="6">IF(Q43="","",R42-Q43)</f>
        <v/>
      </c>
      <c r="S43" s="63"/>
      <c r="T43" s="72" t="s">
        <v>46</v>
      </c>
      <c r="U43" s="105">
        <f>Y42</f>
        <v>0</v>
      </c>
      <c r="V43" s="74">
        <v>8000</v>
      </c>
      <c r="W43" s="74">
        <f>V43+U43</f>
        <v>8000</v>
      </c>
      <c r="X43" s="74"/>
      <c r="Y43" s="105">
        <f t="shared" ref="Y43:Y52" si="7">IF(W43="","",W43-X43)</f>
        <v>8000</v>
      </c>
      <c r="Z43" s="76"/>
    </row>
    <row r="44" spans="1:27" s="29" customFormat="1" ht="21" customHeight="1" x14ac:dyDescent="0.2">
      <c r="A44" s="30"/>
      <c r="H44" s="47"/>
      <c r="L44" s="34"/>
      <c r="N44" s="71"/>
      <c r="O44" s="72" t="s">
        <v>47</v>
      </c>
      <c r="P44" s="72"/>
      <c r="Q44" s="72"/>
      <c r="R44" s="72" t="str">
        <f t="shared" si="6"/>
        <v/>
      </c>
      <c r="S44" s="63"/>
      <c r="T44" s="72" t="s">
        <v>47</v>
      </c>
      <c r="U44" s="105">
        <f>Y43</f>
        <v>8000</v>
      </c>
      <c r="V44" s="74"/>
      <c r="W44" s="105">
        <f t="shared" ref="W44:W52" si="8">IF(U44="","",U44+V44)</f>
        <v>8000</v>
      </c>
      <c r="X44" s="74">
        <v>3000</v>
      </c>
      <c r="Y44" s="105">
        <f t="shared" si="7"/>
        <v>5000</v>
      </c>
      <c r="Z44" s="76"/>
    </row>
    <row r="45" spans="1:27" s="29" customFormat="1" ht="21" customHeight="1" x14ac:dyDescent="0.2">
      <c r="A45" s="30"/>
      <c r="B45" s="389" t="s">
        <v>42</v>
      </c>
      <c r="C45" s="390"/>
      <c r="F45" s="48" t="s">
        <v>64</v>
      </c>
      <c r="G45" s="43">
        <f>IF($J$1="January",U41,IF($J$1="February",U42,IF($J$1="March",U43,IF($J$1="April",U44,IF($J$1="May",U45,IF($J$1="June",U46,IF($J$1="July",U47,IF($J$1="August",U48,IF($J$1="August",U48,IF($J$1="September",U49,IF($J$1="October",U50,IF($J$1="November",U51,IF($J$1="December",U52)))))))))))))</f>
        <v>5000</v>
      </c>
      <c r="H45" s="47"/>
      <c r="I45" s="49">
        <f>IF(C49&gt;=C48,$K$2,C47-C48+C49)</f>
        <v>30</v>
      </c>
      <c r="J45" s="50" t="s">
        <v>61</v>
      </c>
      <c r="K45" s="51">
        <f>K41/$K$2*I45</f>
        <v>18000</v>
      </c>
      <c r="L45" s="52"/>
      <c r="N45" s="71"/>
      <c r="O45" s="72" t="s">
        <v>48</v>
      </c>
      <c r="P45" s="72"/>
      <c r="Q45" s="72"/>
      <c r="R45" s="72" t="str">
        <f t="shared" si="6"/>
        <v/>
      </c>
      <c r="S45" s="63"/>
      <c r="T45" s="72" t="s">
        <v>48</v>
      </c>
      <c r="U45" s="105">
        <f>Y44</f>
        <v>5000</v>
      </c>
      <c r="V45" s="74"/>
      <c r="W45" s="105">
        <f t="shared" si="8"/>
        <v>5000</v>
      </c>
      <c r="X45" s="74"/>
      <c r="Y45" s="105">
        <f t="shared" si="7"/>
        <v>5000</v>
      </c>
      <c r="Z45" s="76"/>
    </row>
    <row r="46" spans="1:27" s="29" customFormat="1" ht="21" customHeight="1" x14ac:dyDescent="0.2">
      <c r="A46" s="30"/>
      <c r="B46" s="39"/>
      <c r="C46" s="39"/>
      <c r="F46" s="48" t="s">
        <v>20</v>
      </c>
      <c r="G46" s="43">
        <f>IF($J$1="January",V41,IF($J$1="February",V42,IF($J$1="March",V43,IF($J$1="April",V44,IF($J$1="May",V45,IF($J$1="June",V46,IF($J$1="July",V47,IF($J$1="August",V48,IF($J$1="August",V48,IF($J$1="September",V49,IF($J$1="October",V50,IF($J$1="November",V51,IF($J$1="December",V52)))))))))))))</f>
        <v>18000</v>
      </c>
      <c r="H46" s="47"/>
      <c r="I46" s="49"/>
      <c r="J46" s="50" t="s">
        <v>62</v>
      </c>
      <c r="K46" s="53">
        <f>K41/$K$2/8*I46</f>
        <v>0</v>
      </c>
      <c r="L46" s="54"/>
      <c r="N46" s="71"/>
      <c r="O46" s="72" t="s">
        <v>49</v>
      </c>
      <c r="P46" s="72"/>
      <c r="Q46" s="72"/>
      <c r="R46" s="72">
        <v>0</v>
      </c>
      <c r="S46" s="63"/>
      <c r="T46" s="72" t="s">
        <v>49</v>
      </c>
      <c r="U46" s="105">
        <f>Y45</f>
        <v>5000</v>
      </c>
      <c r="V46" s="74">
        <v>18000</v>
      </c>
      <c r="W46" s="105">
        <f t="shared" si="8"/>
        <v>23000</v>
      </c>
      <c r="X46" s="74">
        <v>18000</v>
      </c>
      <c r="Y46" s="105">
        <f t="shared" si="7"/>
        <v>5000</v>
      </c>
      <c r="Z46" s="76"/>
    </row>
    <row r="47" spans="1:27" s="29" customFormat="1" ht="21" customHeight="1" x14ac:dyDescent="0.2">
      <c r="A47" s="30"/>
      <c r="B47" s="48" t="s">
        <v>7</v>
      </c>
      <c r="C47" s="39">
        <f>IF($J$1="January",P41,IF($J$1="February",P42,IF($J$1="March",P43,IF($J$1="April",P44,IF($J$1="May",P45,IF($J$1="June",P46,IF($J$1="July",P47,IF($J$1="August",P48,IF($J$1="August",P48,IF($J$1="September",P49,IF($J$1="October",P50,IF($J$1="November",P51,IF($J$1="December",P52)))))))))))))</f>
        <v>0</v>
      </c>
      <c r="F47" s="48" t="s">
        <v>65</v>
      </c>
      <c r="G47" s="43">
        <f>IF($J$1="January",W41,IF($J$1="February",W42,IF($J$1="March",W43,IF($J$1="April",W44,IF($J$1="May",W45,IF($J$1="June",W46,IF($J$1="July",W47,IF($J$1="August",W48,IF($J$1="August",W48,IF($J$1="September",W49,IF($J$1="October",W50,IF($J$1="November",W51,IF($J$1="December",W52)))))))))))))</f>
        <v>23000</v>
      </c>
      <c r="H47" s="47"/>
      <c r="I47" s="392" t="s">
        <v>69</v>
      </c>
      <c r="J47" s="393"/>
      <c r="K47" s="53">
        <f>K45+K46</f>
        <v>18000</v>
      </c>
      <c r="L47" s="54"/>
      <c r="N47" s="71"/>
      <c r="O47" s="72" t="s">
        <v>50</v>
      </c>
      <c r="P47" s="72"/>
      <c r="Q47" s="72"/>
      <c r="R47" s="72" t="str">
        <f t="shared" si="6"/>
        <v/>
      </c>
      <c r="S47" s="63"/>
      <c r="T47" s="72" t="s">
        <v>50</v>
      </c>
      <c r="U47" s="105"/>
      <c r="V47" s="74"/>
      <c r="W47" s="105" t="str">
        <f t="shared" si="8"/>
        <v/>
      </c>
      <c r="X47" s="74"/>
      <c r="Y47" s="105" t="str">
        <f t="shared" si="7"/>
        <v/>
      </c>
      <c r="Z47" s="76"/>
    </row>
    <row r="48" spans="1:27" s="29" customFormat="1" ht="21" customHeight="1" x14ac:dyDescent="0.2">
      <c r="A48" s="30"/>
      <c r="B48" s="48" t="s">
        <v>6</v>
      </c>
      <c r="C48" s="39">
        <f>IF($J$1="January",Q41,IF($J$1="February",Q42,IF($J$1="March",Q43,IF($J$1="April",Q44,IF($J$1="May",Q45,IF($J$1="June",Q46,IF($J$1="July",Q47,IF($J$1="August",Q48,IF($J$1="August",Q48,IF($J$1="September",Q49,IF($J$1="October",Q50,IF($J$1="November",Q51,IF($J$1="December",Q52)))))))))))))</f>
        <v>0</v>
      </c>
      <c r="F48" s="48" t="s">
        <v>21</v>
      </c>
      <c r="G48" s="43">
        <f>IF($J$1="January",X41,IF($J$1="February",X42,IF($J$1="March",X43,IF($J$1="April",X44,IF($J$1="May",X45,IF($J$1="June",X46,IF($J$1="July",X47,IF($J$1="August",X48,IF($J$1="August",X48,IF($J$1="September",X49,IF($J$1="October",X50,IF($J$1="November",X51,IF($J$1="December",X52)))))))))))))</f>
        <v>18000</v>
      </c>
      <c r="H48" s="47"/>
      <c r="I48" s="392" t="s">
        <v>70</v>
      </c>
      <c r="J48" s="393"/>
      <c r="K48" s="43">
        <f>G48</f>
        <v>18000</v>
      </c>
      <c r="L48" s="55"/>
      <c r="N48" s="71"/>
      <c r="O48" s="72" t="s">
        <v>51</v>
      </c>
      <c r="P48" s="72"/>
      <c r="Q48" s="72"/>
      <c r="R48" s="72" t="str">
        <f t="shared" si="6"/>
        <v/>
      </c>
      <c r="S48" s="63"/>
      <c r="T48" s="72" t="s">
        <v>51</v>
      </c>
      <c r="U48" s="105" t="str">
        <f t="shared" ref="U48:U50" si="9">Y47</f>
        <v/>
      </c>
      <c r="V48" s="74"/>
      <c r="W48" s="105" t="str">
        <f t="shared" si="8"/>
        <v/>
      </c>
      <c r="X48" s="74"/>
      <c r="Y48" s="105" t="str">
        <f t="shared" si="7"/>
        <v/>
      </c>
      <c r="Z48" s="76"/>
    </row>
    <row r="49" spans="1:27" s="29" customFormat="1" ht="21" customHeight="1" x14ac:dyDescent="0.2">
      <c r="A49" s="30"/>
      <c r="B49" s="56" t="s">
        <v>68</v>
      </c>
      <c r="C49" s="39">
        <f>IF($J$1="January",R41,IF($J$1="February",R42,IF($J$1="March",R43,IF($J$1="April",R44,IF($J$1="May",R45,IF($J$1="June",R46,IF($J$1="July",R47,IF($J$1="August",R48,IF($J$1="August",R48,IF($J$1="September",R49,IF($J$1="October",R50,IF($J$1="November",R51,IF($J$1="December",R52)))))))))))))</f>
        <v>0</v>
      </c>
      <c r="F49" s="48" t="s">
        <v>67</v>
      </c>
      <c r="G49" s="43">
        <f>IF($J$1="January",Y41,IF($J$1="February",Y42,IF($J$1="March",Y43,IF($J$1="April",Y44,IF($J$1="May",Y45,IF($J$1="June",Y46,IF($J$1="July",Y47,IF($J$1="August",Y48,IF($J$1="August",Y48,IF($J$1="September",Y49,IF($J$1="October",Y50,IF($J$1="November",Y51,IF($J$1="December",Y52)))))))))))))</f>
        <v>5000</v>
      </c>
      <c r="I49" s="387" t="s">
        <v>63</v>
      </c>
      <c r="J49" s="388"/>
      <c r="K49" s="57">
        <f>K47-K48</f>
        <v>0</v>
      </c>
      <c r="L49" s="58"/>
      <c r="N49" s="71"/>
      <c r="O49" s="72" t="s">
        <v>56</v>
      </c>
      <c r="P49" s="72"/>
      <c r="Q49" s="72"/>
      <c r="R49" s="72" t="str">
        <f t="shared" si="6"/>
        <v/>
      </c>
      <c r="S49" s="63"/>
      <c r="T49" s="72" t="s">
        <v>56</v>
      </c>
      <c r="U49" s="105" t="str">
        <f t="shared" si="9"/>
        <v/>
      </c>
      <c r="V49" s="74"/>
      <c r="W49" s="105" t="str">
        <f t="shared" si="8"/>
        <v/>
      </c>
      <c r="X49" s="74"/>
      <c r="Y49" s="105" t="str">
        <f t="shared" si="7"/>
        <v/>
      </c>
      <c r="Z49" s="76"/>
    </row>
    <row r="50" spans="1:27" s="29" customFormat="1" ht="21" customHeight="1" x14ac:dyDescent="0.2">
      <c r="A50" s="30"/>
      <c r="K50" s="107"/>
      <c r="L50" s="46"/>
      <c r="N50" s="71"/>
      <c r="O50" s="72" t="s">
        <v>52</v>
      </c>
      <c r="P50" s="72"/>
      <c r="Q50" s="72"/>
      <c r="R50" s="72">
        <v>0</v>
      </c>
      <c r="S50" s="63"/>
      <c r="T50" s="72" t="s">
        <v>52</v>
      </c>
      <c r="U50" s="105" t="str">
        <f t="shared" si="9"/>
        <v/>
      </c>
      <c r="V50" s="74"/>
      <c r="W50" s="105" t="str">
        <f t="shared" si="8"/>
        <v/>
      </c>
      <c r="X50" s="74"/>
      <c r="Y50" s="105" t="str">
        <f t="shared" si="7"/>
        <v/>
      </c>
      <c r="Z50" s="76"/>
    </row>
    <row r="51" spans="1:27" s="29" customFormat="1" ht="21" customHeight="1" x14ac:dyDescent="0.2">
      <c r="A51" s="30"/>
      <c r="B51" s="394" t="s">
        <v>85</v>
      </c>
      <c r="C51" s="394"/>
      <c r="D51" s="394"/>
      <c r="E51" s="394"/>
      <c r="F51" s="394"/>
      <c r="G51" s="394"/>
      <c r="H51" s="394"/>
      <c r="I51" s="394"/>
      <c r="J51" s="394"/>
      <c r="K51" s="394"/>
      <c r="L51" s="46"/>
      <c r="N51" s="71"/>
      <c r="O51" s="72" t="s">
        <v>57</v>
      </c>
      <c r="P51" s="72"/>
      <c r="Q51" s="72"/>
      <c r="R51" s="72" t="str">
        <f t="shared" si="6"/>
        <v/>
      </c>
      <c r="S51" s="63"/>
      <c r="T51" s="72" t="s">
        <v>57</v>
      </c>
      <c r="U51" s="105" t="str">
        <f>Y50</f>
        <v/>
      </c>
      <c r="V51" s="74"/>
      <c r="W51" s="105" t="str">
        <f t="shared" si="8"/>
        <v/>
      </c>
      <c r="X51" s="74"/>
      <c r="Y51" s="105" t="str">
        <f t="shared" si="7"/>
        <v/>
      </c>
      <c r="Z51" s="76"/>
    </row>
    <row r="52" spans="1:27" s="29" customFormat="1" ht="21" customHeight="1" x14ac:dyDescent="0.2">
      <c r="A52" s="30"/>
      <c r="B52" s="394"/>
      <c r="C52" s="394"/>
      <c r="D52" s="394"/>
      <c r="E52" s="394"/>
      <c r="F52" s="394"/>
      <c r="G52" s="394"/>
      <c r="H52" s="394"/>
      <c r="I52" s="394"/>
      <c r="J52" s="394"/>
      <c r="K52" s="394"/>
      <c r="L52" s="46"/>
      <c r="N52" s="71"/>
      <c r="O52" s="72" t="s">
        <v>58</v>
      </c>
      <c r="P52" s="72"/>
      <c r="Q52" s="72"/>
      <c r="R52" s="72" t="str">
        <f t="shared" si="6"/>
        <v/>
      </c>
      <c r="S52" s="63"/>
      <c r="T52" s="72" t="s">
        <v>58</v>
      </c>
      <c r="U52" s="105" t="str">
        <f>Y51</f>
        <v/>
      </c>
      <c r="V52" s="74"/>
      <c r="W52" s="105" t="str">
        <f t="shared" si="8"/>
        <v/>
      </c>
      <c r="X52" s="74"/>
      <c r="Y52" s="105" t="str">
        <f t="shared" si="7"/>
        <v/>
      </c>
      <c r="Z52" s="76"/>
    </row>
    <row r="53" spans="1:27" s="29" customFormat="1" ht="21" customHeight="1" thickBot="1" x14ac:dyDescent="0.25">
      <c r="A53" s="59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1"/>
      <c r="N53" s="77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9"/>
    </row>
    <row r="54" spans="1:27" s="29" customFormat="1" ht="21" customHeight="1" x14ac:dyDescent="0.2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N54" s="71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85"/>
    </row>
    <row r="55" spans="1:27" s="29" customFormat="1" ht="21" customHeight="1" thickBot="1" x14ac:dyDescent="0.25">
      <c r="N55" s="71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85"/>
    </row>
    <row r="56" spans="1:27" s="29" customFormat="1" ht="21" customHeight="1" x14ac:dyDescent="0.2">
      <c r="A56" s="424" t="s">
        <v>40</v>
      </c>
      <c r="B56" s="425"/>
      <c r="C56" s="425"/>
      <c r="D56" s="425"/>
      <c r="E56" s="425"/>
      <c r="F56" s="425"/>
      <c r="G56" s="425"/>
      <c r="H56" s="425"/>
      <c r="I56" s="425"/>
      <c r="J56" s="425"/>
      <c r="K56" s="425"/>
      <c r="L56" s="426"/>
      <c r="M56" s="28"/>
      <c r="N56" s="64"/>
      <c r="O56" s="403" t="s">
        <v>42</v>
      </c>
      <c r="P56" s="404"/>
      <c r="Q56" s="404"/>
      <c r="R56" s="405"/>
      <c r="S56" s="65"/>
      <c r="T56" s="403" t="s">
        <v>43</v>
      </c>
      <c r="U56" s="404"/>
      <c r="V56" s="404"/>
      <c r="W56" s="404"/>
      <c r="X56" s="404"/>
      <c r="Y56" s="405"/>
      <c r="Z56" s="66"/>
      <c r="AA56" s="28"/>
    </row>
    <row r="57" spans="1:27" s="29" customFormat="1" ht="21" customHeight="1" x14ac:dyDescent="0.2">
      <c r="A57" s="30"/>
      <c r="C57" s="402" t="s">
        <v>83</v>
      </c>
      <c r="D57" s="402"/>
      <c r="E57" s="402"/>
      <c r="F57" s="402"/>
      <c r="G57" s="31" t="str">
        <f>$J$1</f>
        <v>June</v>
      </c>
      <c r="H57" s="409">
        <f>$K$1</f>
        <v>2023</v>
      </c>
      <c r="I57" s="409"/>
      <c r="K57" s="32"/>
      <c r="L57" s="33"/>
      <c r="M57" s="32"/>
      <c r="N57" s="67"/>
      <c r="O57" s="68" t="s">
        <v>53</v>
      </c>
      <c r="P57" s="68" t="s">
        <v>7</v>
      </c>
      <c r="Q57" s="68" t="s">
        <v>6</v>
      </c>
      <c r="R57" s="68" t="s">
        <v>54</v>
      </c>
      <c r="S57" s="69"/>
      <c r="T57" s="68" t="s">
        <v>53</v>
      </c>
      <c r="U57" s="68" t="s">
        <v>55</v>
      </c>
      <c r="V57" s="68" t="s">
        <v>20</v>
      </c>
      <c r="W57" s="68" t="s">
        <v>19</v>
      </c>
      <c r="X57" s="68" t="s">
        <v>21</v>
      </c>
      <c r="Y57" s="68" t="s">
        <v>59</v>
      </c>
      <c r="Z57" s="70"/>
      <c r="AA57" s="32"/>
    </row>
    <row r="58" spans="1:27" s="29" customFormat="1" ht="21" customHeight="1" x14ac:dyDescent="0.2">
      <c r="A58" s="30"/>
      <c r="D58" s="35"/>
      <c r="E58" s="35"/>
      <c r="F58" s="35"/>
      <c r="G58" s="35"/>
      <c r="H58" s="35"/>
      <c r="J58" s="36" t="s">
        <v>1</v>
      </c>
      <c r="K58" s="37">
        <f>40000+5000</f>
        <v>45000</v>
      </c>
      <c r="L58" s="38"/>
      <c r="N58" s="71"/>
      <c r="O58" s="72" t="s">
        <v>45</v>
      </c>
      <c r="P58" s="72">
        <v>30</v>
      </c>
      <c r="Q58" s="72">
        <v>1</v>
      </c>
      <c r="R58" s="72">
        <f>15-Q58</f>
        <v>14</v>
      </c>
      <c r="S58" s="73"/>
      <c r="T58" s="72" t="s">
        <v>45</v>
      </c>
      <c r="U58" s="74">
        <v>10000</v>
      </c>
      <c r="V58" s="74"/>
      <c r="W58" s="74">
        <f>V58+U58</f>
        <v>10000</v>
      </c>
      <c r="X58" s="74">
        <v>2000</v>
      </c>
      <c r="Y58" s="74">
        <f>W58-X58</f>
        <v>8000</v>
      </c>
      <c r="Z58" s="70"/>
    </row>
    <row r="59" spans="1:27" s="29" customFormat="1" ht="21" customHeight="1" x14ac:dyDescent="0.2">
      <c r="A59" s="30"/>
      <c r="B59" s="29" t="s">
        <v>0</v>
      </c>
      <c r="C59" s="40" t="s">
        <v>79</v>
      </c>
      <c r="H59" s="41"/>
      <c r="I59" s="35"/>
      <c r="L59" s="42"/>
      <c r="M59" s="28"/>
      <c r="N59" s="75"/>
      <c r="O59" s="72" t="s">
        <v>71</v>
      </c>
      <c r="P59" s="72">
        <v>27</v>
      </c>
      <c r="Q59" s="72">
        <v>1</v>
      </c>
      <c r="R59" s="72">
        <f t="shared" ref="R59:R68" si="10">IF(Q59="","",R58-Q59)</f>
        <v>13</v>
      </c>
      <c r="S59" s="63"/>
      <c r="T59" s="72" t="s">
        <v>71</v>
      </c>
      <c r="U59" s="105">
        <f>Y58</f>
        <v>8000</v>
      </c>
      <c r="V59" s="74">
        <v>5000</v>
      </c>
      <c r="W59" s="105">
        <f>IF(U59="","",U59+V59)</f>
        <v>13000</v>
      </c>
      <c r="X59" s="74">
        <v>7000</v>
      </c>
      <c r="Y59" s="105">
        <f>IF(W59="","",W59-X59)</f>
        <v>6000</v>
      </c>
      <c r="Z59" s="76"/>
      <c r="AA59" s="28"/>
    </row>
    <row r="60" spans="1:27" s="29" customFormat="1" ht="21" customHeight="1" x14ac:dyDescent="0.2">
      <c r="A60" s="30"/>
      <c r="B60" s="44" t="s">
        <v>41</v>
      </c>
      <c r="C60" s="45"/>
      <c r="F60" s="391" t="s">
        <v>43</v>
      </c>
      <c r="G60" s="391"/>
      <c r="I60" s="391" t="s">
        <v>44</v>
      </c>
      <c r="J60" s="391"/>
      <c r="K60" s="391"/>
      <c r="L60" s="46"/>
      <c r="N60" s="71"/>
      <c r="O60" s="72" t="s">
        <v>46</v>
      </c>
      <c r="P60" s="72">
        <v>30</v>
      </c>
      <c r="Q60" s="72">
        <v>1</v>
      </c>
      <c r="R60" s="72">
        <f t="shared" si="10"/>
        <v>12</v>
      </c>
      <c r="S60" s="63"/>
      <c r="T60" s="72" t="s">
        <v>46</v>
      </c>
      <c r="U60" s="105">
        <f>Y59</f>
        <v>6000</v>
      </c>
      <c r="V60" s="74">
        <v>1000</v>
      </c>
      <c r="W60" s="105">
        <f t="shared" ref="W60:W69" si="11">IF(U60="","",U60+V60)</f>
        <v>7000</v>
      </c>
      <c r="X60" s="74">
        <v>7000</v>
      </c>
      <c r="Y60" s="105">
        <f t="shared" ref="Y60:Y69" si="12">IF(W60="","",W60-X60)</f>
        <v>0</v>
      </c>
      <c r="Z60" s="76"/>
    </row>
    <row r="61" spans="1:27" s="29" customFormat="1" ht="21" customHeight="1" x14ac:dyDescent="0.2">
      <c r="A61" s="30"/>
      <c r="H61" s="47"/>
      <c r="L61" s="34"/>
      <c r="N61" s="71"/>
      <c r="O61" s="72" t="s">
        <v>47</v>
      </c>
      <c r="P61" s="72">
        <v>25</v>
      </c>
      <c r="Q61" s="72">
        <v>5</v>
      </c>
      <c r="R61" s="72">
        <f t="shared" si="10"/>
        <v>7</v>
      </c>
      <c r="S61" s="63"/>
      <c r="T61" s="72" t="s">
        <v>47</v>
      </c>
      <c r="U61" s="105">
        <f>Y60</f>
        <v>0</v>
      </c>
      <c r="V61" s="74"/>
      <c r="W61" s="105">
        <f t="shared" si="11"/>
        <v>0</v>
      </c>
      <c r="X61" s="74"/>
      <c r="Y61" s="105">
        <f t="shared" si="12"/>
        <v>0</v>
      </c>
      <c r="Z61" s="76"/>
    </row>
    <row r="62" spans="1:27" s="29" customFormat="1" ht="21" customHeight="1" x14ac:dyDescent="0.2">
      <c r="A62" s="30"/>
      <c r="B62" s="389" t="s">
        <v>42</v>
      </c>
      <c r="C62" s="390"/>
      <c r="F62" s="48" t="s">
        <v>64</v>
      </c>
      <c r="G62" s="43">
        <f>IF($J$1="January",U58,IF($J$1="February",U59,IF($J$1="March",U60,IF($J$1="April",U61,IF($J$1="May",U62,IF($J$1="June",U63,IF($J$1="July",U64,IF($J$1="August",U65,IF($J$1="August",U65,IF($J$1="September",U66,IF($J$1="October",U67,IF($J$1="November",U68,IF($J$1="December",U69)))))))))))))</f>
        <v>0</v>
      </c>
      <c r="H62" s="47"/>
      <c r="I62" s="49">
        <f>IF(C66&gt;0,$K$2,C64)</f>
        <v>30</v>
      </c>
      <c r="J62" s="50" t="s">
        <v>61</v>
      </c>
      <c r="K62" s="51">
        <f>K58/$K$2*I62</f>
        <v>45000</v>
      </c>
      <c r="L62" s="52"/>
      <c r="N62" s="71"/>
      <c r="O62" s="72" t="s">
        <v>48</v>
      </c>
      <c r="P62" s="72">
        <v>31</v>
      </c>
      <c r="Q62" s="72">
        <v>0</v>
      </c>
      <c r="R62" s="72">
        <f t="shared" si="10"/>
        <v>7</v>
      </c>
      <c r="S62" s="63"/>
      <c r="T62" s="72" t="s">
        <v>48</v>
      </c>
      <c r="U62" s="105">
        <f>Y61</f>
        <v>0</v>
      </c>
      <c r="V62" s="74">
        <v>5000</v>
      </c>
      <c r="W62" s="105">
        <f t="shared" si="11"/>
        <v>5000</v>
      </c>
      <c r="X62" s="74">
        <v>5000</v>
      </c>
      <c r="Y62" s="105">
        <f t="shared" si="12"/>
        <v>0</v>
      </c>
      <c r="Z62" s="76"/>
    </row>
    <row r="63" spans="1:27" s="29" customFormat="1" ht="21" customHeight="1" x14ac:dyDescent="0.2">
      <c r="A63" s="30"/>
      <c r="B63" s="39"/>
      <c r="C63" s="39"/>
      <c r="F63" s="48" t="s">
        <v>20</v>
      </c>
      <c r="G63" s="43">
        <f>IF($J$1="January",V58,IF($J$1="February",V59,IF($J$1="March",V60,IF($J$1="April",V61,IF($J$1="May",V62,IF($J$1="June",V63,IF($J$1="July",V64,IF($J$1="August",V65,IF($J$1="August",V65,IF($J$1="September",V66,IF($J$1="October",V67,IF($J$1="November",V68,IF($J$1="December",V69)))))))))))))</f>
        <v>25000</v>
      </c>
      <c r="H63" s="47"/>
      <c r="I63" s="116"/>
      <c r="J63" s="50" t="s">
        <v>62</v>
      </c>
      <c r="K63" s="53">
        <f>K58/$K$2/8*I63</f>
        <v>0</v>
      </c>
      <c r="L63" s="54"/>
      <c r="N63" s="71"/>
      <c r="O63" s="72" t="s">
        <v>49</v>
      </c>
      <c r="P63" s="72">
        <v>29</v>
      </c>
      <c r="Q63" s="72">
        <v>1</v>
      </c>
      <c r="R63" s="72">
        <f t="shared" si="10"/>
        <v>6</v>
      </c>
      <c r="S63" s="63"/>
      <c r="T63" s="72" t="s">
        <v>49</v>
      </c>
      <c r="U63" s="105">
        <f>Y62</f>
        <v>0</v>
      </c>
      <c r="V63" s="74">
        <v>25000</v>
      </c>
      <c r="W63" s="105">
        <f t="shared" si="11"/>
        <v>25000</v>
      </c>
      <c r="X63" s="74">
        <v>25000</v>
      </c>
      <c r="Y63" s="105">
        <f t="shared" si="12"/>
        <v>0</v>
      </c>
      <c r="Z63" s="76"/>
    </row>
    <row r="64" spans="1:27" s="29" customFormat="1" ht="21" customHeight="1" x14ac:dyDescent="0.2">
      <c r="A64" s="30"/>
      <c r="B64" s="48" t="s">
        <v>7</v>
      </c>
      <c r="C64" s="39">
        <f>IF($J$1="January",P58,IF($J$1="February",P59,IF($J$1="March",P60,IF($J$1="April",P61,IF($J$1="May",P62,IF($J$1="June",P63,IF($J$1="July",P64,IF($J$1="August",P65,IF($J$1="August",P65,IF($J$1="September",P66,IF($J$1="October",P67,IF($J$1="November",P68,IF($J$1="December",P69)))))))))))))</f>
        <v>29</v>
      </c>
      <c r="F64" s="48" t="s">
        <v>65</v>
      </c>
      <c r="G64" s="43">
        <f>IF($J$1="January",W58,IF($J$1="February",W59,IF($J$1="March",W60,IF($J$1="April",W61,IF($J$1="May",W62,IF($J$1="June",W63,IF($J$1="July",W64,IF($J$1="August",W65,IF($J$1="August",W65,IF($J$1="September",W66,IF($J$1="October",W67,IF($J$1="November",W68,IF($J$1="December",W69)))))))))))))</f>
        <v>25000</v>
      </c>
      <c r="H64" s="47"/>
      <c r="I64" s="392" t="s">
        <v>69</v>
      </c>
      <c r="J64" s="393"/>
      <c r="K64" s="53">
        <f>K62+K63</f>
        <v>45000</v>
      </c>
      <c r="L64" s="54"/>
      <c r="N64" s="71"/>
      <c r="O64" s="72" t="s">
        <v>50</v>
      </c>
      <c r="P64" s="72"/>
      <c r="Q64" s="72"/>
      <c r="R64" s="72" t="str">
        <f t="shared" si="10"/>
        <v/>
      </c>
      <c r="S64" s="63"/>
      <c r="T64" s="72" t="s">
        <v>50</v>
      </c>
      <c r="U64" s="105"/>
      <c r="V64" s="74"/>
      <c r="W64" s="105" t="str">
        <f t="shared" si="11"/>
        <v/>
      </c>
      <c r="X64" s="74"/>
      <c r="Y64" s="105" t="str">
        <f t="shared" si="12"/>
        <v/>
      </c>
      <c r="Z64" s="76"/>
    </row>
    <row r="65" spans="1:26" s="29" customFormat="1" ht="21" customHeight="1" x14ac:dyDescent="0.2">
      <c r="A65" s="30"/>
      <c r="B65" s="48" t="s">
        <v>6</v>
      </c>
      <c r="C65" s="39">
        <f>IF($J$1="January",Q58,IF($J$1="February",Q59,IF($J$1="March",Q60,IF($J$1="April",Q61,IF($J$1="May",Q62,IF($J$1="June",Q63,IF($J$1="July",Q64,IF($J$1="August",Q65,IF($J$1="August",Q65,IF($J$1="September",Q66,IF($J$1="October",Q67,IF($J$1="November",Q68,IF($J$1="December",Q69)))))))))))))</f>
        <v>1</v>
      </c>
      <c r="F65" s="48" t="s">
        <v>21</v>
      </c>
      <c r="G65" s="43">
        <f>IF($J$1="January",X58,IF($J$1="February",X59,IF($J$1="March",X60,IF($J$1="April",X61,IF($J$1="May",X62,IF($J$1="June",X63,IF($J$1="July",X64,IF($J$1="August",X65,IF($J$1="August",X65,IF($J$1="September",X66,IF($J$1="October",X67,IF($J$1="November",X68,IF($J$1="December",X69)))))))))))))</f>
        <v>25000</v>
      </c>
      <c r="H65" s="47"/>
      <c r="I65" s="392" t="s">
        <v>70</v>
      </c>
      <c r="J65" s="393"/>
      <c r="K65" s="43">
        <f>G65</f>
        <v>25000</v>
      </c>
      <c r="L65" s="55"/>
      <c r="N65" s="71"/>
      <c r="O65" s="72" t="s">
        <v>51</v>
      </c>
      <c r="P65" s="72"/>
      <c r="Q65" s="72"/>
      <c r="R65" s="72" t="str">
        <f t="shared" si="10"/>
        <v/>
      </c>
      <c r="S65" s="63"/>
      <c r="T65" s="72" t="s">
        <v>51</v>
      </c>
      <c r="U65" s="105"/>
      <c r="V65" s="74"/>
      <c r="W65" s="105" t="str">
        <f t="shared" si="11"/>
        <v/>
      </c>
      <c r="X65" s="74"/>
      <c r="Y65" s="105" t="str">
        <f t="shared" si="12"/>
        <v/>
      </c>
      <c r="Z65" s="76"/>
    </row>
    <row r="66" spans="1:26" s="29" customFormat="1" ht="21" customHeight="1" x14ac:dyDescent="0.2">
      <c r="A66" s="30"/>
      <c r="B66" s="56" t="s">
        <v>68</v>
      </c>
      <c r="C66" s="39">
        <f>IF($J$1="January",R58,IF($J$1="February",R59,IF($J$1="March",R60,IF($J$1="April",R61,IF($J$1="May",R62,IF($J$1="June",R63,IF($J$1="July",R64,IF($J$1="August",R65,IF($J$1="August",R65,IF($J$1="September",R66,IF($J$1="October",R67,IF($J$1="November",R68,IF($J$1="December",R69)))))))))))))</f>
        <v>6</v>
      </c>
      <c r="F66" s="48" t="s">
        <v>67</v>
      </c>
      <c r="G66" s="43">
        <f>IF($J$1="January",Y58,IF($J$1="February",Y59,IF($J$1="March",Y60,IF($J$1="April",Y61,IF($J$1="May",Y62,IF($J$1="June",Y63,IF($J$1="July",Y64,IF($J$1="August",Y65,IF($J$1="August",Y65,IF($J$1="September",Y66,IF($J$1="October",Y67,IF($J$1="November",Y68,IF($J$1="December",Y69)))))))))))))</f>
        <v>0</v>
      </c>
      <c r="I66" s="387" t="s">
        <v>63</v>
      </c>
      <c r="J66" s="388"/>
      <c r="K66" s="57">
        <f>K64-K65</f>
        <v>20000</v>
      </c>
      <c r="L66" s="58"/>
      <c r="N66" s="71"/>
      <c r="O66" s="72" t="s">
        <v>56</v>
      </c>
      <c r="P66" s="72"/>
      <c r="Q66" s="72"/>
      <c r="R66" s="72" t="str">
        <f t="shared" si="10"/>
        <v/>
      </c>
      <c r="S66" s="63"/>
      <c r="T66" s="72" t="s">
        <v>56</v>
      </c>
      <c r="U66" s="105"/>
      <c r="V66" s="74"/>
      <c r="W66" s="105" t="str">
        <f t="shared" si="11"/>
        <v/>
      </c>
      <c r="X66" s="74"/>
      <c r="Y66" s="105" t="str">
        <f t="shared" si="12"/>
        <v/>
      </c>
      <c r="Z66" s="76"/>
    </row>
    <row r="67" spans="1:26" s="29" customFormat="1" ht="21" customHeight="1" x14ac:dyDescent="0.2">
      <c r="A67" s="30"/>
      <c r="K67" s="107"/>
      <c r="L67" s="46"/>
      <c r="N67" s="71"/>
      <c r="O67" s="72" t="s">
        <v>52</v>
      </c>
      <c r="P67" s="72"/>
      <c r="Q67" s="72"/>
      <c r="R67" s="72" t="str">
        <f t="shared" si="10"/>
        <v/>
      </c>
      <c r="S67" s="63"/>
      <c r="T67" s="72" t="s">
        <v>52</v>
      </c>
      <c r="U67" s="105"/>
      <c r="V67" s="74"/>
      <c r="W67" s="105" t="str">
        <f t="shared" si="11"/>
        <v/>
      </c>
      <c r="X67" s="74"/>
      <c r="Y67" s="105" t="str">
        <f t="shared" si="12"/>
        <v/>
      </c>
      <c r="Z67" s="76"/>
    </row>
    <row r="68" spans="1:26" s="29" customFormat="1" ht="21" customHeight="1" x14ac:dyDescent="0.2">
      <c r="A68" s="30"/>
      <c r="B68" s="394" t="s">
        <v>85</v>
      </c>
      <c r="C68" s="394"/>
      <c r="D68" s="394"/>
      <c r="E68" s="394"/>
      <c r="F68" s="394"/>
      <c r="G68" s="394"/>
      <c r="H68" s="394"/>
      <c r="I68" s="394"/>
      <c r="J68" s="394"/>
      <c r="K68" s="394"/>
      <c r="L68" s="46"/>
      <c r="N68" s="71"/>
      <c r="O68" s="72" t="s">
        <v>57</v>
      </c>
      <c r="P68" s="72"/>
      <c r="Q68" s="72"/>
      <c r="R68" s="72" t="str">
        <f t="shared" si="10"/>
        <v/>
      </c>
      <c r="S68" s="63"/>
      <c r="T68" s="72" t="s">
        <v>57</v>
      </c>
      <c r="U68" s="105"/>
      <c r="V68" s="74"/>
      <c r="W68" s="105" t="str">
        <f t="shared" si="11"/>
        <v/>
      </c>
      <c r="X68" s="74"/>
      <c r="Y68" s="105" t="str">
        <f t="shared" si="12"/>
        <v/>
      </c>
      <c r="Z68" s="76"/>
    </row>
    <row r="69" spans="1:26" s="29" customFormat="1" ht="21" customHeight="1" x14ac:dyDescent="0.2">
      <c r="A69" s="30"/>
      <c r="B69" s="394"/>
      <c r="C69" s="394"/>
      <c r="D69" s="394"/>
      <c r="E69" s="394"/>
      <c r="F69" s="394"/>
      <c r="G69" s="394"/>
      <c r="H69" s="394"/>
      <c r="I69" s="394"/>
      <c r="J69" s="394"/>
      <c r="K69" s="394"/>
      <c r="L69" s="46"/>
      <c r="N69" s="71"/>
      <c r="O69" s="72" t="s">
        <v>58</v>
      </c>
      <c r="P69" s="72"/>
      <c r="Q69" s="72"/>
      <c r="R69" s="72" t="str">
        <f t="shared" ref="R69" si="13">IF(Q69="","",R68-Q69)</f>
        <v/>
      </c>
      <c r="S69" s="63"/>
      <c r="T69" s="72" t="s">
        <v>58</v>
      </c>
      <c r="U69" s="105"/>
      <c r="V69" s="74"/>
      <c r="W69" s="105" t="str">
        <f t="shared" si="11"/>
        <v/>
      </c>
      <c r="X69" s="74"/>
      <c r="Y69" s="105" t="str">
        <f t="shared" si="12"/>
        <v/>
      </c>
      <c r="Z69" s="76"/>
    </row>
    <row r="70" spans="1:26" s="29" customFormat="1" ht="21" customHeight="1" thickBot="1" x14ac:dyDescent="0.25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1"/>
      <c r="N70" s="77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9"/>
    </row>
    <row r="71" spans="1:26" ht="15.75" thickBot="1" x14ac:dyDescent="0.3"/>
    <row r="72" spans="1:26" s="29" customFormat="1" ht="21" customHeight="1" x14ac:dyDescent="0.2">
      <c r="A72" s="413" t="s">
        <v>40</v>
      </c>
      <c r="B72" s="414"/>
      <c r="C72" s="414"/>
      <c r="D72" s="414"/>
      <c r="E72" s="414"/>
      <c r="F72" s="414"/>
      <c r="G72" s="414"/>
      <c r="H72" s="414"/>
      <c r="I72" s="414"/>
      <c r="J72" s="414"/>
      <c r="K72" s="414"/>
      <c r="L72" s="415"/>
      <c r="M72" s="28"/>
      <c r="N72" s="64"/>
      <c r="O72" s="403" t="s">
        <v>42</v>
      </c>
      <c r="P72" s="404"/>
      <c r="Q72" s="404"/>
      <c r="R72" s="405"/>
      <c r="S72" s="65"/>
      <c r="T72" s="403" t="s">
        <v>43</v>
      </c>
      <c r="U72" s="404"/>
      <c r="V72" s="404"/>
      <c r="W72" s="404"/>
      <c r="X72" s="404"/>
      <c r="Y72" s="405"/>
      <c r="Z72" s="66"/>
    </row>
    <row r="73" spans="1:26" s="29" customFormat="1" ht="21" customHeight="1" x14ac:dyDescent="0.2">
      <c r="A73" s="30"/>
      <c r="C73" s="402" t="s">
        <v>83</v>
      </c>
      <c r="D73" s="402"/>
      <c r="E73" s="402"/>
      <c r="F73" s="402"/>
      <c r="G73" s="31" t="str">
        <f>$J$1</f>
        <v>June</v>
      </c>
      <c r="H73" s="409">
        <f>$K$1</f>
        <v>2023</v>
      </c>
      <c r="I73" s="409"/>
      <c r="K73" s="32"/>
      <c r="L73" s="33"/>
      <c r="M73" s="32"/>
      <c r="N73" s="67"/>
      <c r="O73" s="68" t="s">
        <v>53</v>
      </c>
      <c r="P73" s="68" t="s">
        <v>7</v>
      </c>
      <c r="Q73" s="68" t="s">
        <v>6</v>
      </c>
      <c r="R73" s="68" t="s">
        <v>54</v>
      </c>
      <c r="S73" s="69"/>
      <c r="T73" s="68" t="s">
        <v>53</v>
      </c>
      <c r="U73" s="68" t="s">
        <v>55</v>
      </c>
      <c r="V73" s="68" t="s">
        <v>20</v>
      </c>
      <c r="W73" s="68" t="s">
        <v>19</v>
      </c>
      <c r="X73" s="68" t="s">
        <v>21</v>
      </c>
      <c r="Y73" s="68" t="s">
        <v>59</v>
      </c>
      <c r="Z73" s="70"/>
    </row>
    <row r="74" spans="1:26" s="29" customFormat="1" ht="21" customHeight="1" x14ac:dyDescent="0.2">
      <c r="A74" s="30"/>
      <c r="D74" s="35"/>
      <c r="E74" s="35"/>
      <c r="F74" s="35"/>
      <c r="G74" s="35"/>
      <c r="H74" s="35"/>
      <c r="J74" s="36" t="s">
        <v>1</v>
      </c>
      <c r="K74" s="37">
        <f>50000+15000</f>
        <v>65000</v>
      </c>
      <c r="L74" s="38"/>
      <c r="N74" s="71"/>
      <c r="O74" s="72" t="s">
        <v>45</v>
      </c>
      <c r="P74" s="72"/>
      <c r="Q74" s="72"/>
      <c r="R74" s="72">
        <v>0</v>
      </c>
      <c r="S74" s="73"/>
      <c r="T74" s="72" t="s">
        <v>45</v>
      </c>
      <c r="U74" s="74"/>
      <c r="V74" s="74"/>
      <c r="W74" s="74">
        <f>V74+U74</f>
        <v>0</v>
      </c>
      <c r="X74" s="74"/>
      <c r="Y74" s="74">
        <f>W74-X74</f>
        <v>0</v>
      </c>
      <c r="Z74" s="70"/>
    </row>
    <row r="75" spans="1:26" s="29" customFormat="1" ht="21" customHeight="1" x14ac:dyDescent="0.2">
      <c r="A75" s="30"/>
      <c r="B75" s="29" t="s">
        <v>0</v>
      </c>
      <c r="C75" s="40" t="s">
        <v>202</v>
      </c>
      <c r="H75" s="41"/>
      <c r="I75" s="35"/>
      <c r="L75" s="42"/>
      <c r="M75" s="28"/>
      <c r="N75" s="75"/>
      <c r="O75" s="72" t="s">
        <v>71</v>
      </c>
      <c r="P75" s="72"/>
      <c r="Q75" s="72"/>
      <c r="R75" s="72">
        <v>0</v>
      </c>
      <c r="S75" s="63"/>
      <c r="T75" s="72" t="s">
        <v>71</v>
      </c>
      <c r="U75" s="105">
        <f>IF($J$1="January","",Y74)</f>
        <v>0</v>
      </c>
      <c r="V75" s="74"/>
      <c r="W75" s="105">
        <f>IF(U75="","",U75+V75)</f>
        <v>0</v>
      </c>
      <c r="X75" s="74"/>
      <c r="Y75" s="105">
        <f>IF(W75="","",W75-X75)</f>
        <v>0</v>
      </c>
      <c r="Z75" s="76"/>
    </row>
    <row r="76" spans="1:26" s="29" customFormat="1" ht="21" customHeight="1" x14ac:dyDescent="0.2">
      <c r="A76" s="30"/>
      <c r="B76" s="420"/>
      <c r="C76" s="420"/>
      <c r="D76" s="420"/>
      <c r="F76" s="391" t="s">
        <v>43</v>
      </c>
      <c r="G76" s="391"/>
      <c r="I76" s="391" t="s">
        <v>44</v>
      </c>
      <c r="J76" s="391"/>
      <c r="K76" s="391"/>
      <c r="L76" s="46"/>
      <c r="N76" s="71"/>
      <c r="O76" s="72" t="s">
        <v>46</v>
      </c>
      <c r="P76" s="72">
        <f>31-8</f>
        <v>23</v>
      </c>
      <c r="Q76" s="72">
        <v>8</v>
      </c>
      <c r="R76" s="72">
        <v>0</v>
      </c>
      <c r="S76" s="63"/>
      <c r="T76" s="72" t="s">
        <v>46</v>
      </c>
      <c r="U76" s="105">
        <f>IF($J$1="February","",Y75)</f>
        <v>0</v>
      </c>
      <c r="V76" s="74">
        <v>20000</v>
      </c>
      <c r="W76" s="105">
        <f t="shared" ref="W76:W85" si="14">IF(U76="","",U76+V76)</f>
        <v>20000</v>
      </c>
      <c r="X76" s="74"/>
      <c r="Y76" s="105">
        <f t="shared" ref="Y76:Y85" si="15">IF(W76="","",W76-X76)</f>
        <v>20000</v>
      </c>
      <c r="Z76" s="76"/>
    </row>
    <row r="77" spans="1:26" s="29" customFormat="1" ht="21" customHeight="1" x14ac:dyDescent="0.2">
      <c r="A77" s="30"/>
      <c r="H77" s="47"/>
      <c r="L77" s="34"/>
      <c r="N77" s="71"/>
      <c r="O77" s="72" t="s">
        <v>47</v>
      </c>
      <c r="P77" s="72">
        <v>30</v>
      </c>
      <c r="Q77" s="72">
        <v>0</v>
      </c>
      <c r="R77" s="72">
        <v>0</v>
      </c>
      <c r="S77" s="63"/>
      <c r="T77" s="72" t="s">
        <v>47</v>
      </c>
      <c r="U77" s="105">
        <f>IF($J$1="March","",Y76)</f>
        <v>20000</v>
      </c>
      <c r="V77" s="74"/>
      <c r="W77" s="105">
        <f t="shared" si="14"/>
        <v>20000</v>
      </c>
      <c r="X77" s="74"/>
      <c r="Y77" s="105">
        <f t="shared" si="15"/>
        <v>20000</v>
      </c>
      <c r="Z77" s="76"/>
    </row>
    <row r="78" spans="1:26" s="29" customFormat="1" ht="21" customHeight="1" x14ac:dyDescent="0.2">
      <c r="A78" s="30"/>
      <c r="B78" s="389" t="s">
        <v>42</v>
      </c>
      <c r="C78" s="390"/>
      <c r="F78" s="48" t="s">
        <v>64</v>
      </c>
      <c r="G78" s="43">
        <f>IF($J$1="January",U74,IF($J$1="February",U75,IF($J$1="March",U76,IF($J$1="April",U77,IF($J$1="May",U78,IF($J$1="June",U79,IF($J$1="July",U80,IF($J$1="August",U81,IF($J$1="August",U81,IF($J$1="September",U82,IF($J$1="October",U83,IF($J$1="November",U84,IF($J$1="December",U85)))))))))))))</f>
        <v>0</v>
      </c>
      <c r="H78" s="47"/>
      <c r="I78" s="49">
        <f>IF(C82&gt;0,$K$2,C80)</f>
        <v>29</v>
      </c>
      <c r="J78" s="50" t="s">
        <v>61</v>
      </c>
      <c r="K78" s="51">
        <f>K74/$K$2*I78</f>
        <v>62833.333333333328</v>
      </c>
      <c r="L78" s="52"/>
      <c r="N78" s="71"/>
      <c r="O78" s="72" t="s">
        <v>48</v>
      </c>
      <c r="P78" s="72">
        <v>31</v>
      </c>
      <c r="Q78" s="72">
        <v>0</v>
      </c>
      <c r="R78" s="72">
        <v>0</v>
      </c>
      <c r="S78" s="63"/>
      <c r="T78" s="72" t="s">
        <v>48</v>
      </c>
      <c r="U78" s="105">
        <f>IF($J$1="April","",Y77)</f>
        <v>20000</v>
      </c>
      <c r="V78" s="74">
        <v>5000</v>
      </c>
      <c r="W78" s="105">
        <f t="shared" si="14"/>
        <v>25000</v>
      </c>
      <c r="X78" s="74">
        <v>5000</v>
      </c>
      <c r="Y78" s="105">
        <f t="shared" si="15"/>
        <v>20000</v>
      </c>
      <c r="Z78" s="76"/>
    </row>
    <row r="79" spans="1:26" s="29" customFormat="1" ht="21" customHeight="1" x14ac:dyDescent="0.2">
      <c r="A79" s="30"/>
      <c r="B79" s="39"/>
      <c r="C79" s="39"/>
      <c r="F79" s="48" t="s">
        <v>20</v>
      </c>
      <c r="G79" s="43">
        <f>IF($J$1="January",V74,IF($J$1="February",V75,IF($J$1="March",V76,IF($J$1="April",V77,IF($J$1="May",V78,IF($J$1="June",V79,IF($J$1="July",V80,IF($J$1="August",V81,IF($J$1="August",V81,IF($J$1="September",V82,IF($J$1="October",V83,IF($J$1="November",V84,IF($J$1="December",V85)))))))))))))</f>
        <v>10000</v>
      </c>
      <c r="H79" s="47"/>
      <c r="I79" s="84"/>
      <c r="J79" s="50" t="s">
        <v>62</v>
      </c>
      <c r="K79" s="53">
        <f>K74/$K$2/8*I79</f>
        <v>0</v>
      </c>
      <c r="L79" s="54"/>
      <c r="N79" s="71"/>
      <c r="O79" s="72" t="s">
        <v>49</v>
      </c>
      <c r="P79" s="72">
        <v>29</v>
      </c>
      <c r="Q79" s="72">
        <v>1</v>
      </c>
      <c r="R79" s="72">
        <v>0</v>
      </c>
      <c r="S79" s="63"/>
      <c r="T79" s="72" t="s">
        <v>49</v>
      </c>
      <c r="U79" s="105"/>
      <c r="V79" s="74">
        <v>10000</v>
      </c>
      <c r="W79" s="105">
        <f>V79+U79</f>
        <v>10000</v>
      </c>
      <c r="X79" s="74">
        <v>2000</v>
      </c>
      <c r="Y79" s="105">
        <f t="shared" si="15"/>
        <v>8000</v>
      </c>
      <c r="Z79" s="76"/>
    </row>
    <row r="80" spans="1:26" s="29" customFormat="1" ht="21" customHeight="1" x14ac:dyDescent="0.2">
      <c r="A80" s="30"/>
      <c r="B80" s="48" t="s">
        <v>7</v>
      </c>
      <c r="C80" s="39">
        <f>IF($J$1="January",P74,IF($J$1="February",P75,IF($J$1="March",P76,IF($J$1="April",P77,IF($J$1="May",P78,IF($J$1="June",P79,IF($J$1="July",P80,IF($J$1="August",P81,IF($J$1="August",P81,IF($J$1="September",P82,IF($J$1="October",P83,IF($J$1="November",P84,IF($J$1="December",P85)))))))))))))</f>
        <v>29</v>
      </c>
      <c r="F80" s="48" t="s">
        <v>65</v>
      </c>
      <c r="G80" s="43">
        <f>IF($J$1="January",W74,IF($J$1="February",W75,IF($J$1="March",W76,IF($J$1="April",W77,IF($J$1="May",W78,IF($J$1="June",W79,IF($J$1="July",W80,IF($J$1="August",W81,IF($J$1="August",W81,IF($J$1="September",W82,IF($J$1="October",W83,IF($J$1="November",W84,IF($J$1="December",W85)))))))))))))</f>
        <v>10000</v>
      </c>
      <c r="H80" s="47"/>
      <c r="I80" s="392" t="s">
        <v>69</v>
      </c>
      <c r="J80" s="393"/>
      <c r="K80" s="53">
        <f>K78+K79</f>
        <v>62833.333333333328</v>
      </c>
      <c r="L80" s="54"/>
      <c r="N80" s="71"/>
      <c r="O80" s="72" t="s">
        <v>50</v>
      </c>
      <c r="P80" s="72"/>
      <c r="Q80" s="72"/>
      <c r="R80" s="72"/>
      <c r="S80" s="63"/>
      <c r="T80" s="72" t="s">
        <v>50</v>
      </c>
      <c r="U80" s="105" t="str">
        <f>IF($J$1="June","",Y79)</f>
        <v/>
      </c>
      <c r="V80" s="74"/>
      <c r="W80" s="105" t="str">
        <f t="shared" si="14"/>
        <v/>
      </c>
      <c r="X80" s="74"/>
      <c r="Y80" s="105" t="str">
        <f t="shared" si="15"/>
        <v/>
      </c>
      <c r="Z80" s="76"/>
    </row>
    <row r="81" spans="1:27" s="29" customFormat="1" ht="21" customHeight="1" x14ac:dyDescent="0.2">
      <c r="A81" s="30"/>
      <c r="B81" s="48" t="s">
        <v>6</v>
      </c>
      <c r="C81" s="39">
        <f>IF($J$1="January",Q74,IF($J$1="February",Q75,IF($J$1="March",Q76,IF($J$1="April",Q77,IF($J$1="May",Q78,IF($J$1="June",Q79,IF($J$1="July",Q80,IF($J$1="August",Q81,IF($J$1="August",Q81,IF($J$1="September",Q82,IF($J$1="October",Q83,IF($J$1="November",Q84,IF($J$1="December",Q85)))))))))))))</f>
        <v>1</v>
      </c>
      <c r="F81" s="48" t="s">
        <v>21</v>
      </c>
      <c r="G81" s="43">
        <f>IF($J$1="January",X74,IF($J$1="February",X75,IF($J$1="March",X76,IF($J$1="April",X77,IF($J$1="May",X78,IF($J$1="June",X79,IF($J$1="July",X80,IF($J$1="August",X81,IF($J$1="August",X81,IF($J$1="September",X82,IF($J$1="October",X83,IF($J$1="November",X84,IF($J$1="December",X85)))))))))))))</f>
        <v>2000</v>
      </c>
      <c r="H81" s="47"/>
      <c r="I81" s="392" t="s">
        <v>70</v>
      </c>
      <c r="J81" s="393"/>
      <c r="K81" s="43">
        <f>G81</f>
        <v>2000</v>
      </c>
      <c r="L81" s="55"/>
      <c r="N81" s="71"/>
      <c r="O81" s="72" t="s">
        <v>51</v>
      </c>
      <c r="P81" s="72"/>
      <c r="Q81" s="72"/>
      <c r="R81" s="72">
        <v>0</v>
      </c>
      <c r="S81" s="63"/>
      <c r="T81" s="72" t="s">
        <v>51</v>
      </c>
      <c r="U81" s="105" t="str">
        <f>IF($J$1="July","",Y80)</f>
        <v/>
      </c>
      <c r="V81" s="74"/>
      <c r="W81" s="105" t="str">
        <f t="shared" si="14"/>
        <v/>
      </c>
      <c r="X81" s="74"/>
      <c r="Y81" s="105" t="str">
        <f t="shared" si="15"/>
        <v/>
      </c>
      <c r="Z81" s="76"/>
    </row>
    <row r="82" spans="1:27" s="29" customFormat="1" ht="21" customHeight="1" x14ac:dyDescent="0.2">
      <c r="A82" s="30"/>
      <c r="B82" s="56" t="s">
        <v>68</v>
      </c>
      <c r="C82" s="39">
        <f>IF($J$1="January",R74,IF($J$1="February",R75,IF($J$1="March",R76,IF($J$1="April",R77,IF($J$1="May",R78,IF($J$1="June",R79,IF($J$1="July",R80,IF($J$1="August",R81,IF($J$1="August",R81,IF($J$1="September",R82,IF($J$1="October",R83,IF($J$1="November",R84,IF($J$1="December",R85)))))))))))))</f>
        <v>0</v>
      </c>
      <c r="F82" s="48" t="s">
        <v>67</v>
      </c>
      <c r="G82" s="43">
        <f>IF($J$1="January",Y74,IF($J$1="February",Y75,IF($J$1="March",Y76,IF($J$1="April",Y77,IF($J$1="May",Y78,IF($J$1="June",Y79,IF($J$1="July",Y80,IF($J$1="August",Y81,IF($J$1="August",Y81,IF($J$1="September",Y82,IF($J$1="October",Y83,IF($J$1="November",Y84,IF($J$1="December",Y85)))))))))))))</f>
        <v>8000</v>
      </c>
      <c r="I82" s="387" t="s">
        <v>63</v>
      </c>
      <c r="J82" s="388"/>
      <c r="K82" s="57">
        <f>K80-K81</f>
        <v>60833.333333333328</v>
      </c>
      <c r="L82" s="58"/>
      <c r="N82" s="71"/>
      <c r="O82" s="72" t="s">
        <v>56</v>
      </c>
      <c r="P82" s="72"/>
      <c r="Q82" s="72"/>
      <c r="R82" s="72">
        <v>0</v>
      </c>
      <c r="S82" s="63"/>
      <c r="T82" s="72" t="s">
        <v>56</v>
      </c>
      <c r="U82" s="105" t="str">
        <f>IF($J$1="August","",Y81)</f>
        <v/>
      </c>
      <c r="V82" s="74"/>
      <c r="W82" s="105" t="str">
        <f t="shared" si="14"/>
        <v/>
      </c>
      <c r="X82" s="74"/>
      <c r="Y82" s="105" t="str">
        <f t="shared" si="15"/>
        <v/>
      </c>
      <c r="Z82" s="76"/>
    </row>
    <row r="83" spans="1:27" s="29" customFormat="1" ht="21" customHeight="1" x14ac:dyDescent="0.2">
      <c r="A83" s="30"/>
      <c r="L83" s="46"/>
      <c r="N83" s="71"/>
      <c r="O83" s="72" t="s">
        <v>52</v>
      </c>
      <c r="P83" s="72"/>
      <c r="Q83" s="72"/>
      <c r="R83" s="72">
        <v>0</v>
      </c>
      <c r="S83" s="63"/>
      <c r="T83" s="72" t="s">
        <v>52</v>
      </c>
      <c r="U83" s="105" t="str">
        <f>IF($J$1="September","",Y82)</f>
        <v/>
      </c>
      <c r="V83" s="74"/>
      <c r="W83" s="105" t="str">
        <f t="shared" si="14"/>
        <v/>
      </c>
      <c r="X83" s="74"/>
      <c r="Y83" s="105" t="str">
        <f t="shared" si="15"/>
        <v/>
      </c>
      <c r="Z83" s="76"/>
    </row>
    <row r="84" spans="1:27" s="29" customFormat="1" ht="21" customHeight="1" x14ac:dyDescent="0.2">
      <c r="A84" s="30"/>
      <c r="B84" s="394" t="s">
        <v>85</v>
      </c>
      <c r="C84" s="394"/>
      <c r="D84" s="394"/>
      <c r="E84" s="394"/>
      <c r="F84" s="394"/>
      <c r="G84" s="394"/>
      <c r="H84" s="394"/>
      <c r="I84" s="394"/>
      <c r="J84" s="394"/>
      <c r="K84" s="394"/>
      <c r="L84" s="46"/>
      <c r="N84" s="71"/>
      <c r="O84" s="72" t="s">
        <v>57</v>
      </c>
      <c r="P84" s="72"/>
      <c r="Q84" s="72"/>
      <c r="R84" s="72">
        <v>0</v>
      </c>
      <c r="S84" s="63"/>
      <c r="T84" s="72" t="s">
        <v>57</v>
      </c>
      <c r="U84" s="105" t="str">
        <f>Y83</f>
        <v/>
      </c>
      <c r="V84" s="74"/>
      <c r="W84" s="105" t="str">
        <f t="shared" si="14"/>
        <v/>
      </c>
      <c r="X84" s="74"/>
      <c r="Y84" s="105" t="str">
        <f t="shared" si="15"/>
        <v/>
      </c>
      <c r="Z84" s="76"/>
    </row>
    <row r="85" spans="1:27" s="29" customFormat="1" ht="21" customHeight="1" x14ac:dyDescent="0.2">
      <c r="A85" s="30"/>
      <c r="B85" s="394"/>
      <c r="C85" s="394"/>
      <c r="D85" s="394"/>
      <c r="E85" s="394"/>
      <c r="F85" s="394"/>
      <c r="G85" s="394"/>
      <c r="H85" s="394"/>
      <c r="I85" s="394"/>
      <c r="J85" s="394"/>
      <c r="K85" s="394"/>
      <c r="L85" s="46"/>
      <c r="N85" s="71"/>
      <c r="O85" s="72" t="s">
        <v>58</v>
      </c>
      <c r="P85" s="72"/>
      <c r="Q85" s="72"/>
      <c r="R85" s="72">
        <v>0</v>
      </c>
      <c r="S85" s="63"/>
      <c r="T85" s="72" t="s">
        <v>58</v>
      </c>
      <c r="U85" s="105">
        <v>0</v>
      </c>
      <c r="V85" s="74"/>
      <c r="W85" s="105">
        <f t="shared" si="14"/>
        <v>0</v>
      </c>
      <c r="X85" s="74"/>
      <c r="Y85" s="105">
        <f t="shared" si="15"/>
        <v>0</v>
      </c>
      <c r="Z85" s="76"/>
    </row>
    <row r="86" spans="1:27" s="29" customFormat="1" ht="21" customHeight="1" thickBot="1" x14ac:dyDescent="0.25">
      <c r="A86" s="30"/>
      <c r="L86" s="46"/>
      <c r="N86" s="77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9"/>
    </row>
    <row r="87" spans="1:27" s="29" customFormat="1" ht="21" customHeight="1" thickBot="1" x14ac:dyDescent="0.25">
      <c r="N87" s="71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85"/>
    </row>
    <row r="88" spans="1:27" s="29" customFormat="1" ht="21" customHeight="1" x14ac:dyDescent="0.2">
      <c r="A88" s="413" t="s">
        <v>40</v>
      </c>
      <c r="B88" s="414"/>
      <c r="C88" s="414"/>
      <c r="D88" s="414"/>
      <c r="E88" s="414"/>
      <c r="F88" s="414"/>
      <c r="G88" s="414"/>
      <c r="H88" s="414"/>
      <c r="I88" s="414"/>
      <c r="J88" s="414"/>
      <c r="K88" s="414"/>
      <c r="L88" s="415"/>
      <c r="M88" s="28"/>
      <c r="N88" s="64"/>
      <c r="O88" s="403" t="s">
        <v>42</v>
      </c>
      <c r="P88" s="404"/>
      <c r="Q88" s="404"/>
      <c r="R88" s="405"/>
      <c r="S88" s="65"/>
      <c r="T88" s="403" t="s">
        <v>43</v>
      </c>
      <c r="U88" s="404"/>
      <c r="V88" s="404"/>
      <c r="W88" s="404"/>
      <c r="X88" s="404"/>
      <c r="Y88" s="405"/>
      <c r="Z88" s="66"/>
      <c r="AA88" s="28"/>
    </row>
    <row r="89" spans="1:27" s="29" customFormat="1" ht="21" customHeight="1" x14ac:dyDescent="0.2">
      <c r="A89" s="30"/>
      <c r="C89" s="402" t="s">
        <v>83</v>
      </c>
      <c r="D89" s="402"/>
      <c r="E89" s="402"/>
      <c r="F89" s="402"/>
      <c r="G89" s="31" t="str">
        <f>$J$1</f>
        <v>June</v>
      </c>
      <c r="H89" s="409">
        <f>$K$1</f>
        <v>2023</v>
      </c>
      <c r="I89" s="409"/>
      <c r="K89" s="32"/>
      <c r="L89" s="33"/>
      <c r="M89" s="32"/>
      <c r="N89" s="67"/>
      <c r="O89" s="68" t="s">
        <v>53</v>
      </c>
      <c r="P89" s="68" t="s">
        <v>7</v>
      </c>
      <c r="Q89" s="68" t="s">
        <v>6</v>
      </c>
      <c r="R89" s="68" t="s">
        <v>54</v>
      </c>
      <c r="S89" s="69"/>
      <c r="T89" s="68" t="s">
        <v>53</v>
      </c>
      <c r="U89" s="68" t="s">
        <v>55</v>
      </c>
      <c r="V89" s="68" t="s">
        <v>20</v>
      </c>
      <c r="W89" s="68" t="s">
        <v>19</v>
      </c>
      <c r="X89" s="68" t="s">
        <v>21</v>
      </c>
      <c r="Y89" s="68" t="s">
        <v>59</v>
      </c>
      <c r="Z89" s="70"/>
      <c r="AA89" s="32"/>
    </row>
    <row r="90" spans="1:27" s="29" customFormat="1" ht="21" customHeight="1" x14ac:dyDescent="0.2">
      <c r="A90" s="30"/>
      <c r="D90" s="35"/>
      <c r="E90" s="35"/>
      <c r="F90" s="35"/>
      <c r="G90" s="35"/>
      <c r="H90" s="35"/>
      <c r="J90" s="36" t="s">
        <v>1</v>
      </c>
      <c r="K90" s="37">
        <f>45000+5000</f>
        <v>50000</v>
      </c>
      <c r="L90" s="38"/>
      <c r="N90" s="71"/>
      <c r="O90" s="72" t="s">
        <v>45</v>
      </c>
      <c r="P90" s="72">
        <v>31</v>
      </c>
      <c r="Q90" s="72">
        <v>0</v>
      </c>
      <c r="R90" s="72">
        <f>15-Q90</f>
        <v>15</v>
      </c>
      <c r="S90" s="73"/>
      <c r="T90" s="72" t="s">
        <v>45</v>
      </c>
      <c r="U90" s="74">
        <v>5000</v>
      </c>
      <c r="V90" s="74"/>
      <c r="W90" s="74">
        <f>V90+U90</f>
        <v>5000</v>
      </c>
      <c r="X90" s="74">
        <v>5000</v>
      </c>
      <c r="Y90" s="74">
        <f>W90-X90</f>
        <v>0</v>
      </c>
      <c r="Z90" s="70"/>
    </row>
    <row r="91" spans="1:27" s="29" customFormat="1" ht="21" customHeight="1" x14ac:dyDescent="0.2">
      <c r="A91" s="30"/>
      <c r="B91" s="29" t="s">
        <v>0</v>
      </c>
      <c r="C91" s="40" t="s">
        <v>75</v>
      </c>
      <c r="H91" s="41"/>
      <c r="I91" s="35"/>
      <c r="L91" s="42"/>
      <c r="M91" s="28"/>
      <c r="N91" s="75"/>
      <c r="O91" s="72" t="s">
        <v>71</v>
      </c>
      <c r="P91" s="72">
        <v>27</v>
      </c>
      <c r="Q91" s="72">
        <v>1</v>
      </c>
      <c r="R91" s="72">
        <f t="shared" ref="R91:R101" si="16">IF(Q91="","",R90-Q91)</f>
        <v>14</v>
      </c>
      <c r="S91" s="63"/>
      <c r="T91" s="72" t="s">
        <v>71</v>
      </c>
      <c r="U91" s="105">
        <f>Y90</f>
        <v>0</v>
      </c>
      <c r="V91" s="74">
        <v>10000</v>
      </c>
      <c r="W91" s="105">
        <f>IF(U91="","",U91+V91)</f>
        <v>10000</v>
      </c>
      <c r="X91" s="74">
        <v>10000</v>
      </c>
      <c r="Y91" s="105">
        <f>IF(W91="","",W91-X91)</f>
        <v>0</v>
      </c>
      <c r="Z91" s="76"/>
      <c r="AA91" s="28"/>
    </row>
    <row r="92" spans="1:27" s="29" customFormat="1" ht="21" customHeight="1" x14ac:dyDescent="0.2">
      <c r="A92" s="30"/>
      <c r="B92" s="44" t="s">
        <v>41</v>
      </c>
      <c r="C92" s="45"/>
      <c r="F92" s="391" t="s">
        <v>43</v>
      </c>
      <c r="G92" s="391"/>
      <c r="I92" s="391" t="s">
        <v>44</v>
      </c>
      <c r="J92" s="391"/>
      <c r="K92" s="391"/>
      <c r="L92" s="46"/>
      <c r="N92" s="71"/>
      <c r="O92" s="72" t="s">
        <v>46</v>
      </c>
      <c r="P92" s="72">
        <v>30</v>
      </c>
      <c r="Q92" s="72">
        <v>1</v>
      </c>
      <c r="R92" s="72">
        <f t="shared" si="16"/>
        <v>13</v>
      </c>
      <c r="S92" s="63"/>
      <c r="T92" s="72" t="s">
        <v>46</v>
      </c>
      <c r="U92" s="105">
        <f>Y91</f>
        <v>0</v>
      </c>
      <c r="V92" s="74">
        <v>6000</v>
      </c>
      <c r="W92" s="105">
        <f t="shared" ref="W92:W101" si="17">IF(U92="","",U92+V92)</f>
        <v>6000</v>
      </c>
      <c r="X92" s="74"/>
      <c r="Y92" s="105">
        <f t="shared" ref="Y92:Y101" si="18">IF(W92="","",W92-X92)</f>
        <v>6000</v>
      </c>
      <c r="Z92" s="76"/>
    </row>
    <row r="93" spans="1:27" s="29" customFormat="1" ht="21" customHeight="1" x14ac:dyDescent="0.2">
      <c r="A93" s="30"/>
      <c r="H93" s="47"/>
      <c r="L93" s="34"/>
      <c r="N93" s="71"/>
      <c r="O93" s="72" t="s">
        <v>47</v>
      </c>
      <c r="P93" s="72">
        <v>30</v>
      </c>
      <c r="Q93" s="72">
        <v>0</v>
      </c>
      <c r="R93" s="72">
        <f t="shared" si="16"/>
        <v>13</v>
      </c>
      <c r="S93" s="63"/>
      <c r="T93" s="72" t="s">
        <v>47</v>
      </c>
      <c r="U93" s="105">
        <f>Y92</f>
        <v>6000</v>
      </c>
      <c r="V93" s="74"/>
      <c r="W93" s="105">
        <f t="shared" si="17"/>
        <v>6000</v>
      </c>
      <c r="X93" s="74">
        <v>6000</v>
      </c>
      <c r="Y93" s="105">
        <f t="shared" si="18"/>
        <v>0</v>
      </c>
      <c r="Z93" s="76"/>
    </row>
    <row r="94" spans="1:27" s="29" customFormat="1" ht="21" customHeight="1" x14ac:dyDescent="0.2">
      <c r="A94" s="30"/>
      <c r="B94" s="389" t="s">
        <v>42</v>
      </c>
      <c r="C94" s="390"/>
      <c r="F94" s="48" t="s">
        <v>64</v>
      </c>
      <c r="G94" s="93">
        <f>IF($J$1="January",U90,IF($J$1="February",U91,IF($J$1="March",U92,IF($J$1="April",U93,IF($J$1="May",U94,IF($J$1="June",U95,IF($J$1="July",U96,IF($J$1="August",U97,IF($J$1="August",U97,IF($J$1="September",U98,IF($J$1="October",U99,IF($J$1="November",U100,IF($J$1="December",U101)))))))))))))</f>
        <v>0</v>
      </c>
      <c r="H94" s="47"/>
      <c r="I94" s="49">
        <f>IF(C98&gt;0,$K$2,C96)</f>
        <v>30</v>
      </c>
      <c r="J94" s="50" t="s">
        <v>61</v>
      </c>
      <c r="K94" s="51">
        <f>K90/$K$2*I94</f>
        <v>50000</v>
      </c>
      <c r="L94" s="52"/>
      <c r="N94" s="71"/>
      <c r="O94" s="72" t="s">
        <v>48</v>
      </c>
      <c r="P94" s="72">
        <v>31</v>
      </c>
      <c r="Q94" s="72">
        <v>0</v>
      </c>
      <c r="R94" s="72">
        <f t="shared" si="16"/>
        <v>13</v>
      </c>
      <c r="S94" s="63"/>
      <c r="T94" s="72" t="s">
        <v>48</v>
      </c>
      <c r="U94" s="105">
        <f>Y93</f>
        <v>0</v>
      </c>
      <c r="V94" s="74">
        <v>10000</v>
      </c>
      <c r="W94" s="105">
        <f t="shared" si="17"/>
        <v>10000</v>
      </c>
      <c r="X94" s="74">
        <v>10000</v>
      </c>
      <c r="Y94" s="105">
        <f t="shared" si="18"/>
        <v>0</v>
      </c>
      <c r="Z94" s="76"/>
    </row>
    <row r="95" spans="1:27" s="29" customFormat="1" ht="21" customHeight="1" x14ac:dyDescent="0.2">
      <c r="A95" s="30"/>
      <c r="B95" s="39"/>
      <c r="C95" s="39"/>
      <c r="F95" s="48" t="s">
        <v>20</v>
      </c>
      <c r="G95" s="93">
        <f>IF($J$1="January",V90,IF($J$1="February",V91,IF($J$1="March",V92,IF($J$1="April",V93,IF($J$1="May",V94,IF($J$1="June",V95,IF($J$1="July",V96,IF($J$1="August",V97,IF($J$1="August",V97,IF($J$1="September",V98,IF($J$1="October",V99,IF($J$1="November",V100,IF($J$1="December",V101)))))))))))))</f>
        <v>50000</v>
      </c>
      <c r="H95" s="47"/>
      <c r="I95" s="84">
        <v>58</v>
      </c>
      <c r="J95" s="50" t="s">
        <v>62</v>
      </c>
      <c r="K95" s="53">
        <f>K90/$K$2/8*I95</f>
        <v>12083.333333333334</v>
      </c>
      <c r="L95" s="54"/>
      <c r="N95" s="71"/>
      <c r="O95" s="72" t="s">
        <v>49</v>
      </c>
      <c r="P95" s="72">
        <v>28</v>
      </c>
      <c r="Q95" s="72">
        <v>2</v>
      </c>
      <c r="R95" s="72">
        <f t="shared" si="16"/>
        <v>11</v>
      </c>
      <c r="S95" s="63"/>
      <c r="T95" s="72" t="s">
        <v>49</v>
      </c>
      <c r="U95" s="105">
        <f>Y94</f>
        <v>0</v>
      </c>
      <c r="V95" s="74">
        <v>50000</v>
      </c>
      <c r="W95" s="105">
        <f t="shared" si="17"/>
        <v>50000</v>
      </c>
      <c r="X95" s="74">
        <v>50000</v>
      </c>
      <c r="Y95" s="105">
        <f t="shared" si="18"/>
        <v>0</v>
      </c>
      <c r="Z95" s="76"/>
    </row>
    <row r="96" spans="1:27" s="29" customFormat="1" ht="21" customHeight="1" x14ac:dyDescent="0.2">
      <c r="A96" s="30"/>
      <c r="B96" s="48" t="s">
        <v>7</v>
      </c>
      <c r="C96" s="39">
        <f>IF($J$1="January",P90,IF($J$1="February",P91,IF($J$1="March",P92,IF($J$1="April",P93,IF($J$1="May",P94,IF($J$1="June",P95,IF($J$1="July",P96,IF($J$1="August",P97,IF($J$1="August",P97,IF($J$1="September",P98,IF($J$1="October",P99,IF($J$1="November",P100,IF($J$1="December",P101)))))))))))))</f>
        <v>28</v>
      </c>
      <c r="F96" s="48" t="s">
        <v>65</v>
      </c>
      <c r="G96" s="93">
        <f>IF($J$1="January",W90,IF($J$1="February",W91,IF($J$1="March",W92,IF($J$1="April",W93,IF($J$1="May",W94,IF($J$1="June",W95,IF($J$1="July",W96,IF($J$1="August",W97,IF($J$1="August",W97,IF($J$1="September",W98,IF($J$1="October",W99,IF($J$1="November",W100,IF($J$1="December",W101)))))))))))))</f>
        <v>50000</v>
      </c>
      <c r="H96" s="47"/>
      <c r="I96" s="392" t="s">
        <v>69</v>
      </c>
      <c r="J96" s="393"/>
      <c r="K96" s="53">
        <f>K94+K95</f>
        <v>62083.333333333336</v>
      </c>
      <c r="L96" s="54"/>
      <c r="N96" s="71"/>
      <c r="O96" s="72" t="s">
        <v>50</v>
      </c>
      <c r="P96" s="72"/>
      <c r="Q96" s="72"/>
      <c r="R96" s="72" t="str">
        <f t="shared" si="16"/>
        <v/>
      </c>
      <c r="S96" s="63"/>
      <c r="T96" s="72" t="s">
        <v>50</v>
      </c>
      <c r="U96" s="105"/>
      <c r="V96" s="74"/>
      <c r="W96" s="105" t="str">
        <f t="shared" si="17"/>
        <v/>
      </c>
      <c r="X96" s="74"/>
      <c r="Y96" s="105" t="str">
        <f t="shared" si="18"/>
        <v/>
      </c>
      <c r="Z96" s="76"/>
    </row>
    <row r="97" spans="1:26" s="29" customFormat="1" ht="21" customHeight="1" x14ac:dyDescent="0.2">
      <c r="A97" s="30"/>
      <c r="B97" s="48" t="s">
        <v>6</v>
      </c>
      <c r="C97" s="39">
        <f>IF($J$1="January",Q90,IF($J$1="February",Q91,IF($J$1="March",Q92,IF($J$1="April",Q93,IF($J$1="May",Q94,IF($J$1="June",Q95,IF($J$1="July",Q96,IF($J$1="August",Q97,IF($J$1="August",Q97,IF($J$1="September",Q98,IF($J$1="October",Q99,IF($J$1="November",Q100,IF($J$1="December",Q101)))))))))))))</f>
        <v>2</v>
      </c>
      <c r="F97" s="48" t="s">
        <v>21</v>
      </c>
      <c r="G97" s="93">
        <f>IF($J$1="January",X90,IF($J$1="February",X91,IF($J$1="March",X92,IF($J$1="April",X93,IF($J$1="May",X94,IF($J$1="June",X95,IF($J$1="July",X96,IF($J$1="August",X97,IF($J$1="August",X97,IF($J$1="September",X98,IF($J$1="October",X99,IF($J$1="November",X100,IF($J$1="December",X101)))))))))))))</f>
        <v>50000</v>
      </c>
      <c r="H97" s="47"/>
      <c r="I97" s="392" t="s">
        <v>70</v>
      </c>
      <c r="J97" s="393"/>
      <c r="K97" s="43">
        <f>G97</f>
        <v>50000</v>
      </c>
      <c r="L97" s="55"/>
      <c r="N97" s="71"/>
      <c r="O97" s="72" t="s">
        <v>51</v>
      </c>
      <c r="P97" s="72"/>
      <c r="Q97" s="72"/>
      <c r="R97" s="72" t="str">
        <f t="shared" si="16"/>
        <v/>
      </c>
      <c r="S97" s="63"/>
      <c r="T97" s="72" t="s">
        <v>51</v>
      </c>
      <c r="U97" s="105"/>
      <c r="V97" s="74"/>
      <c r="W97" s="105" t="str">
        <f t="shared" si="17"/>
        <v/>
      </c>
      <c r="X97" s="74"/>
      <c r="Y97" s="105" t="str">
        <f t="shared" si="18"/>
        <v/>
      </c>
      <c r="Z97" s="76"/>
    </row>
    <row r="98" spans="1:26" s="29" customFormat="1" ht="21" customHeight="1" x14ac:dyDescent="0.2">
      <c r="A98" s="30"/>
      <c r="B98" s="56" t="s">
        <v>68</v>
      </c>
      <c r="C98" s="39">
        <f>IF($J$1="January",R90,IF($J$1="February",R91,IF($J$1="March",R92,IF($J$1="April",R93,IF($J$1="May",R94,IF($J$1="June",R95,IF($J$1="July",R96,IF($J$1="August",R97,IF($J$1="August",R97,IF($J$1="September",R98,IF($J$1="October",R99,IF($J$1="November",R100,IF($J$1="December",R101)))))))))))))</f>
        <v>11</v>
      </c>
      <c r="F98" s="48" t="s">
        <v>67</v>
      </c>
      <c r="G98" s="93">
        <f>IF($J$1="January",Y90,IF($J$1="February",Y91,IF($J$1="March",Y92,IF($J$1="April",Y93,IF($J$1="May",Y94,IF($J$1="June",Y95,IF($J$1="July",Y96,IF($J$1="August",Y97,IF($J$1="August",Y97,IF($J$1="September",Y98,IF($J$1="October",Y99,IF($J$1="November",Y100,IF($J$1="December",Y101)))))))))))))</f>
        <v>0</v>
      </c>
      <c r="I98" s="387" t="s">
        <v>63</v>
      </c>
      <c r="J98" s="388"/>
      <c r="K98" s="57">
        <f>K96-K97</f>
        <v>12083.333333333336</v>
      </c>
      <c r="L98" s="58"/>
      <c r="N98" s="71"/>
      <c r="O98" s="72" t="s">
        <v>56</v>
      </c>
      <c r="P98" s="72"/>
      <c r="Q98" s="72"/>
      <c r="R98" s="72" t="str">
        <f t="shared" si="16"/>
        <v/>
      </c>
      <c r="S98" s="63"/>
      <c r="T98" s="72" t="s">
        <v>56</v>
      </c>
      <c r="U98" s="105"/>
      <c r="V98" s="74"/>
      <c r="W98" s="105" t="str">
        <f t="shared" si="17"/>
        <v/>
      </c>
      <c r="X98" s="74"/>
      <c r="Y98" s="105" t="str">
        <f t="shared" si="18"/>
        <v/>
      </c>
      <c r="Z98" s="76"/>
    </row>
    <row r="99" spans="1:26" s="29" customFormat="1" ht="21" customHeight="1" x14ac:dyDescent="0.2">
      <c r="A99" s="30"/>
      <c r="K99" s="107"/>
      <c r="L99" s="46"/>
      <c r="N99" s="71"/>
      <c r="O99" s="72" t="s">
        <v>52</v>
      </c>
      <c r="P99" s="72"/>
      <c r="Q99" s="72"/>
      <c r="R99" s="72" t="str">
        <f t="shared" si="16"/>
        <v/>
      </c>
      <c r="S99" s="63"/>
      <c r="T99" s="72" t="s">
        <v>52</v>
      </c>
      <c r="U99" s="105"/>
      <c r="V99" s="74"/>
      <c r="W99" s="105" t="str">
        <f t="shared" si="17"/>
        <v/>
      </c>
      <c r="X99" s="74"/>
      <c r="Y99" s="105" t="str">
        <f t="shared" si="18"/>
        <v/>
      </c>
      <c r="Z99" s="76"/>
    </row>
    <row r="100" spans="1:26" s="29" customFormat="1" ht="21" customHeight="1" x14ac:dyDescent="0.2">
      <c r="A100" s="30"/>
      <c r="B100" s="394" t="s">
        <v>85</v>
      </c>
      <c r="C100" s="394"/>
      <c r="D100" s="394"/>
      <c r="E100" s="394"/>
      <c r="F100" s="394"/>
      <c r="G100" s="394"/>
      <c r="H100" s="394"/>
      <c r="I100" s="394"/>
      <c r="J100" s="394"/>
      <c r="K100" s="394"/>
      <c r="L100" s="46"/>
      <c r="N100" s="71"/>
      <c r="O100" s="72" t="s">
        <v>57</v>
      </c>
      <c r="P100" s="72"/>
      <c r="Q100" s="72"/>
      <c r="R100" s="72" t="str">
        <f t="shared" si="16"/>
        <v/>
      </c>
      <c r="S100" s="63"/>
      <c r="T100" s="72" t="s">
        <v>57</v>
      </c>
      <c r="U100" s="105"/>
      <c r="V100" s="74"/>
      <c r="W100" s="105" t="str">
        <f t="shared" si="17"/>
        <v/>
      </c>
      <c r="X100" s="74"/>
      <c r="Y100" s="105" t="str">
        <f t="shared" si="18"/>
        <v/>
      </c>
      <c r="Z100" s="76"/>
    </row>
    <row r="101" spans="1:26" s="29" customFormat="1" ht="21" customHeight="1" x14ac:dyDescent="0.2">
      <c r="A101" s="30"/>
      <c r="B101" s="394"/>
      <c r="C101" s="394"/>
      <c r="D101" s="394"/>
      <c r="E101" s="394"/>
      <c r="F101" s="394"/>
      <c r="G101" s="394"/>
      <c r="H101" s="394"/>
      <c r="I101" s="394"/>
      <c r="J101" s="394"/>
      <c r="K101" s="394"/>
      <c r="L101" s="46"/>
      <c r="N101" s="71"/>
      <c r="O101" s="72" t="s">
        <v>58</v>
      </c>
      <c r="P101" s="72"/>
      <c r="Q101" s="72"/>
      <c r="R101" s="72" t="str">
        <f t="shared" si="16"/>
        <v/>
      </c>
      <c r="S101" s="63"/>
      <c r="T101" s="72" t="s">
        <v>58</v>
      </c>
      <c r="U101" s="105"/>
      <c r="V101" s="74"/>
      <c r="W101" s="105" t="str">
        <f t="shared" si="17"/>
        <v/>
      </c>
      <c r="X101" s="74"/>
      <c r="Y101" s="105" t="str">
        <f t="shared" si="18"/>
        <v/>
      </c>
      <c r="Z101" s="76"/>
    </row>
    <row r="102" spans="1:26" s="29" customFormat="1" ht="21" customHeight="1" thickBot="1" x14ac:dyDescent="0.25">
      <c r="A102" s="59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1"/>
      <c r="N102" s="77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9"/>
    </row>
    <row r="103" spans="1:26" ht="15.75" thickBot="1" x14ac:dyDescent="0.3"/>
    <row r="104" spans="1:26" s="29" customFormat="1" ht="21" customHeight="1" x14ac:dyDescent="0.2">
      <c r="A104" s="396" t="s">
        <v>40</v>
      </c>
      <c r="B104" s="397"/>
      <c r="C104" s="397"/>
      <c r="D104" s="397"/>
      <c r="E104" s="397"/>
      <c r="F104" s="397"/>
      <c r="G104" s="397"/>
      <c r="H104" s="397"/>
      <c r="I104" s="397"/>
      <c r="J104" s="397"/>
      <c r="K104" s="397"/>
      <c r="L104" s="398"/>
      <c r="M104" s="28"/>
      <c r="N104" s="64"/>
      <c r="O104" s="403" t="s">
        <v>42</v>
      </c>
      <c r="P104" s="404"/>
      <c r="Q104" s="404"/>
      <c r="R104" s="405"/>
      <c r="S104" s="65"/>
      <c r="T104" s="403" t="s">
        <v>43</v>
      </c>
      <c r="U104" s="404"/>
      <c r="V104" s="404"/>
      <c r="W104" s="404"/>
      <c r="X104" s="404"/>
      <c r="Y104" s="405"/>
      <c r="Z104" s="63"/>
    </row>
    <row r="105" spans="1:26" s="29" customFormat="1" ht="21" customHeight="1" x14ac:dyDescent="0.2">
      <c r="A105" s="30"/>
      <c r="C105" s="402" t="s">
        <v>83</v>
      </c>
      <c r="D105" s="402"/>
      <c r="E105" s="402"/>
      <c r="F105" s="402"/>
      <c r="G105" s="31" t="str">
        <f>$J$1</f>
        <v>June</v>
      </c>
      <c r="H105" s="409">
        <f>$K$1</f>
        <v>2023</v>
      </c>
      <c r="I105" s="409"/>
      <c r="K105" s="32"/>
      <c r="L105" s="33"/>
      <c r="M105" s="32"/>
      <c r="N105" s="67"/>
      <c r="O105" s="68" t="s">
        <v>53</v>
      </c>
      <c r="P105" s="68" t="s">
        <v>7</v>
      </c>
      <c r="Q105" s="68" t="s">
        <v>6</v>
      </c>
      <c r="R105" s="68" t="s">
        <v>54</v>
      </c>
      <c r="S105" s="69"/>
      <c r="T105" s="68" t="s">
        <v>53</v>
      </c>
      <c r="U105" s="68" t="s">
        <v>55</v>
      </c>
      <c r="V105" s="68" t="s">
        <v>20</v>
      </c>
      <c r="W105" s="68" t="s">
        <v>19</v>
      </c>
      <c r="X105" s="68" t="s">
        <v>21</v>
      </c>
      <c r="Y105" s="68" t="s">
        <v>59</v>
      </c>
      <c r="Z105" s="63"/>
    </row>
    <row r="106" spans="1:26" s="29" customFormat="1" ht="21" customHeight="1" x14ac:dyDescent="0.2">
      <c r="A106" s="30"/>
      <c r="D106" s="35"/>
      <c r="E106" s="35"/>
      <c r="F106" s="35"/>
      <c r="G106" s="35"/>
      <c r="H106" s="35"/>
      <c r="J106" s="36" t="s">
        <v>1</v>
      </c>
      <c r="K106" s="37">
        <v>65000</v>
      </c>
      <c r="L106" s="38"/>
      <c r="N106" s="71"/>
      <c r="O106" s="72" t="s">
        <v>45</v>
      </c>
      <c r="P106" s="72">
        <v>31</v>
      </c>
      <c r="Q106" s="72">
        <v>0</v>
      </c>
      <c r="R106" s="72"/>
      <c r="S106" s="73"/>
      <c r="T106" s="72" t="s">
        <v>45</v>
      </c>
      <c r="U106" s="74"/>
      <c r="V106" s="74"/>
      <c r="W106" s="74">
        <f>V106+U106</f>
        <v>0</v>
      </c>
      <c r="X106" s="74"/>
      <c r="Y106" s="74">
        <f>W106-X106</f>
        <v>0</v>
      </c>
      <c r="Z106" s="63"/>
    </row>
    <row r="107" spans="1:26" s="29" customFormat="1" ht="21" customHeight="1" x14ac:dyDescent="0.2">
      <c r="A107" s="30"/>
      <c r="B107" s="29" t="s">
        <v>0</v>
      </c>
      <c r="C107" s="40" t="s">
        <v>184</v>
      </c>
      <c r="H107" s="41"/>
      <c r="I107" s="35"/>
      <c r="L107" s="42"/>
      <c r="M107" s="28"/>
      <c r="N107" s="75"/>
      <c r="O107" s="72" t="s">
        <v>71</v>
      </c>
      <c r="P107" s="72">
        <v>28</v>
      </c>
      <c r="Q107" s="72">
        <v>0</v>
      </c>
      <c r="R107" s="72"/>
      <c r="S107" s="63"/>
      <c r="T107" s="72" t="s">
        <v>71</v>
      </c>
      <c r="U107" s="105">
        <f>IF($J$1="January","",Y106)</f>
        <v>0</v>
      </c>
      <c r="V107" s="74"/>
      <c r="W107" s="105">
        <f>IF(U107="","",U107+V107)</f>
        <v>0</v>
      </c>
      <c r="X107" s="74"/>
      <c r="Y107" s="105">
        <f>IF(W107="","",W107-X107)</f>
        <v>0</v>
      </c>
      <c r="Z107" s="63"/>
    </row>
    <row r="108" spans="1:26" s="29" customFormat="1" ht="21" customHeight="1" x14ac:dyDescent="0.2">
      <c r="A108" s="30"/>
      <c r="B108" s="44" t="s">
        <v>41</v>
      </c>
      <c r="C108" s="62"/>
      <c r="F108" s="391" t="s">
        <v>43</v>
      </c>
      <c r="G108" s="391"/>
      <c r="I108" s="391" t="s">
        <v>44</v>
      </c>
      <c r="J108" s="391"/>
      <c r="K108" s="391"/>
      <c r="L108" s="46"/>
      <c r="N108" s="71"/>
      <c r="O108" s="72" t="s">
        <v>46</v>
      </c>
      <c r="P108" s="72"/>
      <c r="Q108" s="72"/>
      <c r="R108" s="72" t="str">
        <f t="shared" ref="R108:R117" si="19">IF(Q108="","",R107-Q108)</f>
        <v/>
      </c>
      <c r="S108" s="63"/>
      <c r="T108" s="72" t="s">
        <v>46</v>
      </c>
      <c r="U108" s="105">
        <f>IF($J$1="February","",Y107)</f>
        <v>0</v>
      </c>
      <c r="V108" s="74"/>
      <c r="W108" s="105">
        <f t="shared" ref="W108:W117" si="20">IF(U108="","",U108+V108)</f>
        <v>0</v>
      </c>
      <c r="X108" s="74"/>
      <c r="Y108" s="105">
        <f t="shared" ref="Y108:Y117" si="21">IF(W108="","",W108-X108)</f>
        <v>0</v>
      </c>
      <c r="Z108" s="63"/>
    </row>
    <row r="109" spans="1:26" s="29" customFormat="1" ht="21" customHeight="1" x14ac:dyDescent="0.2">
      <c r="A109" s="30"/>
      <c r="H109" s="47"/>
      <c r="L109" s="34"/>
      <c r="N109" s="71"/>
      <c r="O109" s="72" t="s">
        <v>47</v>
      </c>
      <c r="P109" s="72">
        <v>20</v>
      </c>
      <c r="Q109" s="72">
        <v>10</v>
      </c>
      <c r="R109" s="72">
        <v>0</v>
      </c>
      <c r="S109" s="63"/>
      <c r="T109" s="72" t="s">
        <v>47</v>
      </c>
      <c r="U109" s="105">
        <f>IF($J$1="March","",Y108)</f>
        <v>0</v>
      </c>
      <c r="V109" s="74"/>
      <c r="W109" s="105">
        <f t="shared" si="20"/>
        <v>0</v>
      </c>
      <c r="X109" s="74"/>
      <c r="Y109" s="105">
        <f t="shared" si="21"/>
        <v>0</v>
      </c>
      <c r="Z109" s="63"/>
    </row>
    <row r="110" spans="1:26" s="29" customFormat="1" ht="21" customHeight="1" x14ac:dyDescent="0.2">
      <c r="A110" s="30"/>
      <c r="B110" s="389" t="s">
        <v>42</v>
      </c>
      <c r="C110" s="390"/>
      <c r="F110" s="48" t="s">
        <v>64</v>
      </c>
      <c r="G110" s="43">
        <f>IF($J$1="January",U106,IF($J$1="February",U107,IF($J$1="March",U108,IF($J$1="April",U109,IF($J$1="May",U110,IF($J$1="June",U111,IF($J$1="July",U112,IF($J$1="August",U113,IF($J$1="August",U113,IF($J$1="September",U114,IF($J$1="October",U115,IF($J$1="November",U116,IF($J$1="December",U117)))))))))))))</f>
        <v>10000</v>
      </c>
      <c r="H110" s="47"/>
      <c r="I110" s="49">
        <f>IF(C114&gt;0,$K$2,C112)</f>
        <v>30</v>
      </c>
      <c r="J110" s="50" t="s">
        <v>61</v>
      </c>
      <c r="K110" s="319">
        <f>K106/$K$2*I110</f>
        <v>64999.999999999993</v>
      </c>
      <c r="L110" s="52"/>
      <c r="N110" s="71"/>
      <c r="O110" s="72" t="s">
        <v>48</v>
      </c>
      <c r="P110" s="72">
        <v>30</v>
      </c>
      <c r="Q110" s="72">
        <v>1</v>
      </c>
      <c r="R110" s="72">
        <f t="shared" si="19"/>
        <v>-1</v>
      </c>
      <c r="S110" s="63"/>
      <c r="T110" s="72" t="s">
        <v>48</v>
      </c>
      <c r="U110" s="105">
        <f>IF($J$1="April","",Y109)</f>
        <v>0</v>
      </c>
      <c r="V110" s="74">
        <v>15000</v>
      </c>
      <c r="W110" s="105">
        <f t="shared" si="20"/>
        <v>15000</v>
      </c>
      <c r="X110" s="74">
        <v>5000</v>
      </c>
      <c r="Y110" s="105">
        <f t="shared" si="21"/>
        <v>10000</v>
      </c>
      <c r="Z110" s="63"/>
    </row>
    <row r="111" spans="1:26" s="29" customFormat="1" ht="21" customHeight="1" x14ac:dyDescent="0.2">
      <c r="A111" s="30"/>
      <c r="B111" s="39"/>
      <c r="C111" s="39"/>
      <c r="F111" s="48" t="s">
        <v>20</v>
      </c>
      <c r="G111" s="43">
        <f>IF($J$1="January",V106,IF($J$1="February",V107,IF($J$1="March",V108,IF($J$1="April",V109,IF($J$1="May",V110,IF($J$1="June",V111,IF($J$1="July",V112,IF($J$1="August",V113,IF($J$1="August",V113,IF($J$1="September",V114,IF($J$1="October",V115,IF($J$1="November",V116,IF($J$1="December",V117)))))))))))))</f>
        <v>35000</v>
      </c>
      <c r="H111" s="47"/>
      <c r="I111" s="49"/>
      <c r="J111" s="50" t="s">
        <v>62</v>
      </c>
      <c r="K111" s="53">
        <f>K106/$K$2/8*I111</f>
        <v>0</v>
      </c>
      <c r="L111" s="54"/>
      <c r="N111" s="71"/>
      <c r="O111" s="72" t="s">
        <v>49</v>
      </c>
      <c r="P111" s="72">
        <v>30</v>
      </c>
      <c r="Q111" s="72">
        <v>0</v>
      </c>
      <c r="R111" s="72">
        <f t="shared" si="19"/>
        <v>-1</v>
      </c>
      <c r="S111" s="63"/>
      <c r="T111" s="72" t="s">
        <v>49</v>
      </c>
      <c r="U111" s="105">
        <f>IF($J$1="May","",Y110)</f>
        <v>10000</v>
      </c>
      <c r="V111" s="74">
        <f>5000+30000</f>
        <v>35000</v>
      </c>
      <c r="W111" s="105">
        <f t="shared" si="20"/>
        <v>45000</v>
      </c>
      <c r="X111" s="74">
        <v>35000</v>
      </c>
      <c r="Y111" s="105">
        <f t="shared" si="21"/>
        <v>10000</v>
      </c>
      <c r="Z111" s="63"/>
    </row>
    <row r="112" spans="1:26" s="29" customFormat="1" ht="21" customHeight="1" x14ac:dyDescent="0.2">
      <c r="A112" s="30"/>
      <c r="B112" s="48" t="s">
        <v>7</v>
      </c>
      <c r="C112" s="39">
        <f>IF($J$1="January",P106,IF($J$1="February",P107,IF($J$1="March",P108,IF($J$1="April",P109,IF($J$1="May",P110,IF($J$1="June",P111,IF($J$1="July",P112,IF($J$1="August",P113,IF($J$1="August",P113,IF($J$1="September",P114,IF($J$1="October",P115,IF($J$1="November",P116,IF($J$1="December",P117)))))))))))))</f>
        <v>30</v>
      </c>
      <c r="F112" s="48" t="s">
        <v>65</v>
      </c>
      <c r="G112" s="43">
        <f>IF($J$1="January",W106,IF($J$1="February",W107,IF($J$1="March",W108,IF($J$1="April",W109,IF($J$1="May",W110,IF($J$1="June",W111,IF($J$1="July",W112,IF($J$1="August",W113,IF($J$1="August",W113,IF($J$1="September",W114,IF($J$1="October",W115,IF($J$1="November",W116,IF($J$1="December",W117)))))))))))))</f>
        <v>45000</v>
      </c>
      <c r="H112" s="47"/>
      <c r="I112" s="392" t="s">
        <v>69</v>
      </c>
      <c r="J112" s="393"/>
      <c r="K112" s="53">
        <f>K110+K111</f>
        <v>64999.999999999993</v>
      </c>
      <c r="L112" s="54"/>
      <c r="N112" s="71"/>
      <c r="O112" s="72" t="s">
        <v>50</v>
      </c>
      <c r="P112" s="72"/>
      <c r="Q112" s="72"/>
      <c r="R112" s="72" t="str">
        <f t="shared" si="19"/>
        <v/>
      </c>
      <c r="S112" s="63"/>
      <c r="T112" s="72" t="s">
        <v>50</v>
      </c>
      <c r="U112" s="105" t="str">
        <f>IF($J$1="June","",Y111)</f>
        <v/>
      </c>
      <c r="V112" s="74"/>
      <c r="W112" s="105" t="str">
        <f t="shared" si="20"/>
        <v/>
      </c>
      <c r="X112" s="74"/>
      <c r="Y112" s="105" t="str">
        <f t="shared" si="21"/>
        <v/>
      </c>
      <c r="Z112" s="63"/>
    </row>
    <row r="113" spans="1:26" s="29" customFormat="1" ht="21" customHeight="1" x14ac:dyDescent="0.2">
      <c r="A113" s="30"/>
      <c r="B113" s="48" t="s">
        <v>6</v>
      </c>
      <c r="C113" s="39">
        <f>IF($J$1="January",Q106,IF($J$1="February",Q107,IF($J$1="March",Q108,IF($J$1="April",Q109,IF($J$1="May",Q110,IF($J$1="June",Q111,IF($J$1="July",Q112,IF($J$1="August",Q113,IF($J$1="August",Q113,IF($J$1="September",Q114,IF($J$1="October",Q115,IF($J$1="November",Q116,IF($J$1="December",Q117)))))))))))))</f>
        <v>0</v>
      </c>
      <c r="F113" s="48" t="s">
        <v>21</v>
      </c>
      <c r="G113" s="43">
        <f>IF($J$1="January",X106,IF($J$1="February",X107,IF($J$1="March",X108,IF($J$1="April",X109,IF($J$1="May",X110,IF($J$1="June",X111,IF($J$1="July",X112,IF($J$1="August",X113,IF($J$1="August",X113,IF($J$1="September",X114,IF($J$1="October",X115,IF($J$1="November",X116,IF($J$1="December",X117)))))))))))))</f>
        <v>35000</v>
      </c>
      <c r="H113" s="47"/>
      <c r="I113" s="392" t="s">
        <v>70</v>
      </c>
      <c r="J113" s="393"/>
      <c r="K113" s="43">
        <f>G113</f>
        <v>35000</v>
      </c>
      <c r="L113" s="55"/>
      <c r="N113" s="71"/>
      <c r="O113" s="72" t="s">
        <v>51</v>
      </c>
      <c r="P113" s="72"/>
      <c r="Q113" s="72"/>
      <c r="R113" s="72" t="str">
        <f t="shared" si="19"/>
        <v/>
      </c>
      <c r="S113" s="63"/>
      <c r="T113" s="72" t="s">
        <v>51</v>
      </c>
      <c r="U113" s="105" t="str">
        <f>IF($J$1="July","",Y112)</f>
        <v/>
      </c>
      <c r="V113" s="74"/>
      <c r="W113" s="105" t="str">
        <f t="shared" si="20"/>
        <v/>
      </c>
      <c r="X113" s="74"/>
      <c r="Y113" s="105" t="str">
        <f t="shared" si="21"/>
        <v/>
      </c>
      <c r="Z113" s="63"/>
    </row>
    <row r="114" spans="1:26" s="29" customFormat="1" ht="21" customHeight="1" x14ac:dyDescent="0.2">
      <c r="A114" s="30"/>
      <c r="B114" s="56" t="s">
        <v>68</v>
      </c>
      <c r="C114" s="39">
        <f>IF($J$1="January",R106,IF($J$1="February",R107,IF($J$1="March",R108,IF($J$1="April",R109,IF($J$1="May",R110,IF($J$1="June",R111,IF($J$1="July",R112,IF($J$1="August",R113,IF($J$1="August",R113,IF($J$1="September",R114,IF($J$1="October",R115,IF($J$1="November",R116,IF($J$1="December",R117)))))))))))))</f>
        <v>-1</v>
      </c>
      <c r="F114" s="48" t="s">
        <v>67</v>
      </c>
      <c r="G114" s="43">
        <f>IF($J$1="January",Y106,IF($J$1="February",Y107,IF($J$1="March",Y108,IF($J$1="April",Y109,IF($J$1="May",Y110,IF($J$1="June",Y111,IF($J$1="July",Y112,IF($J$1="August",Y113,IF($J$1="August",Y113,IF($J$1="September",Y114,IF($J$1="October",Y115,IF($J$1="November",Y116,IF($J$1="December",Y117)))))))))))))</f>
        <v>10000</v>
      </c>
      <c r="I114" s="387" t="s">
        <v>63</v>
      </c>
      <c r="J114" s="388"/>
      <c r="K114" s="57">
        <f>K112-K113</f>
        <v>29999.999999999993</v>
      </c>
      <c r="L114" s="58"/>
      <c r="N114" s="71"/>
      <c r="O114" s="72" t="s">
        <v>56</v>
      </c>
      <c r="P114" s="72"/>
      <c r="Q114" s="72"/>
      <c r="R114" s="72" t="str">
        <f t="shared" si="19"/>
        <v/>
      </c>
      <c r="S114" s="63"/>
      <c r="T114" s="72" t="s">
        <v>56</v>
      </c>
      <c r="U114" s="105" t="str">
        <f>IF($J$1="August","",Y113)</f>
        <v/>
      </c>
      <c r="V114" s="74"/>
      <c r="W114" s="105" t="str">
        <f t="shared" si="20"/>
        <v/>
      </c>
      <c r="X114" s="74"/>
      <c r="Y114" s="105" t="str">
        <f t="shared" si="21"/>
        <v/>
      </c>
      <c r="Z114" s="63"/>
    </row>
    <row r="115" spans="1:26" s="29" customFormat="1" ht="21" customHeight="1" x14ac:dyDescent="0.2">
      <c r="A115" s="30"/>
      <c r="J115" s="47"/>
      <c r="K115" s="47"/>
      <c r="L115" s="46"/>
      <c r="N115" s="71"/>
      <c r="O115" s="72" t="s">
        <v>52</v>
      </c>
      <c r="P115" s="72"/>
      <c r="Q115" s="72"/>
      <c r="R115" s="72" t="str">
        <f t="shared" si="19"/>
        <v/>
      </c>
      <c r="S115" s="63"/>
      <c r="T115" s="72" t="s">
        <v>52</v>
      </c>
      <c r="U115" s="105" t="str">
        <f>IF($J$1="September","",Y114)</f>
        <v/>
      </c>
      <c r="V115" s="74"/>
      <c r="W115" s="105" t="str">
        <f t="shared" si="20"/>
        <v/>
      </c>
      <c r="X115" s="74"/>
      <c r="Y115" s="105" t="str">
        <f t="shared" si="21"/>
        <v/>
      </c>
      <c r="Z115" s="63"/>
    </row>
    <row r="116" spans="1:26" s="29" customFormat="1" ht="21" customHeight="1" x14ac:dyDescent="0.2">
      <c r="A116" s="30"/>
      <c r="B116" s="394" t="s">
        <v>85</v>
      </c>
      <c r="C116" s="394"/>
      <c r="D116" s="394"/>
      <c r="E116" s="394"/>
      <c r="F116" s="394"/>
      <c r="G116" s="394"/>
      <c r="H116" s="394"/>
      <c r="I116" s="394"/>
      <c r="J116" s="394"/>
      <c r="K116" s="394"/>
      <c r="L116" s="46"/>
      <c r="N116" s="71"/>
      <c r="O116" s="72" t="s">
        <v>57</v>
      </c>
      <c r="P116" s="72"/>
      <c r="Q116" s="72"/>
      <c r="R116" s="72" t="str">
        <f t="shared" si="19"/>
        <v/>
      </c>
      <c r="S116" s="63"/>
      <c r="T116" s="72" t="s">
        <v>57</v>
      </c>
      <c r="U116" s="105" t="str">
        <f>Y115</f>
        <v/>
      </c>
      <c r="V116" s="74"/>
      <c r="W116" s="105" t="str">
        <f t="shared" si="20"/>
        <v/>
      </c>
      <c r="X116" s="74"/>
      <c r="Y116" s="105" t="str">
        <f t="shared" si="21"/>
        <v/>
      </c>
      <c r="Z116" s="63"/>
    </row>
    <row r="117" spans="1:26" s="29" customFormat="1" ht="21" customHeight="1" x14ac:dyDescent="0.2">
      <c r="A117" s="30"/>
      <c r="B117" s="394"/>
      <c r="C117" s="394"/>
      <c r="D117" s="394"/>
      <c r="E117" s="394"/>
      <c r="F117" s="394"/>
      <c r="G117" s="394"/>
      <c r="H117" s="394"/>
      <c r="I117" s="394"/>
      <c r="J117" s="394"/>
      <c r="K117" s="394"/>
      <c r="L117" s="46"/>
      <c r="N117" s="71"/>
      <c r="O117" s="72" t="s">
        <v>58</v>
      </c>
      <c r="P117" s="72"/>
      <c r="Q117" s="72"/>
      <c r="R117" s="72" t="str">
        <f t="shared" si="19"/>
        <v/>
      </c>
      <c r="S117" s="63"/>
      <c r="T117" s="72" t="s">
        <v>58</v>
      </c>
      <c r="U117" s="105">
        <v>0</v>
      </c>
      <c r="V117" s="74"/>
      <c r="W117" s="105">
        <f t="shared" si="20"/>
        <v>0</v>
      </c>
      <c r="X117" s="74"/>
      <c r="Y117" s="105">
        <f t="shared" si="21"/>
        <v>0</v>
      </c>
      <c r="Z117" s="63"/>
    </row>
    <row r="118" spans="1:26" s="29" customFormat="1" ht="21" customHeight="1" thickBot="1" x14ac:dyDescent="0.25">
      <c r="A118" s="59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1"/>
      <c r="N118" s="77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63"/>
    </row>
    <row r="119" spans="1:26" s="29" customFormat="1" ht="21" customHeight="1" thickBot="1" x14ac:dyDescent="0.25">
      <c r="A119" s="30"/>
      <c r="L119" s="46"/>
      <c r="N119" s="71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spans="1:26" s="29" customFormat="1" ht="21.4" customHeight="1" x14ac:dyDescent="0.2">
      <c r="A120" s="417" t="s">
        <v>40</v>
      </c>
      <c r="B120" s="418"/>
      <c r="C120" s="418"/>
      <c r="D120" s="418"/>
      <c r="E120" s="418"/>
      <c r="F120" s="418"/>
      <c r="G120" s="418"/>
      <c r="H120" s="418"/>
      <c r="I120" s="418"/>
      <c r="J120" s="418"/>
      <c r="K120" s="418"/>
      <c r="L120" s="419"/>
      <c r="M120" s="28"/>
      <c r="N120" s="64"/>
      <c r="O120" s="403" t="s">
        <v>42</v>
      </c>
      <c r="P120" s="404"/>
      <c r="Q120" s="404"/>
      <c r="R120" s="405"/>
      <c r="S120" s="65"/>
      <c r="T120" s="403" t="s">
        <v>43</v>
      </c>
      <c r="U120" s="404"/>
      <c r="V120" s="404"/>
      <c r="W120" s="404"/>
      <c r="X120" s="404"/>
      <c r="Y120" s="405"/>
      <c r="Z120" s="66"/>
    </row>
    <row r="121" spans="1:26" s="29" customFormat="1" ht="21.4" customHeight="1" x14ac:dyDescent="0.2">
      <c r="A121" s="30"/>
      <c r="C121" s="402" t="s">
        <v>83</v>
      </c>
      <c r="D121" s="402"/>
      <c r="E121" s="402"/>
      <c r="F121" s="402"/>
      <c r="G121" s="31" t="str">
        <f>$J$1</f>
        <v>June</v>
      </c>
      <c r="H121" s="409">
        <f>$K$1</f>
        <v>2023</v>
      </c>
      <c r="I121" s="409"/>
      <c r="K121" s="32"/>
      <c r="L121" s="33"/>
      <c r="M121" s="32"/>
      <c r="N121" s="67"/>
      <c r="O121" s="68" t="s">
        <v>53</v>
      </c>
      <c r="P121" s="68" t="s">
        <v>7</v>
      </c>
      <c r="Q121" s="68" t="s">
        <v>6</v>
      </c>
      <c r="R121" s="68" t="s">
        <v>54</v>
      </c>
      <c r="S121" s="69"/>
      <c r="T121" s="68" t="s">
        <v>53</v>
      </c>
      <c r="U121" s="68" t="s">
        <v>55</v>
      </c>
      <c r="V121" s="68" t="s">
        <v>20</v>
      </c>
      <c r="W121" s="68" t="s">
        <v>19</v>
      </c>
      <c r="X121" s="68" t="s">
        <v>21</v>
      </c>
      <c r="Y121" s="68" t="s">
        <v>59</v>
      </c>
      <c r="Z121" s="70"/>
    </row>
    <row r="122" spans="1:26" s="29" customFormat="1" ht="21.4" customHeight="1" x14ac:dyDescent="0.2">
      <c r="A122" s="30"/>
      <c r="D122" s="35"/>
      <c r="E122" s="35"/>
      <c r="F122" s="35"/>
      <c r="G122" s="35"/>
      <c r="H122" s="35"/>
      <c r="J122" s="36" t="s">
        <v>1</v>
      </c>
      <c r="K122" s="37">
        <v>38000</v>
      </c>
      <c r="L122" s="38"/>
      <c r="N122" s="71"/>
      <c r="O122" s="72" t="s">
        <v>45</v>
      </c>
      <c r="P122" s="72">
        <v>30</v>
      </c>
      <c r="Q122" s="72">
        <v>1</v>
      </c>
      <c r="R122" s="72"/>
      <c r="S122" s="73"/>
      <c r="T122" s="72" t="s">
        <v>45</v>
      </c>
      <c r="U122" s="74">
        <v>35000</v>
      </c>
      <c r="V122" s="74"/>
      <c r="W122" s="74">
        <f>V122+U122</f>
        <v>35000</v>
      </c>
      <c r="X122" s="74"/>
      <c r="Y122" s="74">
        <f>W122-X122</f>
        <v>35000</v>
      </c>
      <c r="Z122" s="70"/>
    </row>
    <row r="123" spans="1:26" s="29" customFormat="1" ht="21.4" customHeight="1" x14ac:dyDescent="0.2">
      <c r="A123" s="30"/>
      <c r="B123" s="29" t="s">
        <v>0</v>
      </c>
      <c r="C123" s="40" t="s">
        <v>183</v>
      </c>
      <c r="H123" s="41"/>
      <c r="I123" s="35"/>
      <c r="L123" s="42"/>
      <c r="M123" s="28"/>
      <c r="N123" s="75"/>
      <c r="O123" s="72" t="s">
        <v>71</v>
      </c>
      <c r="P123" s="72">
        <v>28</v>
      </c>
      <c r="Q123" s="72">
        <v>0</v>
      </c>
      <c r="R123" s="72">
        <v>0</v>
      </c>
      <c r="S123" s="63"/>
      <c r="T123" s="72" t="s">
        <v>71</v>
      </c>
      <c r="U123" s="105">
        <f>IF($J$1="January","",Y122)</f>
        <v>35000</v>
      </c>
      <c r="V123" s="74">
        <v>5000</v>
      </c>
      <c r="W123" s="105">
        <f>IF(U123="","",U123+V123)</f>
        <v>40000</v>
      </c>
      <c r="X123" s="74">
        <v>5000</v>
      </c>
      <c r="Y123" s="105">
        <f>IF(W123="","",W123-X123)</f>
        <v>35000</v>
      </c>
      <c r="Z123" s="76"/>
    </row>
    <row r="124" spans="1:26" s="29" customFormat="1" ht="21.4" customHeight="1" x14ac:dyDescent="0.2">
      <c r="A124" s="30"/>
      <c r="B124" s="44" t="s">
        <v>41</v>
      </c>
      <c r="C124" s="118"/>
      <c r="F124" s="391" t="s">
        <v>43</v>
      </c>
      <c r="G124" s="391"/>
      <c r="I124" s="391" t="s">
        <v>44</v>
      </c>
      <c r="J124" s="391"/>
      <c r="K124" s="391"/>
      <c r="L124" s="46"/>
      <c r="N124" s="71"/>
      <c r="O124" s="72" t="s">
        <v>46</v>
      </c>
      <c r="P124" s="72">
        <v>29</v>
      </c>
      <c r="Q124" s="72">
        <v>2</v>
      </c>
      <c r="R124" s="72">
        <v>0</v>
      </c>
      <c r="S124" s="63"/>
      <c r="T124" s="72" t="s">
        <v>46</v>
      </c>
      <c r="U124" s="105">
        <f>IF($J$1="February","",Y123)</f>
        <v>35000</v>
      </c>
      <c r="V124" s="74"/>
      <c r="W124" s="105">
        <f t="shared" ref="W124:W133" si="22">IF(U124="","",U124+V124)</f>
        <v>35000</v>
      </c>
      <c r="X124" s="74"/>
      <c r="Y124" s="105">
        <f t="shared" ref="Y124:Y133" si="23">IF(W124="","",W124-X124)</f>
        <v>35000</v>
      </c>
      <c r="Z124" s="76"/>
    </row>
    <row r="125" spans="1:26" s="29" customFormat="1" ht="21.4" customHeight="1" x14ac:dyDescent="0.2">
      <c r="A125" s="30"/>
      <c r="H125" s="47"/>
      <c r="L125" s="34"/>
      <c r="N125" s="71"/>
      <c r="O125" s="72" t="s">
        <v>47</v>
      </c>
      <c r="P125" s="72">
        <v>29</v>
      </c>
      <c r="Q125" s="72">
        <v>1</v>
      </c>
      <c r="R125" s="72">
        <v>0</v>
      </c>
      <c r="S125" s="63"/>
      <c r="T125" s="72" t="s">
        <v>47</v>
      </c>
      <c r="U125" s="105">
        <f>IF($J$1="March","",Y124)</f>
        <v>35000</v>
      </c>
      <c r="V125" s="74"/>
      <c r="W125" s="105">
        <f t="shared" si="22"/>
        <v>35000</v>
      </c>
      <c r="X125" s="74"/>
      <c r="Y125" s="105">
        <f t="shared" si="23"/>
        <v>35000</v>
      </c>
      <c r="Z125" s="76"/>
    </row>
    <row r="126" spans="1:26" s="29" customFormat="1" ht="21.4" customHeight="1" x14ac:dyDescent="0.2">
      <c r="A126" s="30"/>
      <c r="B126" s="389" t="s">
        <v>42</v>
      </c>
      <c r="C126" s="390"/>
      <c r="F126" s="48" t="s">
        <v>64</v>
      </c>
      <c r="G126" s="43">
        <f>IF($J$1="January",U122,IF($J$1="February",U123,IF($J$1="March",U124,IF($J$1="April",U125,IF($J$1="May",U126,IF($J$1="June",U127,IF($J$1="July",U128,IF($J$1="August",U129,IF($J$1="August",U129,IF($J$1="September",U130,IF($J$1="October",U131,IF($J$1="November",U132,IF($J$1="December",U133)))))))))))))</f>
        <v>35000</v>
      </c>
      <c r="H126" s="47"/>
      <c r="I126" s="49">
        <f>IF(C130&gt;0,$K$2,C128)</f>
        <v>29</v>
      </c>
      <c r="J126" s="50" t="s">
        <v>61</v>
      </c>
      <c r="K126" s="51">
        <f>K122/$K$2*I126</f>
        <v>36733.333333333336</v>
      </c>
      <c r="L126" s="52"/>
      <c r="N126" s="71"/>
      <c r="O126" s="72" t="s">
        <v>48</v>
      </c>
      <c r="P126" s="72">
        <v>25</v>
      </c>
      <c r="Q126" s="72">
        <v>6</v>
      </c>
      <c r="R126" s="72">
        <v>0</v>
      </c>
      <c r="S126" s="63"/>
      <c r="T126" s="72" t="s">
        <v>48</v>
      </c>
      <c r="U126" s="105">
        <f>Y125</f>
        <v>35000</v>
      </c>
      <c r="V126" s="74">
        <f>1000+4000</f>
        <v>5000</v>
      </c>
      <c r="W126" s="105">
        <f t="shared" si="22"/>
        <v>40000</v>
      </c>
      <c r="X126" s="74">
        <v>5000</v>
      </c>
      <c r="Y126" s="105">
        <f t="shared" si="23"/>
        <v>35000</v>
      </c>
      <c r="Z126" s="76"/>
    </row>
    <row r="127" spans="1:26" s="29" customFormat="1" ht="21.4" customHeight="1" x14ac:dyDescent="0.2">
      <c r="A127" s="30"/>
      <c r="B127" s="39"/>
      <c r="C127" s="39"/>
      <c r="F127" s="48" t="s">
        <v>20</v>
      </c>
      <c r="G127" s="43">
        <f>IF($J$1="January",V122,IF($J$1="February",V123,IF($J$1="March",V124,IF($J$1="April",V125,IF($J$1="May",V126,IF($J$1="June",V127,IF($J$1="July",V128,IF($J$1="August",V129,IF($J$1="August",V129,IF($J$1="September",V130,IF($J$1="October",V131,IF($J$1="November",V132,IF($J$1="December",V133)))))))))))))</f>
        <v>25000</v>
      </c>
      <c r="H127" s="47"/>
      <c r="I127" s="84"/>
      <c r="J127" s="50" t="s">
        <v>62</v>
      </c>
      <c r="K127" s="53">
        <f>K122/$K$2/8*I127</f>
        <v>0</v>
      </c>
      <c r="L127" s="54"/>
      <c r="N127" s="71"/>
      <c r="O127" s="72" t="s">
        <v>49</v>
      </c>
      <c r="P127" s="72">
        <v>29</v>
      </c>
      <c r="Q127" s="72">
        <v>1</v>
      </c>
      <c r="R127" s="72">
        <v>0</v>
      </c>
      <c r="S127" s="63"/>
      <c r="T127" s="72" t="s">
        <v>49</v>
      </c>
      <c r="U127" s="105">
        <f>Y126</f>
        <v>35000</v>
      </c>
      <c r="V127" s="74">
        <v>25000</v>
      </c>
      <c r="W127" s="105">
        <f t="shared" si="22"/>
        <v>60000</v>
      </c>
      <c r="X127" s="74">
        <v>25000</v>
      </c>
      <c r="Y127" s="105">
        <f t="shared" si="23"/>
        <v>35000</v>
      </c>
      <c r="Z127" s="76"/>
    </row>
    <row r="128" spans="1:26" s="29" customFormat="1" ht="21.4" customHeight="1" x14ac:dyDescent="0.2">
      <c r="A128" s="30"/>
      <c r="B128" s="48" t="s">
        <v>7</v>
      </c>
      <c r="C128" s="39">
        <f>IF($J$1="January",P122,IF($J$1="February",P123,IF($J$1="March",P124,IF($J$1="April",P125,IF($J$1="May",P126,IF($J$1="June",P127,IF($J$1="July",P128,IF($J$1="August",P129,IF($J$1="August",P129,IF($J$1="September",P130,IF($J$1="October",P131,IF($J$1="November",P132,IF($J$1="December",P133)))))))))))))</f>
        <v>29</v>
      </c>
      <c r="F128" s="48" t="s">
        <v>65</v>
      </c>
      <c r="G128" s="43">
        <f>IF($J$1="January",W122,IF($J$1="February",W123,IF($J$1="March",W124,IF($J$1="April",W125,IF($J$1="May",W126,IF($J$1="June",W127,IF($J$1="July",W128,IF($J$1="August",W129,IF($J$1="August",W129,IF($J$1="September",W130,IF($J$1="October",W131,IF($J$1="November",W132,IF($J$1="December",W133)))))))))))))</f>
        <v>60000</v>
      </c>
      <c r="H128" s="47"/>
      <c r="I128" s="392" t="s">
        <v>69</v>
      </c>
      <c r="J128" s="393"/>
      <c r="K128" s="53">
        <f>K126+K127</f>
        <v>36733.333333333336</v>
      </c>
      <c r="L128" s="54"/>
      <c r="N128" s="71"/>
      <c r="O128" s="72" t="s">
        <v>50</v>
      </c>
      <c r="P128" s="72"/>
      <c r="Q128" s="72"/>
      <c r="R128" s="72">
        <v>0</v>
      </c>
      <c r="S128" s="63"/>
      <c r="T128" s="72" t="s">
        <v>50</v>
      </c>
      <c r="U128" s="105"/>
      <c r="V128" s="74"/>
      <c r="W128" s="105" t="str">
        <f t="shared" si="22"/>
        <v/>
      </c>
      <c r="X128" s="74"/>
      <c r="Y128" s="105" t="str">
        <f t="shared" si="23"/>
        <v/>
      </c>
      <c r="Z128" s="76"/>
    </row>
    <row r="129" spans="1:27" s="29" customFormat="1" ht="21.4" customHeight="1" x14ac:dyDescent="0.2">
      <c r="A129" s="30"/>
      <c r="B129" s="48" t="s">
        <v>6</v>
      </c>
      <c r="C129" s="39">
        <f>IF($J$1="January",Q122,IF($J$1="February",Q123,IF($J$1="March",Q124,IF($J$1="April",Q125,IF($J$1="May",Q126,IF($J$1="June",Q127,IF($J$1="July",Q128,IF($J$1="August",Q129,IF($J$1="August",Q129,IF($J$1="September",Q130,IF($J$1="October",Q131,IF($J$1="November",Q132,IF($J$1="December",Q133)))))))))))))</f>
        <v>1</v>
      </c>
      <c r="F129" s="48" t="s">
        <v>21</v>
      </c>
      <c r="G129" s="43">
        <f>IF($J$1="January",X122,IF($J$1="February",X123,IF($J$1="March",X124,IF($J$1="April",X125,IF($J$1="May",X126,IF($J$1="June",X127,IF($J$1="July",X128,IF($J$1="August",X129,IF($J$1="August",X129,IF($J$1="September",X130,IF($J$1="October",X131,IF($J$1="November",X132,IF($J$1="December",X133)))))))))))))</f>
        <v>25000</v>
      </c>
      <c r="H129" s="47"/>
      <c r="I129" s="392" t="s">
        <v>70</v>
      </c>
      <c r="J129" s="393"/>
      <c r="K129" s="43">
        <f>G129</f>
        <v>25000</v>
      </c>
      <c r="L129" s="55"/>
      <c r="N129" s="71"/>
      <c r="O129" s="72" t="s">
        <v>51</v>
      </c>
      <c r="P129" s="72"/>
      <c r="Q129" s="72"/>
      <c r="R129" s="72">
        <v>0</v>
      </c>
      <c r="S129" s="63"/>
      <c r="T129" s="72" t="s">
        <v>51</v>
      </c>
      <c r="U129" s="105" t="str">
        <f t="shared" ref="U129:U133" si="24">Y128</f>
        <v/>
      </c>
      <c r="V129" s="74"/>
      <c r="W129" s="105" t="str">
        <f t="shared" si="22"/>
        <v/>
      </c>
      <c r="X129" s="74"/>
      <c r="Y129" s="105" t="str">
        <f t="shared" si="23"/>
        <v/>
      </c>
      <c r="Z129" s="76"/>
    </row>
    <row r="130" spans="1:27" s="29" customFormat="1" ht="21.4" customHeight="1" x14ac:dyDescent="0.2">
      <c r="A130" s="30"/>
      <c r="B130" s="56" t="s">
        <v>68</v>
      </c>
      <c r="C130" s="39">
        <f>IF($J$1="January",R122,IF($J$1="February",R123,IF($J$1="March",R124,IF($J$1="April",R125,IF($J$1="May",R126,IF($J$1="June",R127,IF($J$1="July",R128,IF($J$1="August",R129,IF($J$1="August",R129,IF($J$1="September",R130,IF($J$1="October",R131,IF($J$1="November",R132,IF($J$1="December",R133)))))))))))))</f>
        <v>0</v>
      </c>
      <c r="F130" s="48" t="s">
        <v>67</v>
      </c>
      <c r="G130" s="43">
        <f>IF($J$1="January",Y122,IF($J$1="February",Y123,IF($J$1="March",Y124,IF($J$1="April",Y125,IF($J$1="May",Y126,IF($J$1="June",Y127,IF($J$1="July",Y128,IF($J$1="August",Y129,IF($J$1="August",Y129,IF($J$1="September",Y130,IF($J$1="October",Y131,IF($J$1="November",Y132,IF($J$1="December",Y133)))))))))))))</f>
        <v>35000</v>
      </c>
      <c r="I130" s="387" t="s">
        <v>63</v>
      </c>
      <c r="J130" s="388"/>
      <c r="K130" s="57">
        <f>K128-K129</f>
        <v>11733.333333333336</v>
      </c>
      <c r="L130" s="58"/>
      <c r="N130" s="71"/>
      <c r="O130" s="72" t="s">
        <v>56</v>
      </c>
      <c r="P130" s="72"/>
      <c r="Q130" s="72"/>
      <c r="R130" s="72">
        <v>0</v>
      </c>
      <c r="S130" s="63">
        <v>0</v>
      </c>
      <c r="T130" s="72" t="s">
        <v>56</v>
      </c>
      <c r="U130" s="105" t="str">
        <f t="shared" si="24"/>
        <v/>
      </c>
      <c r="V130" s="74"/>
      <c r="W130" s="105" t="str">
        <f t="shared" si="22"/>
        <v/>
      </c>
      <c r="X130" s="74"/>
      <c r="Y130" s="105" t="str">
        <f t="shared" si="23"/>
        <v/>
      </c>
      <c r="Z130" s="76"/>
    </row>
    <row r="131" spans="1:27" s="29" customFormat="1" ht="21.4" customHeight="1" x14ac:dyDescent="0.2">
      <c r="A131" s="30"/>
      <c r="F131" s="29" t="s">
        <v>224</v>
      </c>
      <c r="K131" s="107"/>
      <c r="L131" s="46"/>
      <c r="N131" s="71"/>
      <c r="O131" s="72" t="s">
        <v>52</v>
      </c>
      <c r="P131" s="72"/>
      <c r="Q131" s="72"/>
      <c r="R131" s="72">
        <v>0</v>
      </c>
      <c r="S131" s="63"/>
      <c r="T131" s="72" t="s">
        <v>52</v>
      </c>
      <c r="U131" s="105" t="str">
        <f t="shared" si="24"/>
        <v/>
      </c>
      <c r="V131" s="74"/>
      <c r="W131" s="105" t="str">
        <f t="shared" si="22"/>
        <v/>
      </c>
      <c r="X131" s="74"/>
      <c r="Y131" s="105" t="str">
        <f t="shared" si="23"/>
        <v/>
      </c>
      <c r="Z131" s="76"/>
    </row>
    <row r="132" spans="1:27" s="29" customFormat="1" ht="21.4" customHeight="1" x14ac:dyDescent="0.2">
      <c r="A132" s="30"/>
      <c r="B132" s="394" t="s">
        <v>85</v>
      </c>
      <c r="C132" s="394"/>
      <c r="D132" s="394"/>
      <c r="E132" s="394"/>
      <c r="F132" s="394"/>
      <c r="G132" s="394"/>
      <c r="H132" s="394"/>
      <c r="I132" s="394"/>
      <c r="J132" s="394"/>
      <c r="K132" s="394"/>
      <c r="L132" s="46"/>
      <c r="N132" s="71"/>
      <c r="O132" s="72" t="s">
        <v>57</v>
      </c>
      <c r="P132" s="72"/>
      <c r="Q132" s="72"/>
      <c r="R132" s="72">
        <v>0</v>
      </c>
      <c r="S132" s="63"/>
      <c r="T132" s="72" t="s">
        <v>57</v>
      </c>
      <c r="U132" s="105" t="str">
        <f t="shared" si="24"/>
        <v/>
      </c>
      <c r="V132" s="74"/>
      <c r="W132" s="105" t="str">
        <f t="shared" si="22"/>
        <v/>
      </c>
      <c r="X132" s="74"/>
      <c r="Y132" s="105" t="str">
        <f t="shared" si="23"/>
        <v/>
      </c>
      <c r="Z132" s="76"/>
    </row>
    <row r="133" spans="1:27" s="29" customFormat="1" ht="21.4" customHeight="1" x14ac:dyDescent="0.2">
      <c r="A133" s="30"/>
      <c r="B133" s="394"/>
      <c r="C133" s="394"/>
      <c r="D133" s="394"/>
      <c r="E133" s="394"/>
      <c r="F133" s="394"/>
      <c r="G133" s="394"/>
      <c r="H133" s="394"/>
      <c r="I133" s="394"/>
      <c r="J133" s="394"/>
      <c r="K133" s="394"/>
      <c r="L133" s="46"/>
      <c r="N133" s="71"/>
      <c r="O133" s="72" t="s">
        <v>58</v>
      </c>
      <c r="P133" s="72"/>
      <c r="Q133" s="72"/>
      <c r="R133" s="72">
        <v>0</v>
      </c>
      <c r="S133" s="63"/>
      <c r="T133" s="72" t="s">
        <v>58</v>
      </c>
      <c r="U133" s="105" t="str">
        <f t="shared" si="24"/>
        <v/>
      </c>
      <c r="V133" s="74"/>
      <c r="W133" s="105" t="str">
        <f t="shared" si="22"/>
        <v/>
      </c>
      <c r="X133" s="74"/>
      <c r="Y133" s="105" t="str">
        <f t="shared" si="23"/>
        <v/>
      </c>
      <c r="Z133" s="76"/>
    </row>
    <row r="134" spans="1:27" s="29" customFormat="1" ht="21.4" customHeight="1" thickBot="1" x14ac:dyDescent="0.25">
      <c r="A134" s="59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1"/>
      <c r="N134" s="77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9"/>
    </row>
    <row r="135" spans="1:27" s="29" customFormat="1" ht="21" customHeight="1" thickBot="1" x14ac:dyDescent="0.25"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spans="1:27" s="29" customFormat="1" ht="21" customHeight="1" x14ac:dyDescent="0.2">
      <c r="A136" s="406" t="s">
        <v>40</v>
      </c>
      <c r="B136" s="407"/>
      <c r="C136" s="407"/>
      <c r="D136" s="407"/>
      <c r="E136" s="407"/>
      <c r="F136" s="407"/>
      <c r="G136" s="407"/>
      <c r="H136" s="407"/>
      <c r="I136" s="407"/>
      <c r="J136" s="407"/>
      <c r="K136" s="407"/>
      <c r="L136" s="408"/>
      <c r="M136" s="28"/>
      <c r="N136" s="64"/>
      <c r="O136" s="403" t="s">
        <v>42</v>
      </c>
      <c r="P136" s="404"/>
      <c r="Q136" s="404"/>
      <c r="R136" s="405"/>
      <c r="S136" s="65"/>
      <c r="T136" s="403" t="s">
        <v>43</v>
      </c>
      <c r="U136" s="404"/>
      <c r="V136" s="404"/>
      <c r="W136" s="404"/>
      <c r="X136" s="404"/>
      <c r="Y136" s="405"/>
      <c r="Z136" s="66"/>
      <c r="AA136" s="28"/>
    </row>
    <row r="137" spans="1:27" s="29" customFormat="1" ht="21" customHeight="1" x14ac:dyDescent="0.2">
      <c r="A137" s="30"/>
      <c r="C137" s="402" t="s">
        <v>83</v>
      </c>
      <c r="D137" s="402"/>
      <c r="E137" s="402"/>
      <c r="F137" s="402"/>
      <c r="G137" s="31" t="str">
        <f>$J$1</f>
        <v>June</v>
      </c>
      <c r="H137" s="409">
        <f>$K$1</f>
        <v>2023</v>
      </c>
      <c r="I137" s="409"/>
      <c r="K137" s="32"/>
      <c r="L137" s="33"/>
      <c r="M137" s="32"/>
      <c r="N137" s="67"/>
      <c r="O137" s="68" t="s">
        <v>53</v>
      </c>
      <c r="P137" s="68" t="s">
        <v>7</v>
      </c>
      <c r="Q137" s="68" t="s">
        <v>6</v>
      </c>
      <c r="R137" s="68" t="s">
        <v>54</v>
      </c>
      <c r="S137" s="69"/>
      <c r="T137" s="68" t="s">
        <v>53</v>
      </c>
      <c r="U137" s="68" t="s">
        <v>55</v>
      </c>
      <c r="V137" s="68" t="s">
        <v>20</v>
      </c>
      <c r="W137" s="68" t="s">
        <v>19</v>
      </c>
      <c r="X137" s="68" t="s">
        <v>21</v>
      </c>
      <c r="Y137" s="68" t="s">
        <v>59</v>
      </c>
      <c r="Z137" s="70"/>
      <c r="AA137" s="32"/>
    </row>
    <row r="138" spans="1:27" s="29" customFormat="1" ht="21" customHeight="1" x14ac:dyDescent="0.2">
      <c r="A138" s="30"/>
      <c r="D138" s="35"/>
      <c r="E138" s="35"/>
      <c r="F138" s="35"/>
      <c r="G138" s="35"/>
      <c r="H138" s="35"/>
      <c r="J138" s="36" t="s">
        <v>1</v>
      </c>
      <c r="K138" s="37">
        <f>35000+3000+5000</f>
        <v>43000</v>
      </c>
      <c r="L138" s="38"/>
      <c r="N138" s="71"/>
      <c r="O138" s="72" t="s">
        <v>45</v>
      </c>
      <c r="P138" s="72">
        <v>31</v>
      </c>
      <c r="Q138" s="72">
        <v>0</v>
      </c>
      <c r="R138" s="72">
        <f>15-Q138</f>
        <v>15</v>
      </c>
      <c r="S138" s="73"/>
      <c r="T138" s="72" t="s">
        <v>45</v>
      </c>
      <c r="U138" s="74">
        <v>75500</v>
      </c>
      <c r="V138" s="74">
        <f>5000+1000</f>
        <v>6000</v>
      </c>
      <c r="W138" s="74">
        <f>V138+U138</f>
        <v>81500</v>
      </c>
      <c r="X138" s="74">
        <v>8000</v>
      </c>
      <c r="Y138" s="74">
        <f>W138-X138</f>
        <v>73500</v>
      </c>
      <c r="Z138" s="70"/>
    </row>
    <row r="139" spans="1:27" s="29" customFormat="1" ht="21" customHeight="1" x14ac:dyDescent="0.2">
      <c r="A139" s="30"/>
      <c r="B139" s="29" t="s">
        <v>0</v>
      </c>
      <c r="C139" s="40" t="s">
        <v>81</v>
      </c>
      <c r="H139" s="41"/>
      <c r="I139" s="35"/>
      <c r="L139" s="42"/>
      <c r="M139" s="28"/>
      <c r="N139" s="75"/>
      <c r="O139" s="72" t="s">
        <v>71</v>
      </c>
      <c r="P139" s="72">
        <v>28</v>
      </c>
      <c r="Q139" s="72">
        <v>0</v>
      </c>
      <c r="R139" s="72">
        <f t="shared" ref="R139:R149" si="25">IF(Q139="","",R138-Q139)</f>
        <v>15</v>
      </c>
      <c r="S139" s="63"/>
      <c r="T139" s="72" t="s">
        <v>71</v>
      </c>
      <c r="U139" s="105">
        <f>Y138</f>
        <v>73500</v>
      </c>
      <c r="V139" s="74">
        <f>3000+1000</f>
        <v>4000</v>
      </c>
      <c r="W139" s="105">
        <f>IF(U139="","",U139+V139)</f>
        <v>77500</v>
      </c>
      <c r="X139" s="74">
        <v>8000</v>
      </c>
      <c r="Y139" s="105">
        <f>IF(W139="","",W139-X139)</f>
        <v>69500</v>
      </c>
      <c r="Z139" s="76"/>
      <c r="AA139" s="28"/>
    </row>
    <row r="140" spans="1:27" s="29" customFormat="1" ht="21" customHeight="1" x14ac:dyDescent="0.2">
      <c r="A140" s="30"/>
      <c r="B140" s="44" t="s">
        <v>41</v>
      </c>
      <c r="C140" s="45" t="s">
        <v>82</v>
      </c>
      <c r="F140" s="391" t="s">
        <v>43</v>
      </c>
      <c r="G140" s="391"/>
      <c r="I140" s="391" t="s">
        <v>44</v>
      </c>
      <c r="J140" s="391"/>
      <c r="K140" s="391"/>
      <c r="L140" s="46"/>
      <c r="N140" s="71"/>
      <c r="O140" s="72" t="s">
        <v>46</v>
      </c>
      <c r="P140" s="72">
        <v>31</v>
      </c>
      <c r="Q140" s="72">
        <v>0</v>
      </c>
      <c r="R140" s="72">
        <f t="shared" si="25"/>
        <v>15</v>
      </c>
      <c r="S140" s="63"/>
      <c r="T140" s="72" t="s">
        <v>46</v>
      </c>
      <c r="U140" s="105">
        <f>Y139</f>
        <v>69500</v>
      </c>
      <c r="V140" s="74">
        <f>2000+1000+1000</f>
        <v>4000</v>
      </c>
      <c r="W140" s="105">
        <f t="shared" ref="W140:W149" si="26">IF(U140="","",U140+V140)</f>
        <v>73500</v>
      </c>
      <c r="X140" s="74">
        <v>3000</v>
      </c>
      <c r="Y140" s="105">
        <f t="shared" ref="Y140:Y149" si="27">IF(W140="","",W140-X140)</f>
        <v>70500</v>
      </c>
      <c r="Z140" s="76"/>
    </row>
    <row r="141" spans="1:27" s="29" customFormat="1" ht="21" customHeight="1" x14ac:dyDescent="0.2">
      <c r="A141" s="30"/>
      <c r="H141" s="47"/>
      <c r="L141" s="34"/>
      <c r="N141" s="71"/>
      <c r="O141" s="72" t="s">
        <v>47</v>
      </c>
      <c r="P141" s="72">
        <v>27</v>
      </c>
      <c r="Q141" s="72">
        <v>3</v>
      </c>
      <c r="R141" s="72">
        <f t="shared" si="25"/>
        <v>12</v>
      </c>
      <c r="S141" s="63"/>
      <c r="T141" s="72" t="s">
        <v>47</v>
      </c>
      <c r="U141" s="105">
        <f>Y140</f>
        <v>70500</v>
      </c>
      <c r="V141" s="74">
        <v>2000</v>
      </c>
      <c r="W141" s="105">
        <f t="shared" si="26"/>
        <v>72500</v>
      </c>
      <c r="X141" s="74">
        <v>5000</v>
      </c>
      <c r="Y141" s="105">
        <f t="shared" si="27"/>
        <v>67500</v>
      </c>
      <c r="Z141" s="76"/>
    </row>
    <row r="142" spans="1:27" s="29" customFormat="1" ht="21" customHeight="1" x14ac:dyDescent="0.2">
      <c r="A142" s="30"/>
      <c r="B142" s="389" t="s">
        <v>42</v>
      </c>
      <c r="C142" s="390"/>
      <c r="F142" s="48" t="s">
        <v>64</v>
      </c>
      <c r="G142" s="109">
        <f>IF($J$1="January",U138,IF($J$1="February",U139,IF($J$1="March",U140,IF($J$1="April",U141,IF($J$1="May",U142,IF($J$1="June",U143,IF($J$1="July",U144,IF($J$1="August",U145,IF($J$1="August",U145,IF($J$1="September",U146,IF($J$1="October",U147,IF($J$1="November",U148,IF($J$1="December",U149)))))))))))))</f>
        <v>62500</v>
      </c>
      <c r="H142" s="47"/>
      <c r="I142" s="49">
        <f>IF(C146&gt;0,$K$2,C144)</f>
        <v>30</v>
      </c>
      <c r="J142" s="50" t="s">
        <v>61</v>
      </c>
      <c r="K142" s="51">
        <f>K138/$K$2*I142</f>
        <v>43000</v>
      </c>
      <c r="L142" s="52"/>
      <c r="N142" s="71"/>
      <c r="O142" s="72" t="s">
        <v>48</v>
      </c>
      <c r="P142" s="72">
        <v>31</v>
      </c>
      <c r="Q142" s="72">
        <v>0</v>
      </c>
      <c r="R142" s="72">
        <f t="shared" si="25"/>
        <v>12</v>
      </c>
      <c r="S142" s="63"/>
      <c r="T142" s="72" t="s">
        <v>48</v>
      </c>
      <c r="U142" s="105">
        <f>Y141</f>
        <v>67500</v>
      </c>
      <c r="V142" s="74">
        <v>3000</v>
      </c>
      <c r="W142" s="105">
        <f t="shared" si="26"/>
        <v>70500</v>
      </c>
      <c r="X142" s="74">
        <f>5000+V142</f>
        <v>8000</v>
      </c>
      <c r="Y142" s="105">
        <f t="shared" si="27"/>
        <v>62500</v>
      </c>
      <c r="Z142" s="76"/>
    </row>
    <row r="143" spans="1:27" s="29" customFormat="1" ht="21" customHeight="1" x14ac:dyDescent="0.2">
      <c r="A143" s="30"/>
      <c r="B143" s="39"/>
      <c r="C143" s="39"/>
      <c r="F143" s="48" t="s">
        <v>20</v>
      </c>
      <c r="G143" s="109">
        <f>IF($J$1="January",V138,IF($J$1="February",V139,IF($J$1="March",V140,IF($J$1="April",V141,IF($J$1="May",V142,IF($J$1="June",V143,IF($J$1="July",V144,IF($J$1="August",V145,IF($J$1="August",V145,IF($J$1="September",V146,IF($J$1="October",V147,IF($J$1="November",V148,IF($J$1="December",V149)))))))))))))</f>
        <v>43000</v>
      </c>
      <c r="H143" s="47"/>
      <c r="I143" s="84">
        <v>20</v>
      </c>
      <c r="J143" s="50" t="s">
        <v>62</v>
      </c>
      <c r="K143" s="53">
        <f>K138/$K$2/8*I143</f>
        <v>3583.333333333333</v>
      </c>
      <c r="L143" s="54"/>
      <c r="N143" s="71"/>
      <c r="O143" s="72" t="s">
        <v>49</v>
      </c>
      <c r="P143" s="72">
        <v>30</v>
      </c>
      <c r="Q143" s="72">
        <v>0</v>
      </c>
      <c r="R143" s="72">
        <f t="shared" si="25"/>
        <v>12</v>
      </c>
      <c r="S143" s="63"/>
      <c r="T143" s="72" t="s">
        <v>49</v>
      </c>
      <c r="U143" s="105">
        <f>Y142</f>
        <v>62500</v>
      </c>
      <c r="V143" s="74">
        <f>5000+38000</f>
        <v>43000</v>
      </c>
      <c r="W143" s="105">
        <f t="shared" si="26"/>
        <v>105500</v>
      </c>
      <c r="X143" s="74">
        <v>43000</v>
      </c>
      <c r="Y143" s="105">
        <f t="shared" si="27"/>
        <v>62500</v>
      </c>
      <c r="Z143" s="76"/>
    </row>
    <row r="144" spans="1:27" s="29" customFormat="1" ht="21" customHeight="1" x14ac:dyDescent="0.2">
      <c r="A144" s="30"/>
      <c r="B144" s="48" t="s">
        <v>7</v>
      </c>
      <c r="C144" s="39">
        <f>IF($J$1="January",P138,IF($J$1="February",P139,IF($J$1="March",P140,IF($J$1="April",P141,IF($J$1="May",P142,IF($J$1="June",P143,IF($J$1="July",P144,IF($J$1="August",P145,IF($J$1="August",P145,IF($J$1="September",P146,IF($J$1="October",P147,IF($J$1="November",P148,IF($J$1="December",P149)))))))))))))</f>
        <v>30</v>
      </c>
      <c r="F144" s="48" t="s">
        <v>65</v>
      </c>
      <c r="G144" s="109">
        <f>IF($J$1="January",W138,IF($J$1="February",W139,IF($J$1="March",W140,IF($J$1="April",W141,IF($J$1="May",W142,IF($J$1="June",W143,IF($J$1="July",W144,IF($J$1="August",W145,IF($J$1="August",W145,IF($J$1="September",W146,IF($J$1="October",W147,IF($J$1="November",W148,IF($J$1="December",W149)))))))))))))</f>
        <v>105500</v>
      </c>
      <c r="H144" s="47"/>
      <c r="I144" s="392" t="s">
        <v>69</v>
      </c>
      <c r="J144" s="393"/>
      <c r="K144" s="53">
        <f>K142+K143</f>
        <v>46583.333333333336</v>
      </c>
      <c r="L144" s="54"/>
      <c r="N144" s="71"/>
      <c r="O144" s="72" t="s">
        <v>50</v>
      </c>
      <c r="P144" s="72"/>
      <c r="Q144" s="72"/>
      <c r="R144" s="72" t="str">
        <f t="shared" si="25"/>
        <v/>
      </c>
      <c r="S144" s="63"/>
      <c r="T144" s="72" t="s">
        <v>50</v>
      </c>
      <c r="U144" s="105"/>
      <c r="V144" s="74"/>
      <c r="W144" s="105" t="str">
        <f t="shared" si="26"/>
        <v/>
      </c>
      <c r="X144" s="74">
        <v>10000</v>
      </c>
      <c r="Y144" s="105" t="str">
        <f t="shared" si="27"/>
        <v/>
      </c>
      <c r="Z144" s="76"/>
    </row>
    <row r="145" spans="1:27" s="29" customFormat="1" ht="21" customHeight="1" x14ac:dyDescent="0.2">
      <c r="A145" s="30"/>
      <c r="B145" s="48" t="s">
        <v>6</v>
      </c>
      <c r="C145" s="39">
        <f>IF($J$1="January",Q138,IF($J$1="February",Q139,IF($J$1="March",Q140,IF($J$1="April",Q141,IF($J$1="May",Q142,IF($J$1="June",Q143,IF($J$1="July",Q144,IF($J$1="August",Q145,IF($J$1="August",Q145,IF($J$1="September",Q146,IF($J$1="October",Q147,IF($J$1="November",Q148,IF($J$1="December",Q149)))))))))))))</f>
        <v>0</v>
      </c>
      <c r="F145" s="48" t="s">
        <v>21</v>
      </c>
      <c r="G145" s="109">
        <f>IF($J$1="January",X138,IF($J$1="February",X139,IF($J$1="March",X140,IF($J$1="April",X141,IF($J$1="May",X142,IF($J$1="June",X143,IF($J$1="July",X144,IF($J$1="August",X145,IF($J$1="August",X145,IF($J$1="September",X146,IF($J$1="October",X147,IF($J$1="November",X148,IF($J$1="December",X149)))))))))))))</f>
        <v>43000</v>
      </c>
      <c r="H145" s="47"/>
      <c r="I145" s="392" t="s">
        <v>70</v>
      </c>
      <c r="J145" s="393"/>
      <c r="K145" s="43">
        <f>G145</f>
        <v>43000</v>
      </c>
      <c r="L145" s="55"/>
      <c r="N145" s="71"/>
      <c r="O145" s="72" t="s">
        <v>51</v>
      </c>
      <c r="P145" s="72"/>
      <c r="Q145" s="72"/>
      <c r="R145" s="72" t="str">
        <f t="shared" si="25"/>
        <v/>
      </c>
      <c r="S145" s="63"/>
      <c r="T145" s="72" t="s">
        <v>51</v>
      </c>
      <c r="U145" s="105"/>
      <c r="V145" s="74"/>
      <c r="W145" s="105" t="str">
        <f t="shared" si="26"/>
        <v/>
      </c>
      <c r="X145" s="74"/>
      <c r="Y145" s="105" t="str">
        <f t="shared" si="27"/>
        <v/>
      </c>
      <c r="Z145" s="76"/>
    </row>
    <row r="146" spans="1:27" s="29" customFormat="1" ht="21" customHeight="1" x14ac:dyDescent="0.2">
      <c r="A146" s="30"/>
      <c r="B146" s="56" t="s">
        <v>68</v>
      </c>
      <c r="C146" s="39">
        <f>IF($J$1="January",R138,IF($J$1="February",R139,IF($J$1="March",R140,IF($J$1="April",R141,IF($J$1="May",R142,IF($J$1="June",R143,IF($J$1="July",R144,IF($J$1="August",R145,IF($J$1="August",R145,IF($J$1="September",R146,IF($J$1="October",R147,IF($J$1="November",R148,IF($J$1="December",R149)))))))))))))</f>
        <v>12</v>
      </c>
      <c r="F146" s="48" t="s">
        <v>67</v>
      </c>
      <c r="G146" s="109">
        <f>IF($J$1="January",Y138,IF($J$1="February",Y139,IF($J$1="March",Y140,IF($J$1="April",Y141,IF($J$1="May",Y142,IF($J$1="June",Y143,IF($J$1="July",Y144,IF($J$1="August",Y145,IF($J$1="August",Y145,IF($J$1="September",Y146,IF($J$1="October",Y147,IF($J$1="November",Y148,IF($J$1="December",Y149)))))))))))))</f>
        <v>62500</v>
      </c>
      <c r="I146" s="387" t="s">
        <v>63</v>
      </c>
      <c r="J146" s="388"/>
      <c r="K146" s="57">
        <f>K144-K145</f>
        <v>3583.3333333333358</v>
      </c>
      <c r="L146" s="58"/>
      <c r="N146" s="71"/>
      <c r="O146" s="72" t="s">
        <v>56</v>
      </c>
      <c r="P146" s="72"/>
      <c r="Q146" s="72"/>
      <c r="R146" s="72" t="str">
        <f t="shared" si="25"/>
        <v/>
      </c>
      <c r="S146" s="63"/>
      <c r="T146" s="72" t="s">
        <v>56</v>
      </c>
      <c r="U146" s="105"/>
      <c r="V146" s="74"/>
      <c r="W146" s="105" t="str">
        <f t="shared" si="26"/>
        <v/>
      </c>
      <c r="X146" s="74"/>
      <c r="Y146" s="105" t="str">
        <f t="shared" si="27"/>
        <v/>
      </c>
      <c r="Z146" s="76"/>
    </row>
    <row r="147" spans="1:27" s="29" customFormat="1" ht="21" customHeight="1" x14ac:dyDescent="0.2">
      <c r="A147" s="30"/>
      <c r="J147" s="47"/>
      <c r="K147" s="107"/>
      <c r="L147" s="46"/>
      <c r="N147" s="71"/>
      <c r="O147" s="72" t="s">
        <v>52</v>
      </c>
      <c r="P147" s="72"/>
      <c r="Q147" s="72"/>
      <c r="R147" s="72" t="str">
        <f t="shared" si="25"/>
        <v/>
      </c>
      <c r="S147" s="63"/>
      <c r="T147" s="72" t="s">
        <v>52</v>
      </c>
      <c r="U147" s="105"/>
      <c r="V147" s="74"/>
      <c r="W147" s="105" t="str">
        <f t="shared" si="26"/>
        <v/>
      </c>
      <c r="X147" s="74"/>
      <c r="Y147" s="105" t="str">
        <f t="shared" si="27"/>
        <v/>
      </c>
      <c r="Z147" s="76"/>
    </row>
    <row r="148" spans="1:27" s="29" customFormat="1" ht="21" customHeight="1" x14ac:dyDescent="0.2">
      <c r="A148" s="30"/>
      <c r="B148" s="394" t="s">
        <v>85</v>
      </c>
      <c r="C148" s="394"/>
      <c r="D148" s="394"/>
      <c r="E148" s="394"/>
      <c r="F148" s="394"/>
      <c r="G148" s="394"/>
      <c r="H148" s="394"/>
      <c r="I148" s="394"/>
      <c r="J148" s="394"/>
      <c r="K148" s="394"/>
      <c r="L148" s="46"/>
      <c r="N148" s="71"/>
      <c r="O148" s="72" t="s">
        <v>57</v>
      </c>
      <c r="P148" s="72"/>
      <c r="Q148" s="72"/>
      <c r="R148" s="72" t="str">
        <f t="shared" si="25"/>
        <v/>
      </c>
      <c r="S148" s="63"/>
      <c r="T148" s="72" t="s">
        <v>57</v>
      </c>
      <c r="U148" s="105"/>
      <c r="V148" s="74"/>
      <c r="W148" s="105" t="str">
        <f t="shared" si="26"/>
        <v/>
      </c>
      <c r="X148" s="74"/>
      <c r="Y148" s="105" t="str">
        <f t="shared" si="27"/>
        <v/>
      </c>
      <c r="Z148" s="76"/>
    </row>
    <row r="149" spans="1:27" s="29" customFormat="1" ht="21" customHeight="1" x14ac:dyDescent="0.2">
      <c r="A149" s="30"/>
      <c r="B149" s="394"/>
      <c r="C149" s="394"/>
      <c r="D149" s="394"/>
      <c r="E149" s="394"/>
      <c r="F149" s="394"/>
      <c r="G149" s="394"/>
      <c r="H149" s="394"/>
      <c r="I149" s="394"/>
      <c r="J149" s="394"/>
      <c r="K149" s="394"/>
      <c r="L149" s="46"/>
      <c r="N149" s="71"/>
      <c r="O149" s="72" t="s">
        <v>58</v>
      </c>
      <c r="P149" s="72"/>
      <c r="Q149" s="72"/>
      <c r="R149" s="72" t="str">
        <f t="shared" si="25"/>
        <v/>
      </c>
      <c r="S149" s="63"/>
      <c r="T149" s="72" t="s">
        <v>58</v>
      </c>
      <c r="U149" s="105"/>
      <c r="V149" s="74"/>
      <c r="W149" s="105" t="str">
        <f t="shared" si="26"/>
        <v/>
      </c>
      <c r="X149" s="74"/>
      <c r="Y149" s="105" t="str">
        <f t="shared" si="27"/>
        <v/>
      </c>
      <c r="Z149" s="76"/>
    </row>
    <row r="150" spans="1:27" s="29" customFormat="1" ht="21" customHeight="1" thickBot="1" x14ac:dyDescent="0.25">
      <c r="A150" s="59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1"/>
      <c r="N150" s="77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9"/>
    </row>
    <row r="151" spans="1:27" s="29" customFormat="1" ht="21" customHeight="1" thickBot="1" x14ac:dyDescent="0.25"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spans="1:27" s="29" customFormat="1" ht="21" customHeight="1" x14ac:dyDescent="0.2">
      <c r="A152" s="413" t="s">
        <v>40</v>
      </c>
      <c r="B152" s="414"/>
      <c r="C152" s="414"/>
      <c r="D152" s="414"/>
      <c r="E152" s="414"/>
      <c r="F152" s="414"/>
      <c r="G152" s="414"/>
      <c r="H152" s="414"/>
      <c r="I152" s="414"/>
      <c r="J152" s="414"/>
      <c r="K152" s="414"/>
      <c r="L152" s="415"/>
      <c r="M152" s="28"/>
      <c r="N152" s="64"/>
      <c r="O152" s="403" t="s">
        <v>42</v>
      </c>
      <c r="P152" s="404"/>
      <c r="Q152" s="404"/>
      <c r="R152" s="405"/>
      <c r="S152" s="65"/>
      <c r="T152" s="403" t="s">
        <v>43</v>
      </c>
      <c r="U152" s="404"/>
      <c r="V152" s="404"/>
      <c r="W152" s="404"/>
      <c r="X152" s="404"/>
      <c r="Y152" s="405"/>
      <c r="Z152" s="66"/>
      <c r="AA152" s="28"/>
    </row>
    <row r="153" spans="1:27" s="29" customFormat="1" ht="21" customHeight="1" x14ac:dyDescent="0.2">
      <c r="A153" s="30"/>
      <c r="C153" s="402" t="s">
        <v>83</v>
      </c>
      <c r="D153" s="402"/>
      <c r="E153" s="402"/>
      <c r="F153" s="402"/>
      <c r="G153" s="31" t="str">
        <f>$J$1</f>
        <v>June</v>
      </c>
      <c r="H153" s="409">
        <f>$K$1</f>
        <v>2023</v>
      </c>
      <c r="I153" s="409"/>
      <c r="K153" s="32"/>
      <c r="L153" s="33"/>
      <c r="M153" s="32"/>
      <c r="N153" s="67"/>
      <c r="O153" s="68" t="s">
        <v>53</v>
      </c>
      <c r="P153" s="68" t="s">
        <v>7</v>
      </c>
      <c r="Q153" s="68" t="s">
        <v>6</v>
      </c>
      <c r="R153" s="68" t="s">
        <v>54</v>
      </c>
      <c r="S153" s="69"/>
      <c r="T153" s="68" t="s">
        <v>53</v>
      </c>
      <c r="U153" s="68" t="s">
        <v>55</v>
      </c>
      <c r="V153" s="68" t="s">
        <v>20</v>
      </c>
      <c r="W153" s="68" t="s">
        <v>19</v>
      </c>
      <c r="X153" s="68" t="s">
        <v>21</v>
      </c>
      <c r="Y153" s="68" t="s">
        <v>59</v>
      </c>
      <c r="Z153" s="70"/>
      <c r="AA153" s="32"/>
    </row>
    <row r="154" spans="1:27" s="29" customFormat="1" ht="21" customHeight="1" x14ac:dyDescent="0.2">
      <c r="A154" s="30"/>
      <c r="D154" s="35"/>
      <c r="E154" s="35"/>
      <c r="F154" s="35"/>
      <c r="G154" s="35"/>
      <c r="H154" s="35"/>
      <c r="J154" s="36" t="s">
        <v>1</v>
      </c>
      <c r="K154" s="37">
        <v>35000</v>
      </c>
      <c r="L154" s="38"/>
      <c r="N154" s="71"/>
      <c r="O154" s="72" t="s">
        <v>45</v>
      </c>
      <c r="P154" s="72">
        <v>29</v>
      </c>
      <c r="Q154" s="72">
        <v>2</v>
      </c>
      <c r="R154" s="72">
        <f>15-Q154</f>
        <v>13</v>
      </c>
      <c r="S154" s="73"/>
      <c r="T154" s="72" t="s">
        <v>45</v>
      </c>
      <c r="U154" s="74"/>
      <c r="V154" s="74"/>
      <c r="W154" s="74">
        <f>V154+U154</f>
        <v>0</v>
      </c>
      <c r="X154" s="74"/>
      <c r="Y154" s="74">
        <f>W154-X154</f>
        <v>0</v>
      </c>
      <c r="Z154" s="70"/>
    </row>
    <row r="155" spans="1:27" s="29" customFormat="1" ht="21" customHeight="1" x14ac:dyDescent="0.2">
      <c r="A155" s="30"/>
      <c r="B155" s="29" t="s">
        <v>0</v>
      </c>
      <c r="C155" s="40" t="s">
        <v>77</v>
      </c>
      <c r="H155" s="41"/>
      <c r="I155" s="35"/>
      <c r="L155" s="42"/>
      <c r="M155" s="28"/>
      <c r="N155" s="75"/>
      <c r="O155" s="72" t="s">
        <v>71</v>
      </c>
      <c r="P155" s="72">
        <v>28</v>
      </c>
      <c r="Q155" s="72">
        <v>0</v>
      </c>
      <c r="R155" s="72">
        <f t="shared" ref="R155:R165" si="28">IF(Q155="","",R154-Q155)</f>
        <v>13</v>
      </c>
      <c r="S155" s="63"/>
      <c r="T155" s="72" t="s">
        <v>71</v>
      </c>
      <c r="U155" s="105">
        <f t="shared" ref="U155:U160" si="29">Y154</f>
        <v>0</v>
      </c>
      <c r="V155" s="74"/>
      <c r="W155" s="105">
        <f>IF(U155="","",U155+V155)</f>
        <v>0</v>
      </c>
      <c r="X155" s="74"/>
      <c r="Y155" s="105">
        <f>IF(W155="","",W155-X155)</f>
        <v>0</v>
      </c>
      <c r="Z155" s="76"/>
      <c r="AA155" s="28"/>
    </row>
    <row r="156" spans="1:27" s="29" customFormat="1" ht="21" customHeight="1" x14ac:dyDescent="0.2">
      <c r="A156" s="30"/>
      <c r="B156" s="44" t="s">
        <v>41</v>
      </c>
      <c r="C156" s="45"/>
      <c r="F156" s="391" t="s">
        <v>43</v>
      </c>
      <c r="G156" s="391"/>
      <c r="I156" s="391" t="s">
        <v>44</v>
      </c>
      <c r="J156" s="391"/>
      <c r="K156" s="391"/>
      <c r="L156" s="46"/>
      <c r="N156" s="71"/>
      <c r="O156" s="72" t="s">
        <v>46</v>
      </c>
      <c r="P156" s="72">
        <v>31</v>
      </c>
      <c r="Q156" s="72">
        <v>0</v>
      </c>
      <c r="R156" s="72">
        <f t="shared" si="28"/>
        <v>13</v>
      </c>
      <c r="S156" s="63"/>
      <c r="T156" s="72" t="s">
        <v>46</v>
      </c>
      <c r="U156" s="105">
        <f t="shared" si="29"/>
        <v>0</v>
      </c>
      <c r="V156" s="74"/>
      <c r="W156" s="105">
        <f t="shared" ref="W156:W165" si="30">IF(U156="","",U156+V156)</f>
        <v>0</v>
      </c>
      <c r="X156" s="74"/>
      <c r="Y156" s="105">
        <f t="shared" ref="Y156:Y165" si="31">IF(W156="","",W156-X156)</f>
        <v>0</v>
      </c>
      <c r="Z156" s="76"/>
    </row>
    <row r="157" spans="1:27" s="29" customFormat="1" ht="21" customHeight="1" x14ac:dyDescent="0.2">
      <c r="A157" s="30"/>
      <c r="H157" s="47"/>
      <c r="L157" s="34"/>
      <c r="N157" s="71"/>
      <c r="O157" s="72" t="s">
        <v>47</v>
      </c>
      <c r="P157" s="72">
        <v>30</v>
      </c>
      <c r="Q157" s="72">
        <v>0</v>
      </c>
      <c r="R157" s="72">
        <f t="shared" si="28"/>
        <v>13</v>
      </c>
      <c r="S157" s="63"/>
      <c r="T157" s="72" t="s">
        <v>47</v>
      </c>
      <c r="U157" s="105">
        <f t="shared" si="29"/>
        <v>0</v>
      </c>
      <c r="V157" s="74"/>
      <c r="W157" s="105">
        <f t="shared" si="30"/>
        <v>0</v>
      </c>
      <c r="X157" s="74"/>
      <c r="Y157" s="105">
        <f t="shared" si="31"/>
        <v>0</v>
      </c>
      <c r="Z157" s="76"/>
    </row>
    <row r="158" spans="1:27" s="29" customFormat="1" ht="21" customHeight="1" x14ac:dyDescent="0.2">
      <c r="A158" s="30"/>
      <c r="B158" s="389" t="s">
        <v>42</v>
      </c>
      <c r="C158" s="390"/>
      <c r="F158" s="48" t="s">
        <v>64</v>
      </c>
      <c r="G158" s="43">
        <f>IF($J$1="January",U154,IF($J$1="February",U155,IF($J$1="March",U156,IF($J$1="April",U157,IF($J$1="May",U158,IF($J$1="June",U159,IF($J$1="July",U160,IF($J$1="August",U161,IF($J$1="August",U161,IF($J$1="September",U162,IF($J$1="October",U163,IF($J$1="November",U164,IF($J$1="December",U165)))))))))))))</f>
        <v>0</v>
      </c>
      <c r="H158" s="47"/>
      <c r="I158" s="49">
        <f>IF(C162&gt;0,$K$2,C160)</f>
        <v>30</v>
      </c>
      <c r="J158" s="50" t="s">
        <v>61</v>
      </c>
      <c r="K158" s="51">
        <f>K154/$K$2*I158</f>
        <v>35000</v>
      </c>
      <c r="L158" s="52"/>
      <c r="N158" s="71"/>
      <c r="O158" s="72" t="s">
        <v>48</v>
      </c>
      <c r="P158" s="72">
        <v>31</v>
      </c>
      <c r="Q158" s="72">
        <v>0</v>
      </c>
      <c r="R158" s="72">
        <f t="shared" si="28"/>
        <v>13</v>
      </c>
      <c r="S158" s="63"/>
      <c r="T158" s="72" t="s">
        <v>48</v>
      </c>
      <c r="U158" s="105">
        <f t="shared" si="29"/>
        <v>0</v>
      </c>
      <c r="V158" s="74"/>
      <c r="W158" s="105">
        <f t="shared" si="30"/>
        <v>0</v>
      </c>
      <c r="X158" s="74"/>
      <c r="Y158" s="105">
        <f t="shared" si="31"/>
        <v>0</v>
      </c>
      <c r="Z158" s="76"/>
    </row>
    <row r="159" spans="1:27" s="29" customFormat="1" ht="21" customHeight="1" x14ac:dyDescent="0.2">
      <c r="A159" s="30"/>
      <c r="B159" s="39"/>
      <c r="C159" s="39"/>
      <c r="F159" s="48" t="s">
        <v>20</v>
      </c>
      <c r="G159" s="43">
        <f>IF($J$1="January",V154,IF($J$1="February",V155,IF($J$1="March",V156,IF($J$1="April",V157,IF($J$1="May",V158,IF($J$1="June",V159,IF($J$1="July",V160,IF($J$1="August",V161,IF($J$1="August",V161,IF($J$1="September",V162,IF($J$1="October",V163,IF($J$1="November",V164,IF($J$1="December",V165)))))))))))))</f>
        <v>0</v>
      </c>
      <c r="H159" s="47"/>
      <c r="I159" s="103">
        <v>64</v>
      </c>
      <c r="J159" s="50" t="s">
        <v>62</v>
      </c>
      <c r="K159" s="53">
        <f>K154/$K$2/8*I159</f>
        <v>9333.3333333333339</v>
      </c>
      <c r="L159" s="54"/>
      <c r="N159" s="71"/>
      <c r="O159" s="72" t="s">
        <v>49</v>
      </c>
      <c r="P159" s="72">
        <v>30</v>
      </c>
      <c r="Q159" s="72">
        <v>0</v>
      </c>
      <c r="R159" s="72">
        <f t="shared" si="28"/>
        <v>13</v>
      </c>
      <c r="S159" s="63"/>
      <c r="T159" s="72" t="s">
        <v>49</v>
      </c>
      <c r="U159" s="105">
        <f t="shared" si="29"/>
        <v>0</v>
      </c>
      <c r="V159" s="74"/>
      <c r="W159" s="105">
        <f t="shared" si="30"/>
        <v>0</v>
      </c>
      <c r="X159" s="74"/>
      <c r="Y159" s="105">
        <f t="shared" si="31"/>
        <v>0</v>
      </c>
      <c r="Z159" s="76"/>
    </row>
    <row r="160" spans="1:27" s="29" customFormat="1" ht="21" customHeight="1" x14ac:dyDescent="0.2">
      <c r="A160" s="30"/>
      <c r="B160" s="48" t="s">
        <v>7</v>
      </c>
      <c r="C160" s="39">
        <f>IF($J$1="January",P154,IF($J$1="February",P155,IF($J$1="March",P156,IF($J$1="April",P157,IF($J$1="May",P158,IF($J$1="June",P159,IF($J$1="July",P160,IF($J$1="August",P161,IF($J$1="August",P161,IF($J$1="September",P162,IF($J$1="October",P163,IF($J$1="November",P164,IF($J$1="December",P165)))))))))))))</f>
        <v>30</v>
      </c>
      <c r="F160" s="48" t="s">
        <v>65</v>
      </c>
      <c r="G160" s="43">
        <f>IF($J$1="January",W154,IF($J$1="February",W155,IF($J$1="March",W156,IF($J$1="April",W157,IF($J$1="May",W158,IF($J$1="June",W159,IF($J$1="July",W160,IF($J$1="August",W161,IF($J$1="August",W161,IF($J$1="September",W162,IF($J$1="October",W163,IF($J$1="November",W164,IF($J$1="December",W165)))))))))))))</f>
        <v>0</v>
      </c>
      <c r="H160" s="47"/>
      <c r="I160" s="392" t="s">
        <v>69</v>
      </c>
      <c r="J160" s="393"/>
      <c r="K160" s="53">
        <f>K158+K159</f>
        <v>44333.333333333336</v>
      </c>
      <c r="L160" s="54"/>
      <c r="N160" s="71"/>
      <c r="O160" s="72" t="s">
        <v>50</v>
      </c>
      <c r="P160" s="72"/>
      <c r="Q160" s="72"/>
      <c r="R160" s="72" t="str">
        <f t="shared" si="28"/>
        <v/>
      </c>
      <c r="S160" s="63"/>
      <c r="T160" s="72" t="s">
        <v>50</v>
      </c>
      <c r="U160" s="105">
        <f t="shared" si="29"/>
        <v>0</v>
      </c>
      <c r="V160" s="74"/>
      <c r="W160" s="105">
        <f t="shared" si="30"/>
        <v>0</v>
      </c>
      <c r="X160" s="74"/>
      <c r="Y160" s="105">
        <f t="shared" si="31"/>
        <v>0</v>
      </c>
      <c r="Z160" s="76"/>
    </row>
    <row r="161" spans="1:27" s="29" customFormat="1" ht="21" customHeight="1" x14ac:dyDescent="0.2">
      <c r="A161" s="30"/>
      <c r="B161" s="48" t="s">
        <v>6</v>
      </c>
      <c r="C161" s="39">
        <f>IF($J$1="January",Q154,IF($J$1="February",Q155,IF($J$1="March",Q156,IF($J$1="April",Q157,IF($J$1="May",Q158,IF($J$1="June",Q159,IF($J$1="July",Q160,IF($J$1="August",Q161,IF($J$1="August",Q161,IF($J$1="September",Q162,IF($J$1="October",Q163,IF($J$1="November",Q164,IF($J$1="December",Q165)))))))))))))</f>
        <v>0</v>
      </c>
      <c r="F161" s="48" t="s">
        <v>21</v>
      </c>
      <c r="G161" s="43">
        <f>IF($J$1="January",X154,IF($J$1="February",X155,IF($J$1="March",X156,IF($J$1="April",X157,IF($J$1="May",X158,IF($J$1="June",X159,IF($J$1="July",X160,IF($J$1="August",X161,IF($J$1="August",X161,IF($J$1="September",X162,IF($J$1="October",X163,IF($J$1="November",X164,IF($J$1="December",X165)))))))))))))</f>
        <v>0</v>
      </c>
      <c r="H161" s="47"/>
      <c r="I161" s="392" t="s">
        <v>70</v>
      </c>
      <c r="J161" s="393"/>
      <c r="K161" s="43">
        <f>G161</f>
        <v>0</v>
      </c>
      <c r="L161" s="55"/>
      <c r="N161" s="71"/>
      <c r="O161" s="72" t="s">
        <v>51</v>
      </c>
      <c r="P161" s="72"/>
      <c r="Q161" s="72"/>
      <c r="R161" s="72" t="str">
        <f t="shared" si="28"/>
        <v/>
      </c>
      <c r="S161" s="63"/>
      <c r="T161" s="72" t="s">
        <v>51</v>
      </c>
      <c r="U161" s="105">
        <f>Y160</f>
        <v>0</v>
      </c>
      <c r="V161" s="74"/>
      <c r="W161" s="105">
        <f t="shared" si="30"/>
        <v>0</v>
      </c>
      <c r="X161" s="74"/>
      <c r="Y161" s="105">
        <f t="shared" si="31"/>
        <v>0</v>
      </c>
      <c r="Z161" s="76"/>
    </row>
    <row r="162" spans="1:27" s="29" customFormat="1" ht="21" customHeight="1" x14ac:dyDescent="0.2">
      <c r="A162" s="30"/>
      <c r="B162" s="56" t="s">
        <v>68</v>
      </c>
      <c r="C162" s="39">
        <f>IF($J$1="January",R154,IF($J$1="February",R155,IF($J$1="March",R156,IF($J$1="April",R157,IF($J$1="May",R158,IF($J$1="June",R159,IF($J$1="July",R160,IF($J$1="August",R161,IF($J$1="August",R161,IF($J$1="September",R162,IF($J$1="October",R163,IF($J$1="November",R164,IF($J$1="December",R165)))))))))))))</f>
        <v>13</v>
      </c>
      <c r="F162" s="48" t="s">
        <v>67</v>
      </c>
      <c r="G162" s="43">
        <f>IF($J$1="January",Y154,IF($J$1="February",Y155,IF($J$1="March",Y156,IF($J$1="April",Y157,IF($J$1="May",Y158,IF($J$1="June",Y159,IF($J$1="July",Y160,IF($J$1="August",Y161,IF($J$1="August",Y161,IF($J$1="September",Y162,IF($J$1="October",Y163,IF($J$1="November",Y164,IF($J$1="December",Y165)))))))))))))</f>
        <v>0</v>
      </c>
      <c r="I162" s="387" t="s">
        <v>63</v>
      </c>
      <c r="J162" s="388"/>
      <c r="K162" s="57">
        <f>K160-K161</f>
        <v>44333.333333333336</v>
      </c>
      <c r="L162" s="58"/>
      <c r="N162" s="71"/>
      <c r="O162" s="72" t="s">
        <v>56</v>
      </c>
      <c r="P162" s="72"/>
      <c r="Q162" s="72"/>
      <c r="R162" s="72" t="str">
        <f t="shared" si="28"/>
        <v/>
      </c>
      <c r="S162" s="63"/>
      <c r="T162" s="72" t="s">
        <v>56</v>
      </c>
      <c r="U162" s="105">
        <f>Y161</f>
        <v>0</v>
      </c>
      <c r="V162" s="74"/>
      <c r="W162" s="105">
        <f t="shared" si="30"/>
        <v>0</v>
      </c>
      <c r="X162" s="74"/>
      <c r="Y162" s="105">
        <f t="shared" si="31"/>
        <v>0</v>
      </c>
      <c r="Z162" s="76"/>
    </row>
    <row r="163" spans="1:27" s="29" customFormat="1" ht="21" customHeight="1" x14ac:dyDescent="0.2">
      <c r="A163" s="30"/>
      <c r="K163" s="107"/>
      <c r="L163" s="46"/>
      <c r="N163" s="71"/>
      <c r="O163" s="72" t="s">
        <v>52</v>
      </c>
      <c r="P163" s="72"/>
      <c r="Q163" s="72"/>
      <c r="R163" s="72" t="str">
        <f t="shared" si="28"/>
        <v/>
      </c>
      <c r="S163" s="63"/>
      <c r="T163" s="72" t="s">
        <v>52</v>
      </c>
      <c r="U163" s="105">
        <f>Y162</f>
        <v>0</v>
      </c>
      <c r="V163" s="74"/>
      <c r="W163" s="105">
        <f t="shared" si="30"/>
        <v>0</v>
      </c>
      <c r="X163" s="74"/>
      <c r="Y163" s="105">
        <f t="shared" si="31"/>
        <v>0</v>
      </c>
      <c r="Z163" s="76"/>
    </row>
    <row r="164" spans="1:27" s="29" customFormat="1" ht="21" customHeight="1" x14ac:dyDescent="0.2">
      <c r="A164" s="30"/>
      <c r="B164" s="394" t="s">
        <v>85</v>
      </c>
      <c r="C164" s="394"/>
      <c r="D164" s="394"/>
      <c r="E164" s="394"/>
      <c r="F164" s="394"/>
      <c r="G164" s="394"/>
      <c r="H164" s="394"/>
      <c r="I164" s="394"/>
      <c r="J164" s="394"/>
      <c r="K164" s="394"/>
      <c r="L164" s="46"/>
      <c r="N164" s="71"/>
      <c r="O164" s="72" t="s">
        <v>57</v>
      </c>
      <c r="P164" s="72"/>
      <c r="Q164" s="72"/>
      <c r="R164" s="72" t="str">
        <f t="shared" si="28"/>
        <v/>
      </c>
      <c r="S164" s="63"/>
      <c r="T164" s="72" t="s">
        <v>57</v>
      </c>
      <c r="U164" s="105">
        <f>Y163</f>
        <v>0</v>
      </c>
      <c r="V164" s="74"/>
      <c r="W164" s="105">
        <f t="shared" si="30"/>
        <v>0</v>
      </c>
      <c r="X164" s="74"/>
      <c r="Y164" s="105">
        <f t="shared" si="31"/>
        <v>0</v>
      </c>
      <c r="Z164" s="76"/>
    </row>
    <row r="165" spans="1:27" s="29" customFormat="1" ht="21" customHeight="1" x14ac:dyDescent="0.2">
      <c r="A165" s="30"/>
      <c r="B165" s="394"/>
      <c r="C165" s="394"/>
      <c r="D165" s="394"/>
      <c r="E165" s="394"/>
      <c r="F165" s="394"/>
      <c r="G165" s="394"/>
      <c r="H165" s="394"/>
      <c r="I165" s="394"/>
      <c r="J165" s="394"/>
      <c r="K165" s="394"/>
      <c r="L165" s="46"/>
      <c r="N165" s="71"/>
      <c r="O165" s="72" t="s">
        <v>58</v>
      </c>
      <c r="P165" s="72"/>
      <c r="Q165" s="72"/>
      <c r="R165" s="72" t="str">
        <f t="shared" si="28"/>
        <v/>
      </c>
      <c r="S165" s="63"/>
      <c r="T165" s="72" t="s">
        <v>58</v>
      </c>
      <c r="U165" s="105">
        <f>Y164</f>
        <v>0</v>
      </c>
      <c r="V165" s="74"/>
      <c r="W165" s="105">
        <f t="shared" si="30"/>
        <v>0</v>
      </c>
      <c r="X165" s="74"/>
      <c r="Y165" s="105">
        <f t="shared" si="31"/>
        <v>0</v>
      </c>
      <c r="Z165" s="76"/>
    </row>
    <row r="166" spans="1:27" s="29" customFormat="1" ht="21" customHeight="1" thickBot="1" x14ac:dyDescent="0.25">
      <c r="A166" s="59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1"/>
      <c r="N166" s="77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9"/>
    </row>
    <row r="167" spans="1:27" ht="15.75" thickBot="1" x14ac:dyDescent="0.3"/>
    <row r="168" spans="1:27" s="29" customFormat="1" ht="21" customHeight="1" x14ac:dyDescent="0.2">
      <c r="A168" s="413" t="s">
        <v>40</v>
      </c>
      <c r="B168" s="414"/>
      <c r="C168" s="414"/>
      <c r="D168" s="414"/>
      <c r="E168" s="414"/>
      <c r="F168" s="414"/>
      <c r="G168" s="414"/>
      <c r="H168" s="414"/>
      <c r="I168" s="414"/>
      <c r="J168" s="414"/>
      <c r="K168" s="414"/>
      <c r="L168" s="415"/>
      <c r="M168" s="28"/>
      <c r="N168" s="64"/>
      <c r="O168" s="403" t="s">
        <v>42</v>
      </c>
      <c r="P168" s="404"/>
      <c r="Q168" s="404"/>
      <c r="R168" s="405"/>
      <c r="S168" s="65"/>
      <c r="T168" s="403" t="s">
        <v>43</v>
      </c>
      <c r="U168" s="404"/>
      <c r="V168" s="404"/>
      <c r="W168" s="404"/>
      <c r="X168" s="404"/>
      <c r="Y168" s="405"/>
      <c r="Z168" s="66"/>
      <c r="AA168" s="28"/>
    </row>
    <row r="169" spans="1:27" s="29" customFormat="1" ht="21" customHeight="1" x14ac:dyDescent="0.2">
      <c r="A169" s="30"/>
      <c r="C169" s="402" t="s">
        <v>83</v>
      </c>
      <c r="D169" s="402"/>
      <c r="E169" s="402"/>
      <c r="F169" s="402"/>
      <c r="G169" s="31" t="str">
        <f>$J$1</f>
        <v>June</v>
      </c>
      <c r="H169" s="409">
        <f>$K$1</f>
        <v>2023</v>
      </c>
      <c r="I169" s="409"/>
      <c r="K169" s="32"/>
      <c r="L169" s="33"/>
      <c r="M169" s="32"/>
      <c r="N169" s="67"/>
      <c r="O169" s="68" t="s">
        <v>53</v>
      </c>
      <c r="P169" s="68" t="s">
        <v>7</v>
      </c>
      <c r="Q169" s="68" t="s">
        <v>6</v>
      </c>
      <c r="R169" s="68" t="s">
        <v>54</v>
      </c>
      <c r="S169" s="69"/>
      <c r="T169" s="68" t="s">
        <v>53</v>
      </c>
      <c r="U169" s="68" t="s">
        <v>55</v>
      </c>
      <c r="V169" s="68" t="s">
        <v>20</v>
      </c>
      <c r="W169" s="68" t="s">
        <v>19</v>
      </c>
      <c r="X169" s="68" t="s">
        <v>21</v>
      </c>
      <c r="Y169" s="68" t="s">
        <v>59</v>
      </c>
      <c r="Z169" s="70"/>
      <c r="AA169" s="32"/>
    </row>
    <row r="170" spans="1:27" s="29" customFormat="1" ht="21" customHeight="1" x14ac:dyDescent="0.2">
      <c r="A170" s="30"/>
      <c r="D170" s="35"/>
      <c r="E170" s="35"/>
      <c r="F170" s="35"/>
      <c r="G170" s="35"/>
      <c r="H170" s="35"/>
      <c r="J170" s="36" t="s">
        <v>1</v>
      </c>
      <c r="K170" s="37">
        <v>30000</v>
      </c>
      <c r="L170" s="38"/>
      <c r="N170" s="71"/>
      <c r="O170" s="72" t="s">
        <v>45</v>
      </c>
      <c r="P170" s="72">
        <v>31</v>
      </c>
      <c r="Q170" s="72">
        <v>0</v>
      </c>
      <c r="R170" s="72">
        <f>15-Q170+8</f>
        <v>23</v>
      </c>
      <c r="S170" s="73"/>
      <c r="T170" s="72" t="s">
        <v>45</v>
      </c>
      <c r="U170" s="74">
        <v>68167</v>
      </c>
      <c r="V170" s="74">
        <v>700</v>
      </c>
      <c r="W170" s="74">
        <f>V170+U170</f>
        <v>68867</v>
      </c>
      <c r="X170" s="74">
        <v>5000</v>
      </c>
      <c r="Y170" s="74">
        <f>W170-X170</f>
        <v>63867</v>
      </c>
      <c r="Z170" s="70"/>
    </row>
    <row r="171" spans="1:27" s="29" customFormat="1" ht="21" customHeight="1" x14ac:dyDescent="0.2">
      <c r="A171" s="30"/>
      <c r="B171" s="29" t="s">
        <v>0</v>
      </c>
      <c r="C171" s="40" t="s">
        <v>23</v>
      </c>
      <c r="H171" s="41"/>
      <c r="I171" s="35"/>
      <c r="L171" s="42"/>
      <c r="M171" s="28"/>
      <c r="N171" s="75"/>
      <c r="O171" s="72" t="s">
        <v>71</v>
      </c>
      <c r="P171" s="72">
        <v>25</v>
      </c>
      <c r="Q171" s="72">
        <v>3</v>
      </c>
      <c r="R171" s="72">
        <f t="shared" ref="R171:R181" si="32">IF(Q171="","",R170-Q171)</f>
        <v>20</v>
      </c>
      <c r="S171" s="63"/>
      <c r="T171" s="72" t="s">
        <v>71</v>
      </c>
      <c r="U171" s="105">
        <f>Y170</f>
        <v>63867</v>
      </c>
      <c r="V171" s="74">
        <v>3000</v>
      </c>
      <c r="W171" s="105">
        <f>IF(U171="","",U171+V171)</f>
        <v>66867</v>
      </c>
      <c r="X171" s="74">
        <v>7000</v>
      </c>
      <c r="Y171" s="105">
        <f>IF(W171="","",W171-X171)</f>
        <v>59867</v>
      </c>
      <c r="Z171" s="76"/>
      <c r="AA171" s="28"/>
    </row>
    <row r="172" spans="1:27" s="29" customFormat="1" ht="21" customHeight="1" x14ac:dyDescent="0.2">
      <c r="A172" s="30"/>
      <c r="B172" s="44" t="s">
        <v>41</v>
      </c>
      <c r="C172" s="45"/>
      <c r="F172" s="391" t="s">
        <v>43</v>
      </c>
      <c r="G172" s="391"/>
      <c r="I172" s="391" t="s">
        <v>44</v>
      </c>
      <c r="J172" s="391"/>
      <c r="K172" s="391"/>
      <c r="L172" s="46"/>
      <c r="N172" s="71"/>
      <c r="O172" s="72" t="s">
        <v>46</v>
      </c>
      <c r="P172" s="72">
        <v>28</v>
      </c>
      <c r="Q172" s="72">
        <v>3</v>
      </c>
      <c r="R172" s="72">
        <f t="shared" si="32"/>
        <v>17</v>
      </c>
      <c r="S172" s="63"/>
      <c r="T172" s="72" t="s">
        <v>46</v>
      </c>
      <c r="U172" s="105">
        <f>Y171</f>
        <v>59867</v>
      </c>
      <c r="V172" s="74">
        <v>10000</v>
      </c>
      <c r="W172" s="105">
        <f t="shared" ref="W172:W181" si="33">IF(U172="","",U172+V172)</f>
        <v>69867</v>
      </c>
      <c r="X172" s="74"/>
      <c r="Y172" s="105">
        <f t="shared" ref="Y172:Y181" si="34">IF(W172="","",W172-X172)</f>
        <v>69867</v>
      </c>
      <c r="Z172" s="76"/>
    </row>
    <row r="173" spans="1:27" s="29" customFormat="1" ht="21" customHeight="1" x14ac:dyDescent="0.2">
      <c r="A173" s="30"/>
      <c r="H173" s="47"/>
      <c r="L173" s="34"/>
      <c r="N173" s="71"/>
      <c r="O173" s="72" t="s">
        <v>47</v>
      </c>
      <c r="P173" s="72">
        <v>29</v>
      </c>
      <c r="Q173" s="72">
        <v>1</v>
      </c>
      <c r="R173" s="72">
        <f t="shared" si="32"/>
        <v>16</v>
      </c>
      <c r="S173" s="63"/>
      <c r="T173" s="72" t="s">
        <v>47</v>
      </c>
      <c r="U173" s="105">
        <f>Y172</f>
        <v>69867</v>
      </c>
      <c r="V173" s="74"/>
      <c r="W173" s="105">
        <f t="shared" si="33"/>
        <v>69867</v>
      </c>
      <c r="X173" s="74"/>
      <c r="Y173" s="105">
        <f t="shared" si="34"/>
        <v>69867</v>
      </c>
      <c r="Z173" s="76"/>
    </row>
    <row r="174" spans="1:27" s="29" customFormat="1" ht="21" customHeight="1" x14ac:dyDescent="0.2">
      <c r="A174" s="30"/>
      <c r="B174" s="389" t="s">
        <v>42</v>
      </c>
      <c r="C174" s="390"/>
      <c r="F174" s="48" t="s">
        <v>64</v>
      </c>
      <c r="G174" s="109">
        <f>IF($J$1="January",U170,IF($J$1="February",U171,IF($J$1="March",U172,IF($J$1="April",U173,IF($J$1="May",U174,IF($J$1="June",U175,IF($J$1="July",U176,IF($J$1="August",U177,IF($J$1="August",U177,IF($J$1="September",U178,IF($J$1="October",U179,IF($J$1="November",U180,IF($J$1="December",U181)))))))))))))</f>
        <v>62867</v>
      </c>
      <c r="H174" s="47"/>
      <c r="I174" s="49">
        <f>IF(C178&gt;0,$K$2,C176)</f>
        <v>30</v>
      </c>
      <c r="J174" s="50" t="s">
        <v>61</v>
      </c>
      <c r="K174" s="51">
        <f>K170/$K$2*I174</f>
        <v>30000</v>
      </c>
      <c r="L174" s="52"/>
      <c r="N174" s="71"/>
      <c r="O174" s="72" t="s">
        <v>48</v>
      </c>
      <c r="P174" s="72">
        <v>31</v>
      </c>
      <c r="Q174" s="72">
        <v>0</v>
      </c>
      <c r="R174" s="72">
        <f t="shared" si="32"/>
        <v>16</v>
      </c>
      <c r="S174" s="63"/>
      <c r="T174" s="72" t="s">
        <v>48</v>
      </c>
      <c r="U174" s="105">
        <f>Y173</f>
        <v>69867</v>
      </c>
      <c r="V174" s="74">
        <v>1000</v>
      </c>
      <c r="W174" s="105">
        <f t="shared" si="33"/>
        <v>70867</v>
      </c>
      <c r="X174" s="74">
        <v>8000</v>
      </c>
      <c r="Y174" s="105">
        <f t="shared" si="34"/>
        <v>62867</v>
      </c>
      <c r="Z174" s="76"/>
    </row>
    <row r="175" spans="1:27" s="29" customFormat="1" ht="21" customHeight="1" x14ac:dyDescent="0.2">
      <c r="A175" s="30"/>
      <c r="B175" s="39"/>
      <c r="C175" s="39"/>
      <c r="F175" s="48" t="s">
        <v>20</v>
      </c>
      <c r="G175" s="109">
        <f>IF($J$1="January",V170,IF($J$1="February",V171,IF($J$1="March",V172,IF($J$1="April",V173,IF($J$1="May",V174,IF($J$1="June",V175,IF($J$1="July",V176,IF($J$1="August",V177,IF($J$1="August",V177,IF($J$1="September",V178,IF($J$1="October",V179,IF($J$1="November",V180,IF($J$1="December",V181)))))))))))))</f>
        <v>10000</v>
      </c>
      <c r="H175" s="47"/>
      <c r="I175" s="84">
        <v>65</v>
      </c>
      <c r="J175" s="50" t="s">
        <v>62</v>
      </c>
      <c r="K175" s="53">
        <f>K170/$K$2/8*I175</f>
        <v>8125</v>
      </c>
      <c r="L175" s="54"/>
      <c r="N175" s="71"/>
      <c r="O175" s="72" t="s">
        <v>49</v>
      </c>
      <c r="P175" s="72"/>
      <c r="Q175" s="72"/>
      <c r="R175" s="72" t="str">
        <f t="shared" si="32"/>
        <v/>
      </c>
      <c r="S175" s="63"/>
      <c r="T175" s="72" t="s">
        <v>49</v>
      </c>
      <c r="U175" s="105">
        <f>Y174</f>
        <v>62867</v>
      </c>
      <c r="V175" s="74">
        <v>10000</v>
      </c>
      <c r="W175" s="105">
        <f t="shared" si="33"/>
        <v>72867</v>
      </c>
      <c r="X175" s="74">
        <v>10000</v>
      </c>
      <c r="Y175" s="105">
        <f t="shared" si="34"/>
        <v>62867</v>
      </c>
      <c r="Z175" s="76"/>
    </row>
    <row r="176" spans="1:27" s="29" customFormat="1" ht="21" customHeight="1" x14ac:dyDescent="0.2">
      <c r="A176" s="30"/>
      <c r="B176" s="48" t="s">
        <v>7</v>
      </c>
      <c r="C176" s="39">
        <f>IF($J$1="January",P170,IF($J$1="February",P171,IF($J$1="March",P172,IF($J$1="April",P173,IF($J$1="May",P174,IF($J$1="June",P175,IF($J$1="July",P176,IF($J$1="August",P177,IF($J$1="August",P177,IF($J$1="September",P178,IF($J$1="October",P179,IF($J$1="November",P180,IF($J$1="December",P181)))))))))))))</f>
        <v>0</v>
      </c>
      <c r="F176" s="48" t="s">
        <v>65</v>
      </c>
      <c r="G176" s="109">
        <f>IF($J$1="January",W170,IF($J$1="February",W171,IF($J$1="March",W172,IF($J$1="April",W173,IF($J$1="May",W174,IF($J$1="June",W175,IF($J$1="July",W176,IF($J$1="August",W177,IF($J$1="August",W177,IF($J$1="September",W178,IF($J$1="October",W179,IF($J$1="November",W180,IF($J$1="December",W181)))))))))))))</f>
        <v>72867</v>
      </c>
      <c r="H176" s="47"/>
      <c r="I176" s="392" t="s">
        <v>69</v>
      </c>
      <c r="J176" s="393"/>
      <c r="K176" s="53">
        <f>K174+K175</f>
        <v>38125</v>
      </c>
      <c r="L176" s="54"/>
      <c r="N176" s="71"/>
      <c r="O176" s="72" t="s">
        <v>50</v>
      </c>
      <c r="P176" s="72"/>
      <c r="Q176" s="72"/>
      <c r="R176" s="72" t="str">
        <f t="shared" si="32"/>
        <v/>
      </c>
      <c r="S176" s="63"/>
      <c r="T176" s="72" t="s">
        <v>50</v>
      </c>
      <c r="U176" s="105"/>
      <c r="V176" s="74"/>
      <c r="W176" s="105" t="str">
        <f t="shared" si="33"/>
        <v/>
      </c>
      <c r="X176" s="74"/>
      <c r="Y176" s="105" t="str">
        <f t="shared" si="34"/>
        <v/>
      </c>
      <c r="Z176" s="76"/>
    </row>
    <row r="177" spans="1:27" s="29" customFormat="1" ht="21" customHeight="1" x14ac:dyDescent="0.2">
      <c r="A177" s="30"/>
      <c r="B177" s="48" t="s">
        <v>6</v>
      </c>
      <c r="C177" s="39">
        <f>IF($J$1="January",Q170,IF($J$1="February",Q171,IF($J$1="March",Q172,IF($J$1="April",Q173,IF($J$1="May",Q174,IF($J$1="June",Q175,IF($J$1="July",Q176,IF($J$1="August",Q177,IF($J$1="August",Q177,IF($J$1="September",Q178,IF($J$1="October",Q179,IF($J$1="November",Q180,IF($J$1="December",Q181)))))))))))))</f>
        <v>0</v>
      </c>
      <c r="F177" s="48" t="s">
        <v>21</v>
      </c>
      <c r="G177" s="109">
        <f>IF($J$1="January",X170,IF($J$1="February",X171,IF($J$1="March",X172,IF($J$1="April",X173,IF($J$1="May",X174,IF($J$1="June",X175,IF($J$1="July",X176,IF($J$1="August",X177,IF($J$1="August",X177,IF($J$1="September",X178,IF($J$1="October",X179,IF($J$1="November",X180,IF($J$1="December",X181)))))))))))))</f>
        <v>10000</v>
      </c>
      <c r="H177" s="47"/>
      <c r="I177" s="392" t="s">
        <v>70</v>
      </c>
      <c r="J177" s="393"/>
      <c r="K177" s="43">
        <f>G177</f>
        <v>10000</v>
      </c>
      <c r="L177" s="55"/>
      <c r="N177" s="71"/>
      <c r="O177" s="72" t="s">
        <v>51</v>
      </c>
      <c r="P177" s="72"/>
      <c r="Q177" s="72"/>
      <c r="R177" s="72" t="str">
        <f t="shared" si="32"/>
        <v/>
      </c>
      <c r="S177" s="63"/>
      <c r="T177" s="72" t="s">
        <v>51</v>
      </c>
      <c r="U177" s="105" t="str">
        <f>Y176</f>
        <v/>
      </c>
      <c r="V177" s="74"/>
      <c r="W177" s="105" t="str">
        <f t="shared" si="33"/>
        <v/>
      </c>
      <c r="X177" s="74"/>
      <c r="Y177" s="105" t="str">
        <f t="shared" si="34"/>
        <v/>
      </c>
      <c r="Z177" s="76"/>
    </row>
    <row r="178" spans="1:27" s="29" customFormat="1" ht="21" customHeight="1" x14ac:dyDescent="0.2">
      <c r="A178" s="30"/>
      <c r="B178" s="56" t="s">
        <v>68</v>
      </c>
      <c r="C178" s="39" t="str">
        <f>IF($J$1="January",R170,IF($J$1="February",R171,IF($J$1="March",R172,IF($J$1="April",R173,IF($J$1="May",R174,IF($J$1="June",R175,IF($J$1="July",R176,IF($J$1="August",R177,IF($J$1="August",R177,IF($J$1="September",R178,IF($J$1="October",R179,IF($J$1="November",R180,IF($J$1="December",R181)))))))))))))</f>
        <v/>
      </c>
      <c r="F178" s="48" t="s">
        <v>67</v>
      </c>
      <c r="G178" s="109">
        <f>IF($J$1="January",Y170,IF($J$1="February",Y171,IF($J$1="March",Y172,IF($J$1="April",Y173,IF($J$1="May",Y174,IF($J$1="June",Y175,IF($J$1="July",Y176,IF($J$1="August",Y177,IF($J$1="August",Y177,IF($J$1="September",Y178,IF($J$1="October",Y179,IF($J$1="November",Y180,IF($J$1="December",Y181)))))))))))))</f>
        <v>62867</v>
      </c>
      <c r="I178" s="387" t="s">
        <v>63</v>
      </c>
      <c r="J178" s="388"/>
      <c r="K178" s="57">
        <f>K176-K177</f>
        <v>28125</v>
      </c>
      <c r="L178" s="58"/>
      <c r="N178" s="71"/>
      <c r="O178" s="72" t="s">
        <v>56</v>
      </c>
      <c r="P178" s="72"/>
      <c r="Q178" s="72"/>
      <c r="R178" s="72" t="str">
        <f t="shared" si="32"/>
        <v/>
      </c>
      <c r="S178" s="63"/>
      <c r="T178" s="72" t="s">
        <v>56</v>
      </c>
      <c r="U178" s="105" t="str">
        <f>Y177</f>
        <v/>
      </c>
      <c r="V178" s="74"/>
      <c r="W178" s="105" t="str">
        <f t="shared" si="33"/>
        <v/>
      </c>
      <c r="X178" s="74"/>
      <c r="Y178" s="105" t="str">
        <f t="shared" si="34"/>
        <v/>
      </c>
      <c r="Z178" s="76"/>
    </row>
    <row r="179" spans="1:27" s="29" customFormat="1" ht="21" customHeight="1" x14ac:dyDescent="0.2">
      <c r="A179" s="30"/>
      <c r="L179" s="46"/>
      <c r="N179" s="71"/>
      <c r="O179" s="72" t="s">
        <v>52</v>
      </c>
      <c r="P179" s="72"/>
      <c r="Q179" s="72"/>
      <c r="R179" s="72" t="str">
        <f t="shared" si="32"/>
        <v/>
      </c>
      <c r="S179" s="63"/>
      <c r="T179" s="72" t="s">
        <v>52</v>
      </c>
      <c r="U179" s="105" t="str">
        <f>Y178</f>
        <v/>
      </c>
      <c r="V179" s="74"/>
      <c r="W179" s="105" t="str">
        <f t="shared" si="33"/>
        <v/>
      </c>
      <c r="X179" s="74"/>
      <c r="Y179" s="105" t="str">
        <f t="shared" si="34"/>
        <v/>
      </c>
      <c r="Z179" s="76"/>
    </row>
    <row r="180" spans="1:27" s="29" customFormat="1" ht="21" customHeight="1" x14ac:dyDescent="0.2">
      <c r="A180" s="30"/>
      <c r="B180" s="394" t="s">
        <v>85</v>
      </c>
      <c r="C180" s="394"/>
      <c r="D180" s="394"/>
      <c r="E180" s="394"/>
      <c r="F180" s="394"/>
      <c r="G180" s="394"/>
      <c r="H180" s="394"/>
      <c r="I180" s="394"/>
      <c r="J180" s="394"/>
      <c r="K180" s="394"/>
      <c r="L180" s="46"/>
      <c r="N180" s="71"/>
      <c r="O180" s="72" t="s">
        <v>57</v>
      </c>
      <c r="P180" s="72"/>
      <c r="Q180" s="72"/>
      <c r="R180" s="72" t="str">
        <f t="shared" si="32"/>
        <v/>
      </c>
      <c r="S180" s="63"/>
      <c r="T180" s="72" t="s">
        <v>57</v>
      </c>
      <c r="U180" s="105" t="str">
        <f>Y179</f>
        <v/>
      </c>
      <c r="V180" s="74"/>
      <c r="W180" s="105" t="str">
        <f t="shared" si="33"/>
        <v/>
      </c>
      <c r="X180" s="74"/>
      <c r="Y180" s="105" t="str">
        <f t="shared" si="34"/>
        <v/>
      </c>
      <c r="Z180" s="76"/>
    </row>
    <row r="181" spans="1:27" s="29" customFormat="1" ht="21" customHeight="1" x14ac:dyDescent="0.2">
      <c r="A181" s="30"/>
      <c r="B181" s="394"/>
      <c r="C181" s="394"/>
      <c r="D181" s="394"/>
      <c r="E181" s="394"/>
      <c r="F181" s="394"/>
      <c r="G181" s="394"/>
      <c r="H181" s="394"/>
      <c r="I181" s="394"/>
      <c r="J181" s="394"/>
      <c r="K181" s="394"/>
      <c r="L181" s="46"/>
      <c r="N181" s="71"/>
      <c r="O181" s="72" t="s">
        <v>58</v>
      </c>
      <c r="P181" s="72"/>
      <c r="Q181" s="72"/>
      <c r="R181" s="72" t="str">
        <f t="shared" si="32"/>
        <v/>
      </c>
      <c r="S181" s="63"/>
      <c r="T181" s="72" t="s">
        <v>58</v>
      </c>
      <c r="U181" s="105" t="str">
        <f>Y180</f>
        <v/>
      </c>
      <c r="V181" s="74"/>
      <c r="W181" s="105" t="str">
        <f t="shared" si="33"/>
        <v/>
      </c>
      <c r="X181" s="74"/>
      <c r="Y181" s="105" t="str">
        <f t="shared" si="34"/>
        <v/>
      </c>
      <c r="Z181" s="76"/>
    </row>
    <row r="182" spans="1:27" s="29" customFormat="1" ht="21" customHeight="1" thickBot="1" x14ac:dyDescent="0.25">
      <c r="A182" s="59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1"/>
      <c r="N182" s="77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9"/>
    </row>
    <row r="183" spans="1:27" s="29" customFormat="1" ht="21" customHeight="1" thickBot="1" x14ac:dyDescent="0.25"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spans="1:27" s="29" customFormat="1" ht="21" customHeight="1" x14ac:dyDescent="0.2">
      <c r="A184" s="396" t="s">
        <v>40</v>
      </c>
      <c r="B184" s="397"/>
      <c r="C184" s="397"/>
      <c r="D184" s="397"/>
      <c r="E184" s="397"/>
      <c r="F184" s="397"/>
      <c r="G184" s="397"/>
      <c r="H184" s="397"/>
      <c r="I184" s="397"/>
      <c r="J184" s="397"/>
      <c r="K184" s="397"/>
      <c r="L184" s="398"/>
      <c r="M184" s="28"/>
      <c r="N184" s="64"/>
      <c r="O184" s="403" t="s">
        <v>42</v>
      </c>
      <c r="P184" s="404"/>
      <c r="Q184" s="404"/>
      <c r="R184" s="405"/>
      <c r="S184" s="65"/>
      <c r="T184" s="403" t="s">
        <v>43</v>
      </c>
      <c r="U184" s="404"/>
      <c r="V184" s="404"/>
      <c r="W184" s="404"/>
      <c r="X184" s="404"/>
      <c r="Y184" s="405"/>
      <c r="Z184" s="66"/>
      <c r="AA184" s="28"/>
    </row>
    <row r="185" spans="1:27" s="29" customFormat="1" ht="21" customHeight="1" x14ac:dyDescent="0.2">
      <c r="A185" s="30"/>
      <c r="C185" s="402" t="s">
        <v>83</v>
      </c>
      <c r="D185" s="402"/>
      <c r="E185" s="402"/>
      <c r="F185" s="402"/>
      <c r="G185" s="31" t="str">
        <f>$J$1</f>
        <v>June</v>
      </c>
      <c r="H185" s="409">
        <f>$K$1</f>
        <v>2023</v>
      </c>
      <c r="I185" s="409"/>
      <c r="K185" s="32"/>
      <c r="L185" s="33"/>
      <c r="M185" s="32"/>
      <c r="N185" s="67"/>
      <c r="O185" s="68" t="s">
        <v>53</v>
      </c>
      <c r="P185" s="68" t="s">
        <v>7</v>
      </c>
      <c r="Q185" s="68" t="s">
        <v>6</v>
      </c>
      <c r="R185" s="68" t="s">
        <v>54</v>
      </c>
      <c r="S185" s="69"/>
      <c r="T185" s="68" t="s">
        <v>53</v>
      </c>
      <c r="U185" s="68" t="s">
        <v>55</v>
      </c>
      <c r="V185" s="68" t="s">
        <v>20</v>
      </c>
      <c r="W185" s="68" t="s">
        <v>19</v>
      </c>
      <c r="X185" s="68" t="s">
        <v>21</v>
      </c>
      <c r="Y185" s="68" t="s">
        <v>59</v>
      </c>
      <c r="Z185" s="70"/>
      <c r="AA185" s="32"/>
    </row>
    <row r="186" spans="1:27" s="29" customFormat="1" ht="21" customHeight="1" x14ac:dyDescent="0.2">
      <c r="A186" s="30"/>
      <c r="D186" s="35"/>
      <c r="E186" s="35"/>
      <c r="F186" s="35"/>
      <c r="G186" s="35"/>
      <c r="H186" s="35"/>
      <c r="J186" s="36" t="s">
        <v>1</v>
      </c>
      <c r="K186" s="37">
        <v>60000</v>
      </c>
      <c r="L186" s="38"/>
      <c r="N186" s="71"/>
      <c r="O186" s="72" t="s">
        <v>45</v>
      </c>
      <c r="P186" s="72">
        <v>30</v>
      </c>
      <c r="Q186" s="72">
        <v>1</v>
      </c>
      <c r="R186" s="72">
        <f>15-Q186+27</f>
        <v>41</v>
      </c>
      <c r="S186" s="73"/>
      <c r="T186" s="72" t="s">
        <v>45</v>
      </c>
      <c r="U186" s="74">
        <v>108200</v>
      </c>
      <c r="V186" s="74"/>
      <c r="W186" s="74">
        <f>V186+U186</f>
        <v>108200</v>
      </c>
      <c r="X186" s="74">
        <v>5000</v>
      </c>
      <c r="Y186" s="74">
        <f>W186-X186</f>
        <v>103200</v>
      </c>
      <c r="Z186" s="70"/>
    </row>
    <row r="187" spans="1:27" s="29" customFormat="1" ht="21" customHeight="1" x14ac:dyDescent="0.2">
      <c r="A187" s="30"/>
      <c r="B187" s="29" t="s">
        <v>0</v>
      </c>
      <c r="C187" s="40" t="s">
        <v>73</v>
      </c>
      <c r="H187" s="41"/>
      <c r="I187" s="35"/>
      <c r="L187" s="42"/>
      <c r="M187" s="28"/>
      <c r="N187" s="75"/>
      <c r="O187" s="72" t="s">
        <v>71</v>
      </c>
      <c r="P187" s="72">
        <v>28</v>
      </c>
      <c r="Q187" s="72">
        <v>0</v>
      </c>
      <c r="R187" s="72">
        <f t="shared" ref="R187:R197" si="35">IF(Q187="","",R186-Q187)</f>
        <v>41</v>
      </c>
      <c r="S187" s="63"/>
      <c r="T187" s="72" t="s">
        <v>71</v>
      </c>
      <c r="U187" s="105">
        <f>Y186</f>
        <v>103200</v>
      </c>
      <c r="V187" s="74"/>
      <c r="W187" s="105">
        <f>IF(U187="","",U187+V187)</f>
        <v>103200</v>
      </c>
      <c r="X187" s="74">
        <v>5000</v>
      </c>
      <c r="Y187" s="105">
        <f>IF(W187="","",W187-X187)</f>
        <v>98200</v>
      </c>
      <c r="Z187" s="76"/>
      <c r="AA187" s="28"/>
    </row>
    <row r="188" spans="1:27" s="29" customFormat="1" ht="21" customHeight="1" x14ac:dyDescent="0.2">
      <c r="A188" s="30"/>
      <c r="B188" s="44" t="s">
        <v>41</v>
      </c>
      <c r="C188" s="45"/>
      <c r="F188" s="391" t="s">
        <v>43</v>
      </c>
      <c r="G188" s="391"/>
      <c r="I188" s="391" t="s">
        <v>44</v>
      </c>
      <c r="J188" s="391"/>
      <c r="K188" s="391"/>
      <c r="L188" s="46"/>
      <c r="N188" s="71"/>
      <c r="O188" s="72" t="s">
        <v>46</v>
      </c>
      <c r="P188" s="72">
        <v>29</v>
      </c>
      <c r="Q188" s="72">
        <v>2</v>
      </c>
      <c r="R188" s="72">
        <f t="shared" si="35"/>
        <v>39</v>
      </c>
      <c r="S188" s="63"/>
      <c r="T188" s="72" t="s">
        <v>46</v>
      </c>
      <c r="U188" s="105">
        <f>Y187</f>
        <v>98200</v>
      </c>
      <c r="V188" s="74"/>
      <c r="W188" s="105">
        <f t="shared" ref="W188:W197" si="36">IF(U188="","",U188+V188)</f>
        <v>98200</v>
      </c>
      <c r="X188" s="74">
        <v>5000</v>
      </c>
      <c r="Y188" s="105">
        <f t="shared" ref="Y188:Y197" si="37">IF(W188="","",W188-X188)</f>
        <v>93200</v>
      </c>
      <c r="Z188" s="76"/>
    </row>
    <row r="189" spans="1:27" s="29" customFormat="1" ht="21" customHeight="1" x14ac:dyDescent="0.2">
      <c r="A189" s="30"/>
      <c r="H189" s="47"/>
      <c r="L189" s="34"/>
      <c r="N189" s="71"/>
      <c r="O189" s="72" t="s">
        <v>47</v>
      </c>
      <c r="P189" s="72">
        <v>29</v>
      </c>
      <c r="Q189" s="72">
        <v>1</v>
      </c>
      <c r="R189" s="72">
        <f t="shared" si="35"/>
        <v>38</v>
      </c>
      <c r="S189" s="63"/>
      <c r="T189" s="72" t="s">
        <v>47</v>
      </c>
      <c r="U189" s="105">
        <f>Y188</f>
        <v>93200</v>
      </c>
      <c r="V189" s="74"/>
      <c r="W189" s="105">
        <f t="shared" si="36"/>
        <v>93200</v>
      </c>
      <c r="X189" s="74">
        <v>5000</v>
      </c>
      <c r="Y189" s="105">
        <f t="shared" si="37"/>
        <v>88200</v>
      </c>
      <c r="Z189" s="76"/>
    </row>
    <row r="190" spans="1:27" s="29" customFormat="1" ht="21" customHeight="1" x14ac:dyDescent="0.2">
      <c r="A190" s="30"/>
      <c r="B190" s="389" t="s">
        <v>42</v>
      </c>
      <c r="C190" s="390"/>
      <c r="F190" s="48" t="s">
        <v>64</v>
      </c>
      <c r="G190" s="110">
        <f>IF($J$1="January",U186,IF($J$1="February",U187,IF($J$1="March",U188,IF($J$1="April",U189,IF($J$1="May",U190,IF($J$1="June",U191,IF($J$1="July",U192,IF($J$1="August",U193,IF($J$1="August",U193,IF($J$1="September",U194,IF($J$1="October",U195,IF($J$1="November",U196,IF($J$1="December",U197)))))))))))))</f>
        <v>83200</v>
      </c>
      <c r="H190" s="47"/>
      <c r="I190" s="49">
        <f>IF(C194&gt;=C193,$K$2,C192+C194)</f>
        <v>30</v>
      </c>
      <c r="J190" s="50" t="s">
        <v>61</v>
      </c>
      <c r="K190" s="51">
        <f>K186/$K$2*I190</f>
        <v>60000</v>
      </c>
      <c r="L190" s="52"/>
      <c r="N190" s="71"/>
      <c r="O190" s="72" t="s">
        <v>48</v>
      </c>
      <c r="P190" s="72">
        <v>31</v>
      </c>
      <c r="Q190" s="72">
        <v>0</v>
      </c>
      <c r="R190" s="72">
        <f t="shared" si="35"/>
        <v>38</v>
      </c>
      <c r="S190" s="63"/>
      <c r="T190" s="72" t="s">
        <v>48</v>
      </c>
      <c r="U190" s="105">
        <f>Y189</f>
        <v>88200</v>
      </c>
      <c r="V190" s="74"/>
      <c r="W190" s="105">
        <f t="shared" si="36"/>
        <v>88200</v>
      </c>
      <c r="X190" s="74">
        <v>5000</v>
      </c>
      <c r="Y190" s="105">
        <f t="shared" si="37"/>
        <v>83200</v>
      </c>
      <c r="Z190" s="76"/>
    </row>
    <row r="191" spans="1:27" s="29" customFormat="1" ht="21" customHeight="1" x14ac:dyDescent="0.2">
      <c r="A191" s="30"/>
      <c r="B191" s="39"/>
      <c r="C191" s="39"/>
      <c r="F191" s="48" t="s">
        <v>20</v>
      </c>
      <c r="G191" s="110">
        <f>IF($J$1="January",V186,IF($J$1="February",V187,IF($J$1="March",V188,IF($J$1="April",V189,IF($J$1="May",V190,IF($J$1="June",V191,IF($J$1="July",V192,IF($J$1="August",V193,IF($J$1="August",V193,IF($J$1="September",V194,IF($J$1="October",V195,IF($J$1="November",V196,IF($J$1="December",V197)))))))))))))</f>
        <v>50000</v>
      </c>
      <c r="H191" s="47"/>
      <c r="I191" s="49">
        <v>108</v>
      </c>
      <c r="J191" s="50" t="s">
        <v>62</v>
      </c>
      <c r="K191" s="53">
        <f>K186/$K$2/8*I191</f>
        <v>27000</v>
      </c>
      <c r="L191" s="54"/>
      <c r="N191" s="71"/>
      <c r="O191" s="72" t="s">
        <v>49</v>
      </c>
      <c r="P191" s="72">
        <v>30</v>
      </c>
      <c r="Q191" s="72">
        <v>0</v>
      </c>
      <c r="R191" s="72">
        <f t="shared" si="35"/>
        <v>38</v>
      </c>
      <c r="S191" s="63"/>
      <c r="T191" s="72" t="s">
        <v>49</v>
      </c>
      <c r="U191" s="105">
        <f>Y190</f>
        <v>83200</v>
      </c>
      <c r="V191" s="74">
        <v>50000</v>
      </c>
      <c r="W191" s="105">
        <f t="shared" si="36"/>
        <v>133200</v>
      </c>
      <c r="X191" s="74">
        <v>55000</v>
      </c>
      <c r="Y191" s="105">
        <f t="shared" si="37"/>
        <v>78200</v>
      </c>
      <c r="Z191" s="76"/>
    </row>
    <row r="192" spans="1:27" s="29" customFormat="1" ht="21" customHeight="1" x14ac:dyDescent="0.2">
      <c r="A192" s="30"/>
      <c r="B192" s="48" t="s">
        <v>7</v>
      </c>
      <c r="C192" s="39">
        <f>IF($J$1="January",P186,IF($J$1="February",P187,IF($J$1="March",P188,IF($J$1="April",P189,IF($J$1="May",P190,IF($J$1="June",P191,IF($J$1="July",P192,IF($J$1="August",P193,IF($J$1="August",P193,IF($J$1="September",P194,IF($J$1="October",P195,IF($J$1="November",P196,IF($J$1="December",P197)))))))))))))</f>
        <v>30</v>
      </c>
      <c r="F192" s="48" t="s">
        <v>65</v>
      </c>
      <c r="G192" s="110">
        <f>IF($J$1="January",W186,IF($J$1="February",W187,IF($J$1="March",W188,IF($J$1="April",W189,IF($J$1="May",W190,IF($J$1="June",W191,IF($J$1="July",W192,IF($J$1="August",W193,IF($J$1="August",W193,IF($J$1="September",W194,IF($J$1="October",W195,IF($J$1="November",W196,IF($J$1="December",W197)))))))))))))</f>
        <v>133200</v>
      </c>
      <c r="H192" s="47"/>
      <c r="I192" s="392" t="s">
        <v>69</v>
      </c>
      <c r="J192" s="393"/>
      <c r="K192" s="53">
        <f>K190+K191</f>
        <v>87000</v>
      </c>
      <c r="L192" s="54"/>
      <c r="N192" s="71"/>
      <c r="O192" s="72" t="s">
        <v>50</v>
      </c>
      <c r="P192" s="72"/>
      <c r="Q192" s="72"/>
      <c r="R192" s="72" t="str">
        <f t="shared" si="35"/>
        <v/>
      </c>
      <c r="S192" s="63"/>
      <c r="T192" s="72" t="s">
        <v>50</v>
      </c>
      <c r="U192" s="105"/>
      <c r="V192" s="74"/>
      <c r="W192" s="105" t="str">
        <f t="shared" si="36"/>
        <v/>
      </c>
      <c r="X192" s="74"/>
      <c r="Y192" s="105" t="str">
        <f t="shared" si="37"/>
        <v/>
      </c>
      <c r="Z192" s="76"/>
    </row>
    <row r="193" spans="1:27" s="29" customFormat="1" ht="21" customHeight="1" x14ac:dyDescent="0.2">
      <c r="A193" s="30"/>
      <c r="B193" s="48" t="s">
        <v>6</v>
      </c>
      <c r="C193" s="39">
        <f>IF($J$1="January",Q186,IF($J$1="February",Q187,IF($J$1="March",Q188,IF($J$1="April",Q189,IF($J$1="May",Q190,IF($J$1="June",Q191,IF($J$1="July",Q192,IF($J$1="August",Q193,IF($J$1="August",Q193,IF($J$1="September",Q194,IF($J$1="October",Q195,IF($J$1="November",Q196,IF($J$1="December",Q197)))))))))))))</f>
        <v>0</v>
      </c>
      <c r="F193" s="48" t="s">
        <v>21</v>
      </c>
      <c r="G193" s="110">
        <f>IF($J$1="January",X186,IF($J$1="February",X187,IF($J$1="March",X188,IF($J$1="April",X189,IF($J$1="May",X190,IF($J$1="June",X191,IF($J$1="July",X192,IF($J$1="August",X193,IF($J$1="August",X193,IF($J$1="September",X194,IF($J$1="October",X195,IF($J$1="November",X196,IF($J$1="December",X197)))))))))))))</f>
        <v>55000</v>
      </c>
      <c r="H193" s="47"/>
      <c r="I193" s="392" t="s">
        <v>70</v>
      </c>
      <c r="J193" s="393"/>
      <c r="K193" s="43">
        <f>G193</f>
        <v>55000</v>
      </c>
      <c r="L193" s="55"/>
      <c r="N193" s="71"/>
      <c r="O193" s="72" t="s">
        <v>51</v>
      </c>
      <c r="P193" s="72"/>
      <c r="Q193" s="72"/>
      <c r="R193" s="72" t="str">
        <f t="shared" si="35"/>
        <v/>
      </c>
      <c r="S193" s="63"/>
      <c r="T193" s="72" t="s">
        <v>51</v>
      </c>
      <c r="U193" s="105"/>
      <c r="V193" s="74"/>
      <c r="W193" s="105" t="str">
        <f t="shared" si="36"/>
        <v/>
      </c>
      <c r="X193" s="74"/>
      <c r="Y193" s="105" t="str">
        <f t="shared" si="37"/>
        <v/>
      </c>
      <c r="Z193" s="76"/>
    </row>
    <row r="194" spans="1:27" s="29" customFormat="1" ht="21" customHeight="1" x14ac:dyDescent="0.2">
      <c r="A194" s="30"/>
      <c r="B194" s="56" t="s">
        <v>68</v>
      </c>
      <c r="C194" s="39">
        <f>IF($J$1="January",R186,IF($J$1="February",R187,IF($J$1="March",R188,IF($J$1="April",R189,IF($J$1="May",R190,IF($J$1="June",R191,IF($J$1="July",R192,IF($J$1="August",R193,IF($J$1="August",R193,IF($J$1="September",R194,IF($J$1="October",R195,IF($J$1="November",R196,IF($J$1="December",R197)))))))))))))</f>
        <v>38</v>
      </c>
      <c r="F194" s="48" t="s">
        <v>67</v>
      </c>
      <c r="G194" s="110">
        <f>IF($J$1="January",Y186,IF($J$1="February",Y187,IF($J$1="March",Y188,IF($J$1="April",Y189,IF($J$1="May",Y190,IF($J$1="June",Y191,IF($J$1="July",Y192,IF($J$1="August",Y193,IF($J$1="August",Y193,IF($J$1="September",Y194,IF($J$1="October",Y195,IF($J$1="November",Y196,IF($J$1="December",Y197)))))))))))))</f>
        <v>78200</v>
      </c>
      <c r="I194" s="387" t="s">
        <v>63</v>
      </c>
      <c r="J194" s="388"/>
      <c r="K194" s="57">
        <f>K192-K193</f>
        <v>32000</v>
      </c>
      <c r="L194" s="58"/>
      <c r="N194" s="71"/>
      <c r="O194" s="72" t="s">
        <v>56</v>
      </c>
      <c r="P194" s="72"/>
      <c r="Q194" s="72"/>
      <c r="R194" s="72" t="str">
        <f t="shared" si="35"/>
        <v/>
      </c>
      <c r="S194" s="63"/>
      <c r="T194" s="72" t="s">
        <v>56</v>
      </c>
      <c r="U194" s="105"/>
      <c r="V194" s="74"/>
      <c r="W194" s="105" t="str">
        <f t="shared" si="36"/>
        <v/>
      </c>
      <c r="X194" s="74"/>
      <c r="Y194" s="105" t="str">
        <f t="shared" si="37"/>
        <v/>
      </c>
      <c r="Z194" s="76"/>
    </row>
    <row r="195" spans="1:27" s="29" customFormat="1" ht="21" customHeight="1" x14ac:dyDescent="0.2">
      <c r="A195" s="30"/>
      <c r="F195" s="325"/>
      <c r="L195" s="46"/>
      <c r="N195" s="71"/>
      <c r="O195" s="72" t="s">
        <v>52</v>
      </c>
      <c r="P195" s="72"/>
      <c r="Q195" s="72"/>
      <c r="R195" s="72" t="str">
        <f t="shared" si="35"/>
        <v/>
      </c>
      <c r="S195" s="63"/>
      <c r="T195" s="72" t="s">
        <v>52</v>
      </c>
      <c r="U195" s="105"/>
      <c r="V195" s="74"/>
      <c r="W195" s="105" t="str">
        <f t="shared" si="36"/>
        <v/>
      </c>
      <c r="X195" s="74"/>
      <c r="Y195" s="105" t="str">
        <f t="shared" si="37"/>
        <v/>
      </c>
      <c r="Z195" s="76"/>
    </row>
    <row r="196" spans="1:27" s="29" customFormat="1" ht="21" customHeight="1" x14ac:dyDescent="0.2">
      <c r="A196" s="30"/>
      <c r="B196" s="394" t="s">
        <v>85</v>
      </c>
      <c r="C196" s="394"/>
      <c r="D196" s="394"/>
      <c r="E196" s="394"/>
      <c r="F196" s="394"/>
      <c r="G196" s="394"/>
      <c r="H196" s="394"/>
      <c r="I196" s="394"/>
      <c r="J196" s="394"/>
      <c r="K196" s="394"/>
      <c r="L196" s="46"/>
      <c r="N196" s="71"/>
      <c r="O196" s="72" t="s">
        <v>57</v>
      </c>
      <c r="P196" s="72"/>
      <c r="Q196" s="72"/>
      <c r="R196" s="72" t="str">
        <f t="shared" si="35"/>
        <v/>
      </c>
      <c r="S196" s="63"/>
      <c r="T196" s="72" t="s">
        <v>57</v>
      </c>
      <c r="U196" s="105"/>
      <c r="V196" s="74"/>
      <c r="W196" s="105" t="str">
        <f t="shared" si="36"/>
        <v/>
      </c>
      <c r="X196" s="74"/>
      <c r="Y196" s="105" t="str">
        <f t="shared" si="37"/>
        <v/>
      </c>
      <c r="Z196" s="76"/>
    </row>
    <row r="197" spans="1:27" s="29" customFormat="1" ht="21" customHeight="1" x14ac:dyDescent="0.2">
      <c r="A197" s="30"/>
      <c r="B197" s="394"/>
      <c r="C197" s="394"/>
      <c r="D197" s="394"/>
      <c r="E197" s="394"/>
      <c r="F197" s="394"/>
      <c r="G197" s="394"/>
      <c r="H197" s="394"/>
      <c r="I197" s="394"/>
      <c r="J197" s="394"/>
      <c r="K197" s="394"/>
      <c r="L197" s="46"/>
      <c r="N197" s="71"/>
      <c r="O197" s="72" t="s">
        <v>58</v>
      </c>
      <c r="P197" s="72"/>
      <c r="Q197" s="72"/>
      <c r="R197" s="72" t="str">
        <f t="shared" si="35"/>
        <v/>
      </c>
      <c r="S197" s="63"/>
      <c r="T197" s="72" t="s">
        <v>58</v>
      </c>
      <c r="U197" s="105"/>
      <c r="V197" s="74"/>
      <c r="W197" s="105" t="str">
        <f t="shared" si="36"/>
        <v/>
      </c>
      <c r="X197" s="74"/>
      <c r="Y197" s="105" t="str">
        <f t="shared" si="37"/>
        <v/>
      </c>
      <c r="Z197" s="76"/>
    </row>
    <row r="198" spans="1:27" s="29" customFormat="1" ht="21" customHeight="1" thickBot="1" x14ac:dyDescent="0.25">
      <c r="A198" s="59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1"/>
      <c r="N198" s="77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9"/>
    </row>
    <row r="199" spans="1:27" s="29" customFormat="1" ht="21" customHeight="1" thickBot="1" x14ac:dyDescent="0.25"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spans="1:27" s="29" customFormat="1" ht="21" customHeight="1" x14ac:dyDescent="0.2">
      <c r="A200" s="413" t="s">
        <v>40</v>
      </c>
      <c r="B200" s="414"/>
      <c r="C200" s="414"/>
      <c r="D200" s="414"/>
      <c r="E200" s="414"/>
      <c r="F200" s="414"/>
      <c r="G200" s="414"/>
      <c r="H200" s="414"/>
      <c r="I200" s="414"/>
      <c r="J200" s="414"/>
      <c r="K200" s="414"/>
      <c r="L200" s="415"/>
      <c r="M200" s="28"/>
      <c r="N200" s="64"/>
      <c r="O200" s="403" t="s">
        <v>42</v>
      </c>
      <c r="P200" s="404"/>
      <c r="Q200" s="404"/>
      <c r="R200" s="405"/>
      <c r="S200" s="65"/>
      <c r="T200" s="403" t="s">
        <v>43</v>
      </c>
      <c r="U200" s="404"/>
      <c r="V200" s="404"/>
      <c r="W200" s="404"/>
      <c r="X200" s="404"/>
      <c r="Y200" s="405"/>
      <c r="Z200" s="66"/>
      <c r="AA200" s="28"/>
    </row>
    <row r="201" spans="1:27" s="29" customFormat="1" ht="21" customHeight="1" x14ac:dyDescent="0.2">
      <c r="A201" s="30"/>
      <c r="C201" s="402" t="s">
        <v>83</v>
      </c>
      <c r="D201" s="402"/>
      <c r="E201" s="402"/>
      <c r="F201" s="402"/>
      <c r="G201" s="31" t="str">
        <f>$J$1</f>
        <v>June</v>
      </c>
      <c r="H201" s="409">
        <f>$K$1</f>
        <v>2023</v>
      </c>
      <c r="I201" s="409"/>
      <c r="K201" s="32"/>
      <c r="L201" s="33"/>
      <c r="M201" s="32"/>
      <c r="N201" s="67"/>
      <c r="O201" s="68" t="s">
        <v>53</v>
      </c>
      <c r="P201" s="68" t="s">
        <v>7</v>
      </c>
      <c r="Q201" s="68" t="s">
        <v>6</v>
      </c>
      <c r="R201" s="68" t="s">
        <v>54</v>
      </c>
      <c r="S201" s="69"/>
      <c r="T201" s="68" t="s">
        <v>53</v>
      </c>
      <c r="U201" s="68" t="s">
        <v>55</v>
      </c>
      <c r="V201" s="68" t="s">
        <v>20</v>
      </c>
      <c r="W201" s="68" t="s">
        <v>19</v>
      </c>
      <c r="X201" s="68" t="s">
        <v>21</v>
      </c>
      <c r="Y201" s="68" t="s">
        <v>59</v>
      </c>
      <c r="Z201" s="70"/>
      <c r="AA201" s="32"/>
    </row>
    <row r="202" spans="1:27" s="29" customFormat="1" ht="21" customHeight="1" x14ac:dyDescent="0.2">
      <c r="A202" s="30"/>
      <c r="D202" s="35"/>
      <c r="E202" s="35"/>
      <c r="F202" s="35"/>
      <c r="G202" s="35"/>
      <c r="H202" s="35"/>
      <c r="J202" s="36" t="s">
        <v>1</v>
      </c>
      <c r="K202" s="37">
        <f>45000+2000+3000</f>
        <v>50000</v>
      </c>
      <c r="L202" s="38"/>
      <c r="N202" s="71"/>
      <c r="O202" s="72" t="s">
        <v>45</v>
      </c>
      <c r="P202" s="72">
        <v>29</v>
      </c>
      <c r="Q202" s="72">
        <v>2</v>
      </c>
      <c r="R202" s="72">
        <f>15-Q202</f>
        <v>13</v>
      </c>
      <c r="S202" s="73"/>
      <c r="T202" s="72" t="s">
        <v>45</v>
      </c>
      <c r="U202" s="74">
        <v>15000</v>
      </c>
      <c r="V202" s="74">
        <v>2000</v>
      </c>
      <c r="W202" s="74">
        <f>V202+U202</f>
        <v>17000</v>
      </c>
      <c r="X202" s="74">
        <v>3000</v>
      </c>
      <c r="Y202" s="74">
        <f>W202-X202</f>
        <v>14000</v>
      </c>
      <c r="Z202" s="70"/>
    </row>
    <row r="203" spans="1:27" s="29" customFormat="1" ht="21" customHeight="1" x14ac:dyDescent="0.2">
      <c r="A203" s="30"/>
      <c r="B203" s="29" t="s">
        <v>0</v>
      </c>
      <c r="C203" s="40" t="s">
        <v>153</v>
      </c>
      <c r="H203" s="41"/>
      <c r="I203" s="35"/>
      <c r="L203" s="42"/>
      <c r="M203" s="28"/>
      <c r="N203" s="75"/>
      <c r="O203" s="72" t="s">
        <v>71</v>
      </c>
      <c r="P203" s="72">
        <v>27</v>
      </c>
      <c r="Q203" s="72">
        <v>1</v>
      </c>
      <c r="R203" s="72">
        <f t="shared" ref="R203:R213" si="38">IF(Q203="","",R202-Q203)</f>
        <v>12</v>
      </c>
      <c r="S203" s="63"/>
      <c r="T203" s="72" t="s">
        <v>71</v>
      </c>
      <c r="U203" s="105">
        <f>IF($J$1="January","",Y202)</f>
        <v>14000</v>
      </c>
      <c r="V203" s="74">
        <v>10000</v>
      </c>
      <c r="W203" s="105">
        <f>IF(U203="","",U203+V203)</f>
        <v>24000</v>
      </c>
      <c r="X203" s="74">
        <v>3000</v>
      </c>
      <c r="Y203" s="105">
        <f>IF(W203="","",W203-X203)</f>
        <v>21000</v>
      </c>
      <c r="Z203" s="76"/>
      <c r="AA203" s="28"/>
    </row>
    <row r="204" spans="1:27" s="29" customFormat="1" ht="21" customHeight="1" x14ac:dyDescent="0.2">
      <c r="A204" s="30"/>
      <c r="B204" s="44" t="s">
        <v>41</v>
      </c>
      <c r="C204" s="45"/>
      <c r="F204" s="391" t="s">
        <v>43</v>
      </c>
      <c r="G204" s="391"/>
      <c r="I204" s="391" t="s">
        <v>44</v>
      </c>
      <c r="J204" s="391"/>
      <c r="K204" s="391"/>
      <c r="L204" s="46"/>
      <c r="N204" s="71"/>
      <c r="O204" s="72" t="s">
        <v>46</v>
      </c>
      <c r="P204" s="72">
        <v>31</v>
      </c>
      <c r="Q204" s="72">
        <v>0</v>
      </c>
      <c r="R204" s="72">
        <f t="shared" si="38"/>
        <v>12</v>
      </c>
      <c r="S204" s="63"/>
      <c r="T204" s="72" t="s">
        <v>46</v>
      </c>
      <c r="U204" s="105">
        <f>IF($J$1="February","",Y203)</f>
        <v>21000</v>
      </c>
      <c r="V204" s="74">
        <v>15000</v>
      </c>
      <c r="W204" s="105">
        <f t="shared" ref="W204:W213" si="39">IF(U204="","",U204+V204)</f>
        <v>36000</v>
      </c>
      <c r="X204" s="74">
        <v>3000</v>
      </c>
      <c r="Y204" s="105">
        <f t="shared" ref="Y204:Y213" si="40">IF(W204="","",W204-X204)</f>
        <v>33000</v>
      </c>
      <c r="Z204" s="76"/>
    </row>
    <row r="205" spans="1:27" s="29" customFormat="1" ht="21" customHeight="1" x14ac:dyDescent="0.2">
      <c r="A205" s="30"/>
      <c r="H205" s="47"/>
      <c r="L205" s="34"/>
      <c r="N205" s="71"/>
      <c r="O205" s="72" t="s">
        <v>47</v>
      </c>
      <c r="P205" s="72">
        <v>29</v>
      </c>
      <c r="Q205" s="72">
        <v>1</v>
      </c>
      <c r="R205" s="72">
        <f t="shared" si="38"/>
        <v>11</v>
      </c>
      <c r="S205" s="63"/>
      <c r="T205" s="72" t="s">
        <v>47</v>
      </c>
      <c r="U205" s="105">
        <f>Y204</f>
        <v>33000</v>
      </c>
      <c r="V205" s="74"/>
      <c r="W205" s="105">
        <f t="shared" si="39"/>
        <v>33000</v>
      </c>
      <c r="X205" s="74">
        <v>3000</v>
      </c>
      <c r="Y205" s="105">
        <f t="shared" si="40"/>
        <v>30000</v>
      </c>
      <c r="Z205" s="76"/>
    </row>
    <row r="206" spans="1:27" s="29" customFormat="1" ht="21" customHeight="1" x14ac:dyDescent="0.2">
      <c r="A206" s="30"/>
      <c r="B206" s="389" t="s">
        <v>42</v>
      </c>
      <c r="C206" s="390"/>
      <c r="F206" s="48" t="s">
        <v>64</v>
      </c>
      <c r="G206" s="43">
        <f>IF($J$1="January",U202,IF($J$1="February",U203,IF($J$1="March",U204,IF($J$1="April",U205,IF($J$1="May",U206,IF($J$1="June",U207,IF($J$1="July",U208,IF($J$1="August",U209,IF($J$1="August",U209,IF($J$1="September",U210,IF($J$1="October",U211,IF($J$1="November",U212,IF($J$1="December",U213)))))))))))))</f>
        <v>34000</v>
      </c>
      <c r="H206" s="47"/>
      <c r="I206" s="49">
        <f>IF(C210&gt;0,$K$2,C208)</f>
        <v>30</v>
      </c>
      <c r="J206" s="50" t="s">
        <v>61</v>
      </c>
      <c r="K206" s="51">
        <f>K202/$K$2*I206</f>
        <v>50000</v>
      </c>
      <c r="L206" s="52"/>
      <c r="N206" s="71"/>
      <c r="O206" s="72" t="s">
        <v>48</v>
      </c>
      <c r="P206" s="72">
        <v>30</v>
      </c>
      <c r="Q206" s="72">
        <v>1</v>
      </c>
      <c r="R206" s="72">
        <f t="shared" si="38"/>
        <v>10</v>
      </c>
      <c r="S206" s="63"/>
      <c r="T206" s="72" t="s">
        <v>48</v>
      </c>
      <c r="U206" s="105">
        <f>Y205</f>
        <v>30000</v>
      </c>
      <c r="V206" s="74">
        <v>4000</v>
      </c>
      <c r="W206" s="105">
        <f t="shared" si="39"/>
        <v>34000</v>
      </c>
      <c r="X206" s="74"/>
      <c r="Y206" s="105">
        <f t="shared" si="40"/>
        <v>34000</v>
      </c>
      <c r="Z206" s="76"/>
    </row>
    <row r="207" spans="1:27" s="29" customFormat="1" ht="21" customHeight="1" x14ac:dyDescent="0.2">
      <c r="A207" s="30"/>
      <c r="B207" s="39"/>
      <c r="C207" s="39"/>
      <c r="F207" s="48" t="s">
        <v>20</v>
      </c>
      <c r="G207" s="43">
        <f>IF($J$1="January",V202,IF($J$1="February",V203,IF($J$1="March",V204,IF($J$1="April",V205,IF($J$1="May",V206,IF($J$1="June",V207,IF($J$1="July",V208,IF($J$1="August",V209,IF($J$1="August",V209,IF($J$1="September",V210,IF($J$1="October",V211,IF($J$1="November",V212,IF($J$1="December",V213)))))))))))))</f>
        <v>4000</v>
      </c>
      <c r="H207" s="47"/>
      <c r="I207" s="84"/>
      <c r="J207" s="50" t="s">
        <v>62</v>
      </c>
      <c r="K207" s="53">
        <f>K202/$K$2/8*I207</f>
        <v>0</v>
      </c>
      <c r="L207" s="54"/>
      <c r="N207" s="71"/>
      <c r="O207" s="72" t="s">
        <v>49</v>
      </c>
      <c r="P207" s="72">
        <v>27</v>
      </c>
      <c r="Q207" s="72">
        <v>3</v>
      </c>
      <c r="R207" s="72">
        <f t="shared" si="38"/>
        <v>7</v>
      </c>
      <c r="S207" s="63"/>
      <c r="T207" s="72" t="s">
        <v>49</v>
      </c>
      <c r="U207" s="105">
        <f>Y206</f>
        <v>34000</v>
      </c>
      <c r="V207" s="74">
        <f>3000+1000</f>
        <v>4000</v>
      </c>
      <c r="W207" s="105">
        <f t="shared" si="39"/>
        <v>38000</v>
      </c>
      <c r="X207" s="74">
        <v>5000</v>
      </c>
      <c r="Y207" s="105">
        <f t="shared" si="40"/>
        <v>33000</v>
      </c>
      <c r="Z207" s="76"/>
    </row>
    <row r="208" spans="1:27" s="29" customFormat="1" ht="21" customHeight="1" x14ac:dyDescent="0.2">
      <c r="A208" s="30"/>
      <c r="B208" s="48" t="s">
        <v>7</v>
      </c>
      <c r="C208" s="39">
        <f>IF($J$1="January",P202,IF($J$1="February",P203,IF($J$1="March",P204,IF($J$1="April",P205,IF($J$1="May",P206,IF($J$1="June",P207,IF($J$1="July",P208,IF($J$1="August",P209,IF($J$1="August",P209,IF($J$1="September",P210,IF($J$1="October",P211,IF($J$1="November",P212,IF($J$1="December",P213)))))))))))))</f>
        <v>27</v>
      </c>
      <c r="F208" s="48" t="s">
        <v>65</v>
      </c>
      <c r="G208" s="43">
        <f>IF($J$1="January",W202,IF($J$1="February",W203,IF($J$1="March",W204,IF($J$1="April",W205,IF($J$1="May",W206,IF($J$1="June",W207,IF($J$1="July",W208,IF($J$1="August",W209,IF($J$1="August",W209,IF($J$1="September",W210,IF($J$1="October",W211,IF($J$1="November",W212,IF($J$1="December",W213)))))))))))))</f>
        <v>38000</v>
      </c>
      <c r="H208" s="47"/>
      <c r="I208" s="392" t="s">
        <v>69</v>
      </c>
      <c r="J208" s="393"/>
      <c r="K208" s="53">
        <f>K206+K207</f>
        <v>50000</v>
      </c>
      <c r="L208" s="54"/>
      <c r="N208" s="71"/>
      <c r="O208" s="72" t="s">
        <v>50</v>
      </c>
      <c r="P208" s="72"/>
      <c r="Q208" s="72"/>
      <c r="R208" s="72" t="str">
        <f t="shared" si="38"/>
        <v/>
      </c>
      <c r="S208" s="63"/>
      <c r="T208" s="72" t="s">
        <v>50</v>
      </c>
      <c r="U208" s="105"/>
      <c r="V208" s="74"/>
      <c r="W208" s="105" t="str">
        <f t="shared" si="39"/>
        <v/>
      </c>
      <c r="X208" s="74"/>
      <c r="Y208" s="105" t="str">
        <f t="shared" si="40"/>
        <v/>
      </c>
      <c r="Z208" s="76"/>
    </row>
    <row r="209" spans="1:26" s="29" customFormat="1" ht="21" customHeight="1" x14ac:dyDescent="0.2">
      <c r="A209" s="30"/>
      <c r="B209" s="48" t="s">
        <v>6</v>
      </c>
      <c r="C209" s="39">
        <f>IF($J$1="January",Q202,IF($J$1="February",Q203,IF($J$1="March",Q204,IF($J$1="April",Q205,IF($J$1="May",Q206,IF($J$1="June",Q207,IF($J$1="July",Q208,IF($J$1="August",Q209,IF($J$1="August",Q209,IF($J$1="September",Q210,IF($J$1="October",Q211,IF($J$1="November",Q212,IF($J$1="December",Q213)))))))))))))</f>
        <v>3</v>
      </c>
      <c r="F209" s="48" t="s">
        <v>21</v>
      </c>
      <c r="G209" s="43">
        <f>IF($J$1="January",X202,IF($J$1="February",X203,IF($J$1="March",X204,IF($J$1="April",X205,IF($J$1="May",X206,IF($J$1="June",X207,IF($J$1="July",X208,IF($J$1="August",X209,IF($J$1="August",X209,IF($J$1="September",X210,IF($J$1="October",X211,IF($J$1="November",X212,IF($J$1="December",X213)))))))))))))</f>
        <v>5000</v>
      </c>
      <c r="H209" s="47"/>
      <c r="I209" s="392" t="s">
        <v>70</v>
      </c>
      <c r="J209" s="393"/>
      <c r="K209" s="43">
        <f>G209</f>
        <v>5000</v>
      </c>
      <c r="L209" s="55"/>
      <c r="N209" s="71"/>
      <c r="O209" s="72" t="s">
        <v>51</v>
      </c>
      <c r="P209" s="72"/>
      <c r="Q209" s="72"/>
      <c r="R209" s="72" t="str">
        <f t="shared" si="38"/>
        <v/>
      </c>
      <c r="S209" s="63"/>
      <c r="T209" s="72" t="s">
        <v>51</v>
      </c>
      <c r="U209" s="105"/>
      <c r="V209" s="74"/>
      <c r="W209" s="105" t="str">
        <f t="shared" si="39"/>
        <v/>
      </c>
      <c r="X209" s="74"/>
      <c r="Y209" s="105" t="str">
        <f t="shared" si="40"/>
        <v/>
      </c>
      <c r="Z209" s="76"/>
    </row>
    <row r="210" spans="1:26" s="29" customFormat="1" ht="21" customHeight="1" x14ac:dyDescent="0.2">
      <c r="A210" s="30"/>
      <c r="B210" s="56" t="s">
        <v>68</v>
      </c>
      <c r="C210" s="39">
        <f>IF($J$1="January",R202,IF($J$1="February",R203,IF($J$1="March",R204,IF($J$1="April",R205,IF($J$1="May",R206,IF($J$1="June",R207,IF($J$1="July",R208,IF($J$1="August",R209,IF($J$1="August",R209,IF($J$1="September",R210,IF($J$1="October",R211,IF($J$1="November",R212,IF($J$1="December",R213)))))))))))))</f>
        <v>7</v>
      </c>
      <c r="F210" s="48" t="s">
        <v>67</v>
      </c>
      <c r="G210" s="43">
        <f>IF($J$1="January",Y202,IF($J$1="February",Y203,IF($J$1="March",Y204,IF($J$1="April",Y205,IF($J$1="May",Y206,IF($J$1="June",Y207,IF($J$1="July",Y208,IF($J$1="August",Y209,IF($J$1="August",Y209,IF($J$1="September",Y210,IF($J$1="October",Y211,IF($J$1="November",Y212,IF($J$1="December",Y213)))))))))))))</f>
        <v>33000</v>
      </c>
      <c r="I210" s="387" t="s">
        <v>63</v>
      </c>
      <c r="J210" s="388"/>
      <c r="K210" s="57">
        <f>K208-K209</f>
        <v>45000</v>
      </c>
      <c r="L210" s="58"/>
      <c r="N210" s="71"/>
      <c r="O210" s="72" t="s">
        <v>56</v>
      </c>
      <c r="P210" s="72"/>
      <c r="Q210" s="72"/>
      <c r="R210" s="72" t="str">
        <f t="shared" si="38"/>
        <v/>
      </c>
      <c r="S210" s="63"/>
      <c r="T210" s="72" t="s">
        <v>56</v>
      </c>
      <c r="U210" s="105"/>
      <c r="V210" s="74"/>
      <c r="W210" s="105" t="str">
        <f t="shared" si="39"/>
        <v/>
      </c>
      <c r="X210" s="74"/>
      <c r="Y210" s="105" t="str">
        <f t="shared" si="40"/>
        <v/>
      </c>
      <c r="Z210" s="76"/>
    </row>
    <row r="211" spans="1:26" s="29" customFormat="1" ht="21" customHeight="1" x14ac:dyDescent="0.2">
      <c r="A211" s="30"/>
      <c r="J211" s="47"/>
      <c r="K211" s="107"/>
      <c r="L211" s="46"/>
      <c r="N211" s="71"/>
      <c r="O211" s="72" t="s">
        <v>52</v>
      </c>
      <c r="P211" s="72"/>
      <c r="Q211" s="72"/>
      <c r="R211" s="72" t="str">
        <f t="shared" si="38"/>
        <v/>
      </c>
      <c r="S211" s="63"/>
      <c r="T211" s="72" t="s">
        <v>52</v>
      </c>
      <c r="U211" s="105"/>
      <c r="V211" s="74"/>
      <c r="W211" s="105" t="str">
        <f t="shared" si="39"/>
        <v/>
      </c>
      <c r="X211" s="74"/>
      <c r="Y211" s="105" t="str">
        <f t="shared" si="40"/>
        <v/>
      </c>
      <c r="Z211" s="76"/>
    </row>
    <row r="212" spans="1:26" s="29" customFormat="1" ht="21" customHeight="1" x14ac:dyDescent="0.2">
      <c r="A212" s="30"/>
      <c r="B212" s="394" t="s">
        <v>85</v>
      </c>
      <c r="C212" s="394"/>
      <c r="D212" s="394"/>
      <c r="E212" s="394"/>
      <c r="F212" s="394"/>
      <c r="G212" s="394"/>
      <c r="H212" s="394"/>
      <c r="I212" s="394"/>
      <c r="J212" s="394"/>
      <c r="K212" s="394"/>
      <c r="L212" s="46"/>
      <c r="N212" s="71"/>
      <c r="O212" s="72" t="s">
        <v>57</v>
      </c>
      <c r="P212" s="72"/>
      <c r="Q212" s="72"/>
      <c r="R212" s="72" t="str">
        <f t="shared" si="38"/>
        <v/>
      </c>
      <c r="S212" s="63"/>
      <c r="T212" s="72" t="s">
        <v>57</v>
      </c>
      <c r="U212" s="105"/>
      <c r="V212" s="74"/>
      <c r="W212" s="105" t="str">
        <f t="shared" si="39"/>
        <v/>
      </c>
      <c r="X212" s="74"/>
      <c r="Y212" s="105" t="str">
        <f t="shared" si="40"/>
        <v/>
      </c>
      <c r="Z212" s="76"/>
    </row>
    <row r="213" spans="1:26" s="29" customFormat="1" ht="21" customHeight="1" x14ac:dyDescent="0.2">
      <c r="A213" s="30"/>
      <c r="B213" s="394"/>
      <c r="C213" s="394"/>
      <c r="D213" s="394"/>
      <c r="E213" s="394"/>
      <c r="F213" s="394"/>
      <c r="G213" s="394"/>
      <c r="H213" s="394"/>
      <c r="I213" s="394"/>
      <c r="J213" s="394"/>
      <c r="K213" s="394"/>
      <c r="L213" s="46"/>
      <c r="N213" s="71"/>
      <c r="O213" s="72" t="s">
        <v>58</v>
      </c>
      <c r="P213" s="72"/>
      <c r="Q213" s="72"/>
      <c r="R213" s="72" t="str">
        <f t="shared" si="38"/>
        <v/>
      </c>
      <c r="S213" s="63"/>
      <c r="T213" s="72" t="s">
        <v>58</v>
      </c>
      <c r="U213" s="105"/>
      <c r="V213" s="74"/>
      <c r="W213" s="105" t="str">
        <f t="shared" si="39"/>
        <v/>
      </c>
      <c r="X213" s="74"/>
      <c r="Y213" s="105" t="str">
        <f t="shared" si="40"/>
        <v/>
      </c>
      <c r="Z213" s="76"/>
    </row>
    <row r="214" spans="1:26" s="29" customFormat="1" ht="21" customHeight="1" thickBot="1" x14ac:dyDescent="0.25">
      <c r="A214" s="59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1"/>
      <c r="N214" s="77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9"/>
    </row>
    <row r="215" spans="1:26" s="29" customFormat="1" ht="21" customHeight="1" thickBot="1" x14ac:dyDescent="0.25">
      <c r="A215" s="30"/>
      <c r="L215" s="46"/>
      <c r="N215" s="71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85"/>
    </row>
    <row r="216" spans="1:26" s="29" customFormat="1" ht="21" customHeight="1" x14ac:dyDescent="0.2">
      <c r="A216" s="413" t="s">
        <v>40</v>
      </c>
      <c r="B216" s="414"/>
      <c r="C216" s="414"/>
      <c r="D216" s="414"/>
      <c r="E216" s="414"/>
      <c r="F216" s="414"/>
      <c r="G216" s="414"/>
      <c r="H216" s="414"/>
      <c r="I216" s="414"/>
      <c r="J216" s="414"/>
      <c r="K216" s="414"/>
      <c r="L216" s="415"/>
      <c r="M216" s="28"/>
      <c r="N216" s="64"/>
      <c r="O216" s="403" t="s">
        <v>42</v>
      </c>
      <c r="P216" s="404"/>
      <c r="Q216" s="404"/>
      <c r="R216" s="405"/>
      <c r="S216" s="65"/>
      <c r="T216" s="403" t="s">
        <v>43</v>
      </c>
      <c r="U216" s="404"/>
      <c r="V216" s="404"/>
      <c r="W216" s="404"/>
      <c r="X216" s="404"/>
      <c r="Y216" s="405"/>
      <c r="Z216" s="66"/>
    </row>
    <row r="217" spans="1:26" s="29" customFormat="1" ht="21" customHeight="1" x14ac:dyDescent="0.2">
      <c r="A217" s="30"/>
      <c r="C217" s="402" t="s">
        <v>83</v>
      </c>
      <c r="D217" s="402"/>
      <c r="E217" s="402"/>
      <c r="F217" s="402"/>
      <c r="G217" s="31" t="str">
        <f>$J$1</f>
        <v>June</v>
      </c>
      <c r="H217" s="409">
        <f>$K$1</f>
        <v>2023</v>
      </c>
      <c r="I217" s="409"/>
      <c r="K217" s="32"/>
      <c r="L217" s="33"/>
      <c r="M217" s="32"/>
      <c r="N217" s="67"/>
      <c r="O217" s="68" t="s">
        <v>53</v>
      </c>
      <c r="P217" s="68" t="s">
        <v>7</v>
      </c>
      <c r="Q217" s="68" t="s">
        <v>6</v>
      </c>
      <c r="R217" s="68" t="s">
        <v>54</v>
      </c>
      <c r="S217" s="69"/>
      <c r="T217" s="68" t="s">
        <v>53</v>
      </c>
      <c r="U217" s="68" t="s">
        <v>55</v>
      </c>
      <c r="V217" s="68" t="s">
        <v>20</v>
      </c>
      <c r="W217" s="68" t="s">
        <v>19</v>
      </c>
      <c r="X217" s="68" t="s">
        <v>21</v>
      </c>
      <c r="Y217" s="68" t="s">
        <v>59</v>
      </c>
      <c r="Z217" s="70"/>
    </row>
    <row r="218" spans="1:26" s="29" customFormat="1" ht="21" customHeight="1" x14ac:dyDescent="0.2">
      <c r="A218" s="30"/>
      <c r="D218" s="35"/>
      <c r="E218" s="35"/>
      <c r="F218" s="35"/>
      <c r="G218" s="35"/>
      <c r="H218" s="35"/>
      <c r="J218" s="36" t="s">
        <v>1</v>
      </c>
      <c r="K218" s="37">
        <f>20000+2000+3000</f>
        <v>25000</v>
      </c>
      <c r="L218" s="38"/>
      <c r="N218" s="71"/>
      <c r="O218" s="72" t="s">
        <v>45</v>
      </c>
      <c r="P218" s="72">
        <v>25</v>
      </c>
      <c r="Q218" s="72">
        <v>6</v>
      </c>
      <c r="R218" s="72">
        <f>15-Q218</f>
        <v>9</v>
      </c>
      <c r="S218" s="73"/>
      <c r="T218" s="72" t="s">
        <v>45</v>
      </c>
      <c r="U218" s="74">
        <v>24000</v>
      </c>
      <c r="V218" s="74"/>
      <c r="W218" s="74">
        <f>V218+U218</f>
        <v>24000</v>
      </c>
      <c r="X218" s="74">
        <v>5000</v>
      </c>
      <c r="Y218" s="74">
        <f>W218-X218</f>
        <v>19000</v>
      </c>
      <c r="Z218" s="70"/>
    </row>
    <row r="219" spans="1:26" s="29" customFormat="1" ht="21" customHeight="1" x14ac:dyDescent="0.2">
      <c r="A219" s="30"/>
      <c r="B219" s="29" t="s">
        <v>0</v>
      </c>
      <c r="C219" s="40" t="s">
        <v>171</v>
      </c>
      <c r="H219" s="41"/>
      <c r="I219" s="35"/>
      <c r="L219" s="42"/>
      <c r="M219" s="28"/>
      <c r="N219" s="75"/>
      <c r="O219" s="72" t="s">
        <v>71</v>
      </c>
      <c r="P219" s="72">
        <v>26</v>
      </c>
      <c r="Q219" s="72">
        <v>2</v>
      </c>
      <c r="R219" s="72">
        <f>R218-Q219</f>
        <v>7</v>
      </c>
      <c r="S219" s="63"/>
      <c r="T219" s="72" t="s">
        <v>71</v>
      </c>
      <c r="U219" s="105">
        <f>IF($J$1="January","",Y218)</f>
        <v>19000</v>
      </c>
      <c r="V219" s="74"/>
      <c r="W219" s="105">
        <f>IF(U219="","",U219+V219)</f>
        <v>19000</v>
      </c>
      <c r="X219" s="74">
        <v>5000</v>
      </c>
      <c r="Y219" s="105">
        <f>IF(W219="","",W219-X219)</f>
        <v>14000</v>
      </c>
      <c r="Z219" s="76"/>
    </row>
    <row r="220" spans="1:26" s="29" customFormat="1" ht="21" customHeight="1" x14ac:dyDescent="0.2">
      <c r="A220" s="30"/>
      <c r="B220" s="44" t="s">
        <v>41</v>
      </c>
      <c r="C220" s="40"/>
      <c r="F220" s="391" t="s">
        <v>43</v>
      </c>
      <c r="G220" s="391"/>
      <c r="I220" s="391" t="s">
        <v>44</v>
      </c>
      <c r="J220" s="391"/>
      <c r="K220" s="391"/>
      <c r="L220" s="46"/>
      <c r="N220" s="71"/>
      <c r="O220" s="72" t="s">
        <v>46</v>
      </c>
      <c r="P220" s="72">
        <v>27</v>
      </c>
      <c r="Q220" s="72">
        <v>4</v>
      </c>
      <c r="R220" s="72">
        <f t="shared" ref="R220:R229" si="41">R219-Q220</f>
        <v>3</v>
      </c>
      <c r="S220" s="63"/>
      <c r="T220" s="72" t="s">
        <v>46</v>
      </c>
      <c r="U220" s="105">
        <f>IF($J$1="February","",Y219)</f>
        <v>14000</v>
      </c>
      <c r="V220" s="74">
        <f>2000+1000+3000</f>
        <v>6000</v>
      </c>
      <c r="W220" s="105">
        <f t="shared" ref="W220:W229" si="42">IF(U220="","",U220+V220)</f>
        <v>20000</v>
      </c>
      <c r="X220" s="74">
        <v>5000</v>
      </c>
      <c r="Y220" s="105">
        <f t="shared" ref="Y220:Y229" si="43">IF(W220="","",W220-X220)</f>
        <v>15000</v>
      </c>
      <c r="Z220" s="76"/>
    </row>
    <row r="221" spans="1:26" s="29" customFormat="1" ht="21" customHeight="1" x14ac:dyDescent="0.2">
      <c r="A221" s="30"/>
      <c r="H221" s="47"/>
      <c r="L221" s="34"/>
      <c r="N221" s="71"/>
      <c r="O221" s="72" t="s">
        <v>47</v>
      </c>
      <c r="P221" s="72">
        <v>29</v>
      </c>
      <c r="Q221" s="72">
        <v>1</v>
      </c>
      <c r="R221" s="72">
        <f t="shared" si="41"/>
        <v>2</v>
      </c>
      <c r="S221" s="63"/>
      <c r="T221" s="72" t="s">
        <v>47</v>
      </c>
      <c r="U221" s="105">
        <f>IF($J$1="March","",Y220)</f>
        <v>15000</v>
      </c>
      <c r="V221" s="74">
        <v>3000</v>
      </c>
      <c r="W221" s="105">
        <f t="shared" si="42"/>
        <v>18000</v>
      </c>
      <c r="X221" s="74">
        <v>5000</v>
      </c>
      <c r="Y221" s="105">
        <f t="shared" si="43"/>
        <v>13000</v>
      </c>
      <c r="Z221" s="76"/>
    </row>
    <row r="222" spans="1:26" s="29" customFormat="1" ht="21" customHeight="1" x14ac:dyDescent="0.2">
      <c r="A222" s="30"/>
      <c r="B222" s="389" t="s">
        <v>42</v>
      </c>
      <c r="C222" s="390"/>
      <c r="F222" s="48" t="s">
        <v>64</v>
      </c>
      <c r="G222" s="43">
        <f>IF($J$1="January",U218,IF($J$1="February",U219,IF($J$1="March",U220,IF($J$1="April",U221,IF($J$1="May",U222,IF($J$1="June",U223,IF($J$1="July",U224,IF($J$1="August",U225,IF($J$1="August",U225,IF($J$1="September",U226,IF($J$1="October",U227,IF($J$1="November",U228,IF($J$1="December",U229)))))))))))))</f>
        <v>14000</v>
      </c>
      <c r="H222" s="47"/>
      <c r="I222" s="49">
        <f>IF(C226&gt;0,$K$2,C224)</f>
        <v>22</v>
      </c>
      <c r="J222" s="50" t="s">
        <v>61</v>
      </c>
      <c r="K222" s="51">
        <f>K218/$K$2*I222</f>
        <v>18333.333333333336</v>
      </c>
      <c r="L222" s="52"/>
      <c r="N222" s="71"/>
      <c r="O222" s="72" t="s">
        <v>48</v>
      </c>
      <c r="P222" s="72">
        <v>29</v>
      </c>
      <c r="Q222" s="72">
        <v>2</v>
      </c>
      <c r="R222" s="72">
        <f t="shared" si="41"/>
        <v>0</v>
      </c>
      <c r="S222" s="63"/>
      <c r="T222" s="72" t="s">
        <v>48</v>
      </c>
      <c r="U222" s="105">
        <f>Y221</f>
        <v>13000</v>
      </c>
      <c r="V222" s="74">
        <f>3000+4000+1000</f>
        <v>8000</v>
      </c>
      <c r="W222" s="105">
        <f t="shared" si="42"/>
        <v>21000</v>
      </c>
      <c r="X222" s="74">
        <v>7000</v>
      </c>
      <c r="Y222" s="105">
        <f t="shared" si="43"/>
        <v>14000</v>
      </c>
      <c r="Z222" s="76"/>
    </row>
    <row r="223" spans="1:26" s="29" customFormat="1" ht="21" customHeight="1" x14ac:dyDescent="0.2">
      <c r="A223" s="30"/>
      <c r="B223" s="39"/>
      <c r="C223" s="39"/>
      <c r="F223" s="48" t="s">
        <v>20</v>
      </c>
      <c r="G223" s="43">
        <f>IF($J$1="January",V218,IF($J$1="February",V219,IF($J$1="March",V220,IF($J$1="April",V221,IF($J$1="May",V222,IF($J$1="June",V223,IF($J$1="July",V224,IF($J$1="August",V225,IF($J$1="August",V225,IF($J$1="September",V226,IF($J$1="October",V227,IF($J$1="November",V228,IF($J$1="December",V229)))))))))))))</f>
        <v>5000</v>
      </c>
      <c r="H223" s="47"/>
      <c r="I223" s="84">
        <v>70</v>
      </c>
      <c r="J223" s="50" t="s">
        <v>62</v>
      </c>
      <c r="K223" s="53">
        <f>K218/$K$2/8*I223</f>
        <v>7291.666666666667</v>
      </c>
      <c r="L223" s="54"/>
      <c r="N223" s="71"/>
      <c r="O223" s="72" t="s">
        <v>49</v>
      </c>
      <c r="P223" s="72">
        <v>22</v>
      </c>
      <c r="Q223" s="72">
        <v>8</v>
      </c>
      <c r="R223" s="72">
        <v>0</v>
      </c>
      <c r="S223" s="63"/>
      <c r="T223" s="72" t="s">
        <v>49</v>
      </c>
      <c r="U223" s="105">
        <f>Y222</f>
        <v>14000</v>
      </c>
      <c r="V223" s="74">
        <v>5000</v>
      </c>
      <c r="W223" s="105">
        <f t="shared" si="42"/>
        <v>19000</v>
      </c>
      <c r="X223" s="74">
        <v>19000</v>
      </c>
      <c r="Y223" s="105">
        <f t="shared" si="43"/>
        <v>0</v>
      </c>
      <c r="Z223" s="76"/>
    </row>
    <row r="224" spans="1:26" s="29" customFormat="1" ht="21" customHeight="1" x14ac:dyDescent="0.2">
      <c r="A224" s="30"/>
      <c r="B224" s="48" t="s">
        <v>7</v>
      </c>
      <c r="C224" s="39">
        <f>IF($J$1="January",P218,IF($J$1="February",P219,IF($J$1="March",P220,IF($J$1="April",P221,IF($J$1="May",P222,IF($J$1="June",P223,IF($J$1="July",P224,IF($J$1="August",P225,IF($J$1="August",P225,IF($J$1="September",P226,IF($J$1="October",P227,IF($J$1="November",P228,IF($J$1="December",P229)))))))))))))</f>
        <v>22</v>
      </c>
      <c r="F224" s="48" t="s">
        <v>65</v>
      </c>
      <c r="G224" s="43">
        <f>IF($J$1="January",W218,IF($J$1="February",W219,IF($J$1="March",W220,IF($J$1="April",W221,IF($J$1="May",W222,IF($J$1="June",W223,IF($J$1="July",W224,IF($J$1="August",W225,IF($J$1="August",W225,IF($J$1="September",W226,IF($J$1="October",W227,IF($J$1="November",W228,IF($J$1="December",W229)))))))))))))</f>
        <v>19000</v>
      </c>
      <c r="H224" s="47"/>
      <c r="I224" s="392" t="s">
        <v>69</v>
      </c>
      <c r="J224" s="393"/>
      <c r="K224" s="53">
        <f>K222+K223</f>
        <v>25625.000000000004</v>
      </c>
      <c r="L224" s="54"/>
      <c r="N224" s="71"/>
      <c r="O224" s="72" t="s">
        <v>50</v>
      </c>
      <c r="P224" s="72"/>
      <c r="Q224" s="72"/>
      <c r="R224" s="72">
        <f t="shared" si="41"/>
        <v>0</v>
      </c>
      <c r="S224" s="63"/>
      <c r="T224" s="72" t="s">
        <v>50</v>
      </c>
      <c r="U224" s="105"/>
      <c r="V224" s="74"/>
      <c r="W224" s="105" t="str">
        <f t="shared" si="42"/>
        <v/>
      </c>
      <c r="X224" s="74"/>
      <c r="Y224" s="105" t="str">
        <f t="shared" si="43"/>
        <v/>
      </c>
      <c r="Z224" s="76"/>
    </row>
    <row r="225" spans="1:27" s="29" customFormat="1" ht="21" customHeight="1" x14ac:dyDescent="0.2">
      <c r="A225" s="30"/>
      <c r="B225" s="48" t="s">
        <v>6</v>
      </c>
      <c r="C225" s="39">
        <f>IF($J$1="January",Q218,IF($J$1="February",Q219,IF($J$1="March",Q220,IF($J$1="April",Q221,IF($J$1="May",Q222,IF($J$1="June",Q223,IF($J$1="July",Q224,IF($J$1="August",Q225,IF($J$1="August",Q225,IF($J$1="September",Q226,IF($J$1="October",Q227,IF($J$1="November",Q228,IF($J$1="December",Q229)))))))))))))</f>
        <v>8</v>
      </c>
      <c r="F225" s="48" t="s">
        <v>21</v>
      </c>
      <c r="G225" s="43">
        <f>IF($J$1="January",X218,IF($J$1="February",X219,IF($J$1="March",X220,IF($J$1="April",X221,IF($J$1="May",X222,IF($J$1="June",X223,IF($J$1="July",X224,IF($J$1="August",X225,IF($J$1="August",X225,IF($J$1="September",X226,IF($J$1="October",X227,IF($J$1="November",X228,IF($J$1="December",X229)))))))))))))</f>
        <v>19000</v>
      </c>
      <c r="H225" s="47"/>
      <c r="I225" s="392" t="s">
        <v>70</v>
      </c>
      <c r="J225" s="393"/>
      <c r="K225" s="43">
        <f>G225</f>
        <v>19000</v>
      </c>
      <c r="L225" s="55"/>
      <c r="N225" s="71"/>
      <c r="O225" s="72" t="s">
        <v>51</v>
      </c>
      <c r="P225" s="72"/>
      <c r="Q225" s="72"/>
      <c r="R225" s="72">
        <f t="shared" si="41"/>
        <v>0</v>
      </c>
      <c r="S225" s="63"/>
      <c r="T225" s="72" t="s">
        <v>51</v>
      </c>
      <c r="U225" s="105" t="str">
        <f t="shared" ref="U225:U228" si="44">Y224</f>
        <v/>
      </c>
      <c r="V225" s="74"/>
      <c r="W225" s="105" t="str">
        <f t="shared" si="42"/>
        <v/>
      </c>
      <c r="X225" s="74"/>
      <c r="Y225" s="105" t="str">
        <f t="shared" si="43"/>
        <v/>
      </c>
      <c r="Z225" s="76"/>
    </row>
    <row r="226" spans="1:27" s="29" customFormat="1" ht="21" customHeight="1" x14ac:dyDescent="0.2">
      <c r="A226" s="30"/>
      <c r="B226" s="56" t="s">
        <v>68</v>
      </c>
      <c r="C226" s="39">
        <f>IF($J$1="January",R218,IF($J$1="February",R219,IF($J$1="March",R220,IF($J$1="April",R221,IF($J$1="May",R222,IF($J$1="June",R223,IF($J$1="July",R224,IF($J$1="August",R225,IF($J$1="August",R225,IF($J$1="September",R226,IF($J$1="October",R227,IF($J$1="November",R228,IF($J$1="December",R229)))))))))))))</f>
        <v>0</v>
      </c>
      <c r="F226" s="48" t="s">
        <v>67</v>
      </c>
      <c r="G226" s="43">
        <f>IF($J$1="January",Y218,IF($J$1="February",Y219,IF($J$1="March",Y220,IF($J$1="April",Y221,IF($J$1="May",Y222,IF($J$1="June",Y223,IF($J$1="July",Y224,IF($J$1="August",Y225,IF($J$1="August",Y225,IF($J$1="September",Y226,IF($J$1="October",Y227,IF($J$1="November",Y228,IF($J$1="December",Y229)))))))))))))</f>
        <v>0</v>
      </c>
      <c r="I226" s="387" t="s">
        <v>63</v>
      </c>
      <c r="J226" s="388"/>
      <c r="K226" s="57"/>
      <c r="L226" s="58"/>
      <c r="N226" s="71"/>
      <c r="O226" s="72" t="s">
        <v>56</v>
      </c>
      <c r="P226" s="72"/>
      <c r="Q226" s="72"/>
      <c r="R226" s="72">
        <f t="shared" si="41"/>
        <v>0</v>
      </c>
      <c r="S226" s="63"/>
      <c r="T226" s="72" t="s">
        <v>56</v>
      </c>
      <c r="U226" s="105" t="str">
        <f t="shared" si="44"/>
        <v/>
      </c>
      <c r="V226" s="74"/>
      <c r="W226" s="105" t="str">
        <f t="shared" si="42"/>
        <v/>
      </c>
      <c r="X226" s="74"/>
      <c r="Y226" s="105" t="str">
        <f t="shared" si="43"/>
        <v/>
      </c>
      <c r="Z226" s="76"/>
    </row>
    <row r="227" spans="1:27" s="29" customFormat="1" ht="21" customHeight="1" x14ac:dyDescent="0.2">
      <c r="A227" s="30"/>
      <c r="J227" s="29" t="s">
        <v>230</v>
      </c>
      <c r="K227" s="107"/>
      <c r="L227" s="46"/>
      <c r="N227" s="71"/>
      <c r="O227" s="72" t="s">
        <v>52</v>
      </c>
      <c r="P227" s="72"/>
      <c r="Q227" s="72"/>
      <c r="R227" s="72">
        <f t="shared" si="41"/>
        <v>0</v>
      </c>
      <c r="S227" s="63"/>
      <c r="T227" s="72" t="s">
        <v>52</v>
      </c>
      <c r="U227" s="105" t="str">
        <f t="shared" si="44"/>
        <v/>
      </c>
      <c r="V227" s="74"/>
      <c r="W227" s="105" t="str">
        <f t="shared" si="42"/>
        <v/>
      </c>
      <c r="X227" s="74"/>
      <c r="Y227" s="105" t="str">
        <f t="shared" si="43"/>
        <v/>
      </c>
      <c r="Z227" s="76"/>
    </row>
    <row r="228" spans="1:27" s="29" customFormat="1" ht="21" customHeight="1" x14ac:dyDescent="0.2">
      <c r="A228" s="30"/>
      <c r="B228" s="394" t="s">
        <v>85</v>
      </c>
      <c r="C228" s="394"/>
      <c r="D228" s="394"/>
      <c r="E228" s="394"/>
      <c r="F228" s="394"/>
      <c r="G228" s="394"/>
      <c r="H228" s="394"/>
      <c r="I228" s="394"/>
      <c r="J228" s="394"/>
      <c r="K228" s="394"/>
      <c r="L228" s="46"/>
      <c r="N228" s="71"/>
      <c r="O228" s="72" t="s">
        <v>57</v>
      </c>
      <c r="P228" s="72"/>
      <c r="Q228" s="72"/>
      <c r="R228" s="72">
        <f t="shared" si="41"/>
        <v>0</v>
      </c>
      <c r="S228" s="63"/>
      <c r="T228" s="72" t="s">
        <v>57</v>
      </c>
      <c r="U228" s="105" t="str">
        <f t="shared" si="44"/>
        <v/>
      </c>
      <c r="V228" s="74"/>
      <c r="W228" s="105" t="str">
        <f t="shared" si="42"/>
        <v/>
      </c>
      <c r="X228" s="74"/>
      <c r="Y228" s="105" t="str">
        <f t="shared" si="43"/>
        <v/>
      </c>
      <c r="Z228" s="76"/>
    </row>
    <row r="229" spans="1:27" s="29" customFormat="1" ht="21" customHeight="1" x14ac:dyDescent="0.2">
      <c r="A229" s="30"/>
      <c r="B229" s="394"/>
      <c r="C229" s="394"/>
      <c r="D229" s="394"/>
      <c r="E229" s="394"/>
      <c r="F229" s="394"/>
      <c r="G229" s="394"/>
      <c r="H229" s="394"/>
      <c r="I229" s="394"/>
      <c r="J229" s="394"/>
      <c r="K229" s="394"/>
      <c r="L229" s="46"/>
      <c r="N229" s="71"/>
      <c r="O229" s="72" t="s">
        <v>58</v>
      </c>
      <c r="P229" s="72"/>
      <c r="Q229" s="72"/>
      <c r="R229" s="72">
        <f t="shared" si="41"/>
        <v>0</v>
      </c>
      <c r="S229" s="63"/>
      <c r="T229" s="72" t="s">
        <v>58</v>
      </c>
      <c r="U229" s="105" t="str">
        <f>Y228</f>
        <v/>
      </c>
      <c r="V229" s="74"/>
      <c r="W229" s="105" t="str">
        <f t="shared" si="42"/>
        <v/>
      </c>
      <c r="X229" s="74"/>
      <c r="Y229" s="105" t="str">
        <f t="shared" si="43"/>
        <v/>
      </c>
      <c r="Z229" s="76"/>
    </row>
    <row r="230" spans="1:27" s="29" customFormat="1" ht="21" customHeight="1" thickBot="1" x14ac:dyDescent="0.25">
      <c r="A230" s="59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1"/>
      <c r="N230" s="77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9"/>
    </row>
    <row r="231" spans="1:27" s="29" customFormat="1" ht="21" customHeight="1" thickBot="1" x14ac:dyDescent="0.25"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spans="1:27" s="29" customFormat="1" ht="21" customHeight="1" x14ac:dyDescent="0.2">
      <c r="A232" s="396" t="s">
        <v>40</v>
      </c>
      <c r="B232" s="397"/>
      <c r="C232" s="397"/>
      <c r="D232" s="397"/>
      <c r="E232" s="397"/>
      <c r="F232" s="397"/>
      <c r="G232" s="397"/>
      <c r="H232" s="397"/>
      <c r="I232" s="397"/>
      <c r="J232" s="397"/>
      <c r="K232" s="397"/>
      <c r="L232" s="398"/>
      <c r="M232" s="28"/>
      <c r="N232" s="64"/>
      <c r="O232" s="403" t="s">
        <v>42</v>
      </c>
      <c r="P232" s="404"/>
      <c r="Q232" s="404"/>
      <c r="R232" s="405"/>
      <c r="S232" s="65"/>
      <c r="T232" s="403" t="s">
        <v>43</v>
      </c>
      <c r="U232" s="404"/>
      <c r="V232" s="404"/>
      <c r="W232" s="404"/>
      <c r="X232" s="404"/>
      <c r="Y232" s="405"/>
      <c r="Z232" s="66"/>
      <c r="AA232" s="28"/>
    </row>
    <row r="233" spans="1:27" s="29" customFormat="1" ht="21" customHeight="1" x14ac:dyDescent="0.2">
      <c r="A233" s="30"/>
      <c r="C233" s="402" t="s">
        <v>83</v>
      </c>
      <c r="D233" s="402"/>
      <c r="E233" s="402"/>
      <c r="F233" s="402"/>
      <c r="G233" s="31" t="str">
        <f>$J$1</f>
        <v>June</v>
      </c>
      <c r="H233" s="409">
        <f>$K$1</f>
        <v>2023</v>
      </c>
      <c r="I233" s="409"/>
      <c r="K233" s="32"/>
      <c r="L233" s="33"/>
      <c r="M233" s="32"/>
      <c r="N233" s="67"/>
      <c r="O233" s="68" t="s">
        <v>53</v>
      </c>
      <c r="P233" s="68" t="s">
        <v>7</v>
      </c>
      <c r="Q233" s="68" t="s">
        <v>6</v>
      </c>
      <c r="R233" s="68" t="s">
        <v>54</v>
      </c>
      <c r="S233" s="69"/>
      <c r="T233" s="68" t="s">
        <v>53</v>
      </c>
      <c r="U233" s="68" t="s">
        <v>55</v>
      </c>
      <c r="V233" s="68" t="s">
        <v>20</v>
      </c>
      <c r="W233" s="68" t="s">
        <v>19</v>
      </c>
      <c r="X233" s="68" t="s">
        <v>21</v>
      </c>
      <c r="Y233" s="68" t="s">
        <v>59</v>
      </c>
      <c r="Z233" s="70"/>
      <c r="AA233" s="32"/>
    </row>
    <row r="234" spans="1:27" s="29" customFormat="1" ht="21" customHeight="1" x14ac:dyDescent="0.2">
      <c r="A234" s="30"/>
      <c r="D234" s="35"/>
      <c r="E234" s="35"/>
      <c r="F234" s="35"/>
      <c r="G234" s="35"/>
      <c r="H234" s="35"/>
      <c r="J234" s="36" t="s">
        <v>1</v>
      </c>
      <c r="K234" s="37">
        <f>24000+3000+3000</f>
        <v>30000</v>
      </c>
      <c r="L234" s="38"/>
      <c r="N234" s="71"/>
      <c r="O234" s="72" t="s">
        <v>45</v>
      </c>
      <c r="P234" s="72">
        <v>31</v>
      </c>
      <c r="Q234" s="72">
        <v>0</v>
      </c>
      <c r="R234" s="72">
        <f>15-Q234</f>
        <v>15</v>
      </c>
      <c r="S234" s="73"/>
      <c r="T234" s="72" t="s">
        <v>45</v>
      </c>
      <c r="U234" s="74">
        <v>68500</v>
      </c>
      <c r="V234" s="74"/>
      <c r="W234" s="74">
        <f>V234+U234</f>
        <v>68500</v>
      </c>
      <c r="X234" s="74">
        <v>5000</v>
      </c>
      <c r="Y234" s="74">
        <f>W234-X234</f>
        <v>63500</v>
      </c>
      <c r="Z234" s="70"/>
    </row>
    <row r="235" spans="1:27" s="29" customFormat="1" ht="21" customHeight="1" x14ac:dyDescent="0.2">
      <c r="A235" s="30"/>
      <c r="B235" s="29" t="s">
        <v>0</v>
      </c>
      <c r="C235" s="40" t="s">
        <v>74</v>
      </c>
      <c r="H235" s="41"/>
      <c r="I235" s="35"/>
      <c r="L235" s="42"/>
      <c r="M235" s="28"/>
      <c r="N235" s="75"/>
      <c r="O235" s="72" t="s">
        <v>71</v>
      </c>
      <c r="P235" s="72">
        <v>27</v>
      </c>
      <c r="Q235" s="72">
        <v>1</v>
      </c>
      <c r="R235" s="72">
        <f t="shared" ref="R235:R244" si="45">IF(Q235="","",R234-Q235)</f>
        <v>14</v>
      </c>
      <c r="S235" s="63"/>
      <c r="T235" s="72" t="s">
        <v>71</v>
      </c>
      <c r="U235" s="105">
        <f>Y234</f>
        <v>63500</v>
      </c>
      <c r="V235" s="74">
        <v>2000</v>
      </c>
      <c r="W235" s="105">
        <f>IF(U235="","",U235+V235)</f>
        <v>65500</v>
      </c>
      <c r="X235" s="74">
        <v>5000</v>
      </c>
      <c r="Y235" s="105">
        <f>IF(W235="","",W235-X235)</f>
        <v>60500</v>
      </c>
      <c r="Z235" s="76"/>
      <c r="AA235" s="28"/>
    </row>
    <row r="236" spans="1:27" s="29" customFormat="1" ht="21" customHeight="1" x14ac:dyDescent="0.2">
      <c r="A236" s="30"/>
      <c r="B236" s="44" t="s">
        <v>41</v>
      </c>
      <c r="C236" s="45"/>
      <c r="F236" s="391" t="s">
        <v>43</v>
      </c>
      <c r="G236" s="391"/>
      <c r="I236" s="391" t="s">
        <v>44</v>
      </c>
      <c r="J236" s="391"/>
      <c r="K236" s="391"/>
      <c r="L236" s="46"/>
      <c r="N236" s="71"/>
      <c r="O236" s="72" t="s">
        <v>46</v>
      </c>
      <c r="P236" s="72">
        <v>29</v>
      </c>
      <c r="Q236" s="72">
        <v>2</v>
      </c>
      <c r="R236" s="72">
        <f t="shared" si="45"/>
        <v>12</v>
      </c>
      <c r="S236" s="63"/>
      <c r="T236" s="72" t="s">
        <v>46</v>
      </c>
      <c r="U236" s="105">
        <f>Y235</f>
        <v>60500</v>
      </c>
      <c r="V236" s="74">
        <v>9000</v>
      </c>
      <c r="W236" s="105">
        <f t="shared" ref="W236:W245" si="46">IF(U236="","",U236+V236)</f>
        <v>69500</v>
      </c>
      <c r="X236" s="74"/>
      <c r="Y236" s="105">
        <f t="shared" ref="Y236:Y245" si="47">IF(W236="","",W236-X236)</f>
        <v>69500</v>
      </c>
      <c r="Z236" s="76"/>
    </row>
    <row r="237" spans="1:27" s="29" customFormat="1" ht="21" customHeight="1" x14ac:dyDescent="0.2">
      <c r="A237" s="30"/>
      <c r="H237" s="47"/>
      <c r="L237" s="34"/>
      <c r="N237" s="71"/>
      <c r="O237" s="72" t="s">
        <v>47</v>
      </c>
      <c r="P237" s="72">
        <v>27</v>
      </c>
      <c r="Q237" s="72">
        <v>3</v>
      </c>
      <c r="R237" s="72">
        <f t="shared" si="45"/>
        <v>9</v>
      </c>
      <c r="S237" s="63"/>
      <c r="T237" s="72" t="s">
        <v>47</v>
      </c>
      <c r="U237" s="105">
        <f>Y236</f>
        <v>69500</v>
      </c>
      <c r="V237" s="74">
        <f>5000+5000</f>
        <v>10000</v>
      </c>
      <c r="W237" s="105">
        <f t="shared" si="46"/>
        <v>79500</v>
      </c>
      <c r="X237" s="74">
        <v>5000</v>
      </c>
      <c r="Y237" s="105">
        <f t="shared" si="47"/>
        <v>74500</v>
      </c>
      <c r="Z237" s="76"/>
    </row>
    <row r="238" spans="1:27" s="29" customFormat="1" ht="21" customHeight="1" x14ac:dyDescent="0.2">
      <c r="A238" s="30"/>
      <c r="B238" s="389" t="s">
        <v>42</v>
      </c>
      <c r="C238" s="390"/>
      <c r="F238" s="48" t="s">
        <v>64</v>
      </c>
      <c r="G238" s="43">
        <f>IF($J$1="January",U234,IF($J$1="February",U235,IF($J$1="March",U236,IF($J$1="April",U237,IF($J$1="May",U238,IF($J$1="June",U239,IF($J$1="July",U240,IF($J$1="August",U241,IF($J$1="August",U241,IF($J$1="September",U242,IF($J$1="October",U243,IF($J$1="November",U244,IF($J$1="December",U245)))))))))))))</f>
        <v>80000</v>
      </c>
      <c r="H238" s="47"/>
      <c r="I238" s="49">
        <f>IF(C242&gt;0,$K$2,C240)</f>
        <v>30</v>
      </c>
      <c r="J238" s="50" t="s">
        <v>61</v>
      </c>
      <c r="K238" s="51">
        <f>K234/$K$2*I238</f>
        <v>30000</v>
      </c>
      <c r="L238" s="52"/>
      <c r="N238" s="71"/>
      <c r="O238" s="72" t="s">
        <v>48</v>
      </c>
      <c r="P238" s="72">
        <v>30</v>
      </c>
      <c r="Q238" s="72">
        <v>1</v>
      </c>
      <c r="R238" s="72">
        <f t="shared" si="45"/>
        <v>8</v>
      </c>
      <c r="S238" s="63"/>
      <c r="T238" s="72" t="s">
        <v>48</v>
      </c>
      <c r="U238" s="105">
        <f>Y237</f>
        <v>74500</v>
      </c>
      <c r="V238" s="74">
        <v>10500</v>
      </c>
      <c r="W238" s="105">
        <f t="shared" si="46"/>
        <v>85000</v>
      </c>
      <c r="X238" s="74">
        <v>5000</v>
      </c>
      <c r="Y238" s="105">
        <f t="shared" si="47"/>
        <v>80000</v>
      </c>
      <c r="Z238" s="76"/>
    </row>
    <row r="239" spans="1:27" s="29" customFormat="1" ht="21" customHeight="1" x14ac:dyDescent="0.2">
      <c r="A239" s="30"/>
      <c r="B239" s="39"/>
      <c r="C239" s="39"/>
      <c r="F239" s="48" t="s">
        <v>20</v>
      </c>
      <c r="G239" s="109">
        <f>IF($J$1="January",V234,IF($J$1="February",V235,IF($J$1="March",V236,IF($J$1="April",V237,IF($J$1="May",V238,IF($J$1="June",V239,IF($J$1="July",V240,IF($J$1="August",V241,IF($J$1="August",V241,IF($J$1="September",V242,IF($J$1="October",V243,IF($J$1="November",V244,IF($J$1="December",V245)))))))))))))</f>
        <v>25000</v>
      </c>
      <c r="H239" s="47"/>
      <c r="I239" s="84">
        <v>119</v>
      </c>
      <c r="J239" s="50" t="s">
        <v>62</v>
      </c>
      <c r="K239" s="53">
        <f>K234/$K$2/8*I239</f>
        <v>14875</v>
      </c>
      <c r="L239" s="54"/>
      <c r="N239" s="71"/>
      <c r="O239" s="72" t="s">
        <v>49</v>
      </c>
      <c r="P239" s="72">
        <v>28</v>
      </c>
      <c r="Q239" s="72">
        <v>2</v>
      </c>
      <c r="R239" s="72">
        <f t="shared" si="45"/>
        <v>6</v>
      </c>
      <c r="S239" s="63"/>
      <c r="T239" s="72" t="s">
        <v>49</v>
      </c>
      <c r="U239" s="105">
        <f>Y238</f>
        <v>80000</v>
      </c>
      <c r="V239" s="74">
        <v>25000</v>
      </c>
      <c r="W239" s="105">
        <f t="shared" si="46"/>
        <v>105000</v>
      </c>
      <c r="X239" s="74">
        <v>25000</v>
      </c>
      <c r="Y239" s="105">
        <f t="shared" si="47"/>
        <v>80000</v>
      </c>
      <c r="Z239" s="76"/>
    </row>
    <row r="240" spans="1:27" s="29" customFormat="1" ht="21" customHeight="1" x14ac:dyDescent="0.2">
      <c r="A240" s="30"/>
      <c r="B240" s="48" t="s">
        <v>7</v>
      </c>
      <c r="C240" s="39">
        <f>IF($J$1="January",P234,IF($J$1="February",P235,IF($J$1="March",P236,IF($J$1="April",P237,IF($J$1="May",P238,IF($J$1="June",P239,IF($J$1="July",P240,IF($J$1="August",P241,IF($J$1="August",P241,IF($J$1="September",P242,IF($J$1="October",P243,IF($J$1="November",P244,IF($J$1="December",P245)))))))))))))</f>
        <v>28</v>
      </c>
      <c r="F240" s="48" t="s">
        <v>65</v>
      </c>
      <c r="G240" s="109">
        <f>IF($J$1="January",W234,IF($J$1="February",W235,IF($J$1="March",W236,IF($J$1="April",W237,IF($J$1="May",W238,IF($J$1="June",W239,IF($J$1="July",W240,IF($J$1="August",W241,IF($J$1="August",W241,IF($J$1="September",W242,IF($J$1="October",W243,IF($J$1="November",W244,IF($J$1="December",W245)))))))))))))</f>
        <v>105000</v>
      </c>
      <c r="H240" s="47"/>
      <c r="I240" s="392" t="s">
        <v>69</v>
      </c>
      <c r="J240" s="393"/>
      <c r="K240" s="53">
        <f>K238+K239</f>
        <v>44875</v>
      </c>
      <c r="L240" s="54"/>
      <c r="N240" s="71"/>
      <c r="O240" s="72" t="s">
        <v>50</v>
      </c>
      <c r="P240" s="72"/>
      <c r="Q240" s="72"/>
      <c r="R240" s="72">
        <v>0</v>
      </c>
      <c r="S240" s="63"/>
      <c r="T240" s="72" t="s">
        <v>50</v>
      </c>
      <c r="U240" s="105"/>
      <c r="V240" s="74"/>
      <c r="W240" s="105" t="str">
        <f t="shared" si="46"/>
        <v/>
      </c>
      <c r="X240" s="74"/>
      <c r="Y240" s="105" t="str">
        <f t="shared" si="47"/>
        <v/>
      </c>
      <c r="Z240" s="76"/>
    </row>
    <row r="241" spans="1:26" s="29" customFormat="1" ht="21" customHeight="1" x14ac:dyDescent="0.2">
      <c r="A241" s="30"/>
      <c r="B241" s="48" t="s">
        <v>6</v>
      </c>
      <c r="C241" s="39">
        <f>IF($J$1="January",Q234,IF($J$1="February",Q235,IF($J$1="March",Q236,IF($J$1="April",Q237,IF($J$1="May",Q238,IF($J$1="June",Q239,IF($J$1="July",Q240,IF($J$1="August",Q241,IF($J$1="August",Q241,IF($J$1="September",Q242,IF($J$1="October",Q243,IF($J$1="November",Q244,IF($J$1="December",Q245)))))))))))))</f>
        <v>2</v>
      </c>
      <c r="F241" s="48" t="s">
        <v>21</v>
      </c>
      <c r="G241" s="109">
        <f>IF($J$1="January",X234,IF($J$1="February",X235,IF($J$1="March",X236,IF($J$1="April",X237,IF($J$1="May",X238,IF($J$1="June",X239,IF($J$1="July",X240,IF($J$1="August",X241,IF($J$1="August",X241,IF($J$1="September",X242,IF($J$1="October",X243,IF($J$1="November",X244,IF($J$1="December",X245)))))))))))))</f>
        <v>25000</v>
      </c>
      <c r="H241" s="47"/>
      <c r="I241" s="392" t="s">
        <v>70</v>
      </c>
      <c r="J241" s="393"/>
      <c r="K241" s="43">
        <f>G241</f>
        <v>25000</v>
      </c>
      <c r="L241" s="55"/>
      <c r="N241" s="71"/>
      <c r="O241" s="72" t="s">
        <v>51</v>
      </c>
      <c r="P241" s="72"/>
      <c r="Q241" s="72"/>
      <c r="R241" s="72">
        <v>0</v>
      </c>
      <c r="S241" s="63"/>
      <c r="T241" s="72" t="s">
        <v>51</v>
      </c>
      <c r="U241" s="105"/>
      <c r="V241" s="74"/>
      <c r="W241" s="105" t="str">
        <f t="shared" si="46"/>
        <v/>
      </c>
      <c r="X241" s="74"/>
      <c r="Y241" s="105" t="str">
        <f t="shared" si="47"/>
        <v/>
      </c>
      <c r="Z241" s="76"/>
    </row>
    <row r="242" spans="1:26" s="29" customFormat="1" ht="21" customHeight="1" x14ac:dyDescent="0.2">
      <c r="A242" s="30"/>
      <c r="B242" s="56" t="s">
        <v>68</v>
      </c>
      <c r="C242" s="39">
        <f>IF($J$1="January",R234,IF($J$1="February",R235,IF($J$1="March",R236,IF($J$1="April",R237,IF($J$1="May",R238,IF($J$1="June",R239,IF($J$1="July",R240,IF($J$1="August",R241,IF($J$1="August",R241,IF($J$1="September",R242,IF($J$1="October",R243,IF($J$1="November",R244,IF($J$1="December",R245)))))))))))))</f>
        <v>6</v>
      </c>
      <c r="F242" s="48" t="s">
        <v>67</v>
      </c>
      <c r="G242" s="109">
        <f>IF($J$1="January",Y234,IF($J$1="February",Y235,IF($J$1="March",Y236,IF($J$1="April",Y237,IF($J$1="May",Y238,IF($J$1="June",Y239,IF($J$1="July",Y240,IF($J$1="August",Y241,IF($J$1="August",Y241,IF($J$1="September",Y242,IF($J$1="October",Y243,IF($J$1="November",Y244,IF($J$1="December",Y245)))))))))))))</f>
        <v>80000</v>
      </c>
      <c r="I242" s="387" t="s">
        <v>63</v>
      </c>
      <c r="J242" s="388"/>
      <c r="K242" s="57">
        <f>K240-K241</f>
        <v>19875</v>
      </c>
      <c r="L242" s="58"/>
      <c r="N242" s="71"/>
      <c r="O242" s="72" t="s">
        <v>56</v>
      </c>
      <c r="P242" s="72"/>
      <c r="Q242" s="72"/>
      <c r="R242" s="72">
        <v>0</v>
      </c>
      <c r="S242" s="63"/>
      <c r="T242" s="72" t="s">
        <v>56</v>
      </c>
      <c r="U242" s="105"/>
      <c r="V242" s="74"/>
      <c r="W242" s="105" t="str">
        <f t="shared" si="46"/>
        <v/>
      </c>
      <c r="X242" s="74"/>
      <c r="Y242" s="105" t="str">
        <f t="shared" si="47"/>
        <v/>
      </c>
      <c r="Z242" s="76"/>
    </row>
    <row r="243" spans="1:26" s="29" customFormat="1" ht="21" customHeight="1" x14ac:dyDescent="0.2">
      <c r="A243" s="30"/>
      <c r="J243" s="107"/>
      <c r="K243" s="107"/>
      <c r="L243" s="46"/>
      <c r="N243" s="71"/>
      <c r="O243" s="72" t="s">
        <v>52</v>
      </c>
      <c r="P243" s="72"/>
      <c r="Q243" s="72"/>
      <c r="R243" s="72">
        <v>0</v>
      </c>
      <c r="S243" s="63">
        <v>0</v>
      </c>
      <c r="T243" s="72" t="s">
        <v>52</v>
      </c>
      <c r="U243" s="105"/>
      <c r="V243" s="74"/>
      <c r="W243" s="105" t="str">
        <f t="shared" si="46"/>
        <v/>
      </c>
      <c r="X243" s="74"/>
      <c r="Y243" s="105" t="str">
        <f t="shared" si="47"/>
        <v/>
      </c>
      <c r="Z243" s="76"/>
    </row>
    <row r="244" spans="1:26" s="29" customFormat="1" ht="21" customHeight="1" x14ac:dyDescent="0.2">
      <c r="A244" s="30"/>
      <c r="B244" s="394" t="s">
        <v>85</v>
      </c>
      <c r="C244" s="394"/>
      <c r="D244" s="394"/>
      <c r="E244" s="394"/>
      <c r="F244" s="394"/>
      <c r="G244" s="394"/>
      <c r="H244" s="394"/>
      <c r="I244" s="394"/>
      <c r="J244" s="394"/>
      <c r="K244" s="394"/>
      <c r="L244" s="46"/>
      <c r="N244" s="71"/>
      <c r="O244" s="72" t="s">
        <v>57</v>
      </c>
      <c r="P244" s="72"/>
      <c r="Q244" s="72"/>
      <c r="R244" s="72" t="str">
        <f t="shared" si="45"/>
        <v/>
      </c>
      <c r="S244" s="63"/>
      <c r="T244" s="72" t="s">
        <v>57</v>
      </c>
      <c r="U244" s="105"/>
      <c r="V244" s="74"/>
      <c r="W244" s="105" t="str">
        <f t="shared" si="46"/>
        <v/>
      </c>
      <c r="X244" s="74"/>
      <c r="Y244" s="105" t="str">
        <f t="shared" si="47"/>
        <v/>
      </c>
      <c r="Z244" s="76"/>
    </row>
    <row r="245" spans="1:26" s="29" customFormat="1" ht="21" customHeight="1" x14ac:dyDescent="0.2">
      <c r="A245" s="30"/>
      <c r="B245" s="394"/>
      <c r="C245" s="394"/>
      <c r="D245" s="394"/>
      <c r="E245" s="394"/>
      <c r="F245" s="394"/>
      <c r="G245" s="394"/>
      <c r="H245" s="394"/>
      <c r="I245" s="394"/>
      <c r="J245" s="394"/>
      <c r="K245" s="394"/>
      <c r="L245" s="46"/>
      <c r="N245" s="71"/>
      <c r="O245" s="72" t="s">
        <v>58</v>
      </c>
      <c r="P245" s="72"/>
      <c r="Q245" s="72"/>
      <c r="R245" s="72">
        <v>0</v>
      </c>
      <c r="S245" s="63"/>
      <c r="T245" s="72" t="s">
        <v>58</v>
      </c>
      <c r="U245" s="105"/>
      <c r="V245" s="74"/>
      <c r="W245" s="105" t="str">
        <f t="shared" si="46"/>
        <v/>
      </c>
      <c r="X245" s="74"/>
      <c r="Y245" s="105" t="str">
        <f t="shared" si="47"/>
        <v/>
      </c>
      <c r="Z245" s="76"/>
    </row>
    <row r="246" spans="1:26" s="29" customFormat="1" ht="21" customHeight="1" thickBot="1" x14ac:dyDescent="0.25">
      <c r="A246" s="59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1"/>
      <c r="N246" s="77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9"/>
    </row>
    <row r="247" spans="1:26" s="29" customFormat="1" ht="21" customHeight="1" thickBot="1" x14ac:dyDescent="0.25"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spans="1:26" s="29" customFormat="1" ht="21" customHeight="1" x14ac:dyDescent="0.2">
      <c r="A248" s="413" t="s">
        <v>40</v>
      </c>
      <c r="B248" s="414"/>
      <c r="C248" s="414"/>
      <c r="D248" s="414"/>
      <c r="E248" s="414"/>
      <c r="F248" s="414"/>
      <c r="G248" s="414"/>
      <c r="H248" s="414"/>
      <c r="I248" s="414"/>
      <c r="J248" s="414"/>
      <c r="K248" s="414"/>
      <c r="L248" s="415"/>
      <c r="M248" s="28"/>
      <c r="N248" s="64"/>
      <c r="O248" s="403" t="s">
        <v>42</v>
      </c>
      <c r="P248" s="404"/>
      <c r="Q248" s="404"/>
      <c r="R248" s="405"/>
      <c r="S248" s="65"/>
      <c r="T248" s="403" t="s">
        <v>43</v>
      </c>
      <c r="U248" s="404"/>
      <c r="V248" s="404"/>
      <c r="W248" s="404"/>
      <c r="X248" s="404"/>
      <c r="Y248" s="405"/>
      <c r="Z248" s="66"/>
    </row>
    <row r="249" spans="1:26" s="29" customFormat="1" ht="21" customHeight="1" x14ac:dyDescent="0.2">
      <c r="A249" s="30"/>
      <c r="C249" s="402" t="s">
        <v>83</v>
      </c>
      <c r="D249" s="402"/>
      <c r="E249" s="402"/>
      <c r="F249" s="402"/>
      <c r="G249" s="31" t="str">
        <f>$J$1</f>
        <v>June</v>
      </c>
      <c r="H249" s="409">
        <f>$K$1</f>
        <v>2023</v>
      </c>
      <c r="I249" s="409"/>
      <c r="K249" s="32"/>
      <c r="L249" s="33"/>
      <c r="M249" s="32"/>
      <c r="N249" s="67"/>
      <c r="O249" s="68" t="s">
        <v>53</v>
      </c>
      <c r="P249" s="68" t="s">
        <v>7</v>
      </c>
      <c r="Q249" s="68" t="s">
        <v>6</v>
      </c>
      <c r="R249" s="68" t="s">
        <v>54</v>
      </c>
      <c r="S249" s="69"/>
      <c r="T249" s="68" t="s">
        <v>53</v>
      </c>
      <c r="U249" s="68" t="s">
        <v>55</v>
      </c>
      <c r="V249" s="68" t="s">
        <v>20</v>
      </c>
      <c r="W249" s="68" t="s">
        <v>19</v>
      </c>
      <c r="X249" s="68" t="s">
        <v>21</v>
      </c>
      <c r="Y249" s="68" t="s">
        <v>59</v>
      </c>
      <c r="Z249" s="70"/>
    </row>
    <row r="250" spans="1:26" s="29" customFormat="1" ht="21" customHeight="1" x14ac:dyDescent="0.2">
      <c r="A250" s="30"/>
      <c r="D250" s="35"/>
      <c r="E250" s="35"/>
      <c r="F250" s="35"/>
      <c r="G250" s="35"/>
      <c r="H250" s="35"/>
      <c r="J250" s="36" t="s">
        <v>1</v>
      </c>
      <c r="K250" s="37">
        <f>22000+2000+2000</f>
        <v>26000</v>
      </c>
      <c r="L250" s="38"/>
      <c r="N250" s="71"/>
      <c r="O250" s="72" t="s">
        <v>45</v>
      </c>
      <c r="P250" s="72">
        <v>13</v>
      </c>
      <c r="Q250" s="72">
        <v>18</v>
      </c>
      <c r="R250" s="72">
        <v>0</v>
      </c>
      <c r="S250" s="73"/>
      <c r="T250" s="72" t="s">
        <v>45</v>
      </c>
      <c r="U250" s="74">
        <v>4000</v>
      </c>
      <c r="V250" s="74">
        <f>2000+7000</f>
        <v>9000</v>
      </c>
      <c r="W250" s="74">
        <f>V250+U250</f>
        <v>13000</v>
      </c>
      <c r="X250" s="74">
        <v>9000</v>
      </c>
      <c r="Y250" s="74">
        <f>W250-X250</f>
        <v>4000</v>
      </c>
      <c r="Z250" s="70"/>
    </row>
    <row r="251" spans="1:26" s="29" customFormat="1" ht="21" customHeight="1" x14ac:dyDescent="0.2">
      <c r="A251" s="30"/>
      <c r="B251" s="29" t="s">
        <v>0</v>
      </c>
      <c r="C251" s="40" t="s">
        <v>84</v>
      </c>
      <c r="H251" s="41"/>
      <c r="I251" s="35"/>
      <c r="L251" s="42"/>
      <c r="M251" s="28"/>
      <c r="N251" s="75"/>
      <c r="O251" s="72" t="s">
        <v>71</v>
      </c>
      <c r="P251" s="72">
        <v>28</v>
      </c>
      <c r="Q251" s="72">
        <v>0</v>
      </c>
      <c r="R251" s="72">
        <f t="shared" ref="R251:R260" si="48">IF(Q251="","",R250-Q251)</f>
        <v>0</v>
      </c>
      <c r="S251" s="63"/>
      <c r="T251" s="72" t="s">
        <v>71</v>
      </c>
      <c r="U251" s="105">
        <f>Y250</f>
        <v>4000</v>
      </c>
      <c r="V251" s="74">
        <f>5000+3000+2000</f>
        <v>10000</v>
      </c>
      <c r="W251" s="105">
        <f>IF(U251="","",U251+V251)</f>
        <v>14000</v>
      </c>
      <c r="X251" s="74">
        <v>10000</v>
      </c>
      <c r="Y251" s="105">
        <f>IF(W251="","",W251-X251)</f>
        <v>4000</v>
      </c>
      <c r="Z251" s="76"/>
    </row>
    <row r="252" spans="1:26" s="29" customFormat="1" ht="21" customHeight="1" x14ac:dyDescent="0.2">
      <c r="A252" s="30"/>
      <c r="B252" s="44" t="s">
        <v>41</v>
      </c>
      <c r="C252" s="40"/>
      <c r="F252" s="391" t="s">
        <v>43</v>
      </c>
      <c r="G252" s="391"/>
      <c r="I252" s="391" t="s">
        <v>44</v>
      </c>
      <c r="J252" s="391"/>
      <c r="K252" s="391"/>
      <c r="L252" s="46"/>
      <c r="N252" s="71"/>
      <c r="O252" s="72" t="s">
        <v>46</v>
      </c>
      <c r="P252" s="72">
        <v>24</v>
      </c>
      <c r="Q252" s="72">
        <v>7</v>
      </c>
      <c r="R252" s="72">
        <v>0</v>
      </c>
      <c r="S252" s="63"/>
      <c r="T252" s="72" t="s">
        <v>46</v>
      </c>
      <c r="U252" s="105">
        <f>Y251</f>
        <v>4000</v>
      </c>
      <c r="V252" s="74">
        <f>3000+3000</f>
        <v>6000</v>
      </c>
      <c r="W252" s="105">
        <f t="shared" ref="W252:W261" si="49">IF(U252="","",U252+V252)</f>
        <v>10000</v>
      </c>
      <c r="X252" s="74">
        <v>7000</v>
      </c>
      <c r="Y252" s="105">
        <f t="shared" ref="Y252:Y261" si="50">IF(W252="","",W252-X252)</f>
        <v>3000</v>
      </c>
      <c r="Z252" s="76"/>
    </row>
    <row r="253" spans="1:26" s="29" customFormat="1" ht="21" customHeight="1" x14ac:dyDescent="0.2">
      <c r="A253" s="30"/>
      <c r="H253" s="47"/>
      <c r="L253" s="34"/>
      <c r="N253" s="71"/>
      <c r="O253" s="72" t="s">
        <v>47</v>
      </c>
      <c r="P253" s="72">
        <v>28</v>
      </c>
      <c r="Q253" s="72">
        <v>2</v>
      </c>
      <c r="R253" s="72">
        <v>0</v>
      </c>
      <c r="S253" s="63"/>
      <c r="T253" s="72" t="s">
        <v>47</v>
      </c>
      <c r="U253" s="105">
        <f>Y252</f>
        <v>3000</v>
      </c>
      <c r="V253" s="74">
        <f>1000+10000+1000+500</f>
        <v>12500</v>
      </c>
      <c r="W253" s="105">
        <f t="shared" si="49"/>
        <v>15500</v>
      </c>
      <c r="X253" s="74">
        <v>7000</v>
      </c>
      <c r="Y253" s="105">
        <f t="shared" si="50"/>
        <v>8500</v>
      </c>
      <c r="Z253" s="76"/>
    </row>
    <row r="254" spans="1:26" s="29" customFormat="1" ht="21" customHeight="1" x14ac:dyDescent="0.2">
      <c r="A254" s="30"/>
      <c r="B254" s="389" t="s">
        <v>42</v>
      </c>
      <c r="C254" s="390"/>
      <c r="F254" s="48" t="s">
        <v>64</v>
      </c>
      <c r="G254" s="93">
        <f>IF($J$1="January",U250,IF($J$1="February",U251,IF($J$1="March",U252,IF($J$1="April",U253,IF($J$1="May",U254,IF($J$1="June",U255,IF($J$1="July",U256,IF($J$1="August",U257,IF($J$1="August",U257,IF($J$1="September",U258,IF($J$1="October",U259,IF($J$1="November",U260,IF($J$1="December",U261)))))))))))))</f>
        <v>11500</v>
      </c>
      <c r="H254" s="47"/>
      <c r="I254" s="49">
        <f>IF(C258&gt;0,$K$2,C256)</f>
        <v>27</v>
      </c>
      <c r="J254" s="50" t="s">
        <v>61</v>
      </c>
      <c r="K254" s="51">
        <f>K250/$K$2*I254</f>
        <v>23400</v>
      </c>
      <c r="L254" s="52"/>
      <c r="N254" s="71"/>
      <c r="O254" s="72" t="s">
        <v>48</v>
      </c>
      <c r="P254" s="72">
        <v>24</v>
      </c>
      <c r="Q254" s="72">
        <v>7</v>
      </c>
      <c r="R254" s="72">
        <v>0</v>
      </c>
      <c r="S254" s="63"/>
      <c r="T254" s="72" t="s">
        <v>48</v>
      </c>
      <c r="U254" s="105">
        <f>Y253</f>
        <v>8500</v>
      </c>
      <c r="V254" s="74">
        <f>7000+2000+1000+1000+2000</f>
        <v>13000</v>
      </c>
      <c r="W254" s="105">
        <f t="shared" si="49"/>
        <v>21500</v>
      </c>
      <c r="X254" s="74">
        <v>10000</v>
      </c>
      <c r="Y254" s="105">
        <f t="shared" si="50"/>
        <v>11500</v>
      </c>
      <c r="Z254" s="76"/>
    </row>
    <row r="255" spans="1:26" s="29" customFormat="1" ht="21" customHeight="1" x14ac:dyDescent="0.2">
      <c r="A255" s="30"/>
      <c r="B255" s="39"/>
      <c r="C255" s="39"/>
      <c r="F255" s="48" t="s">
        <v>20</v>
      </c>
      <c r="G255" s="93">
        <f>IF($J$1="January",V250,IF($J$1="February",V251,IF($J$1="March",V252,IF($J$1="April",V253,IF($J$1="May",V254,IF($J$1="June",V255,IF($J$1="July",V256,IF($J$1="August",V257,IF($J$1="August",V257,IF($J$1="September",V258,IF($J$1="October",V259,IF($J$1="November",V260,IF($J$1="December",V261)))))))))))))</f>
        <v>27000</v>
      </c>
      <c r="H255" s="47"/>
      <c r="I255" s="84">
        <v>45</v>
      </c>
      <c r="J255" s="50" t="s">
        <v>62</v>
      </c>
      <c r="K255" s="53">
        <f>K250/$K$2/8*I255</f>
        <v>4875</v>
      </c>
      <c r="L255" s="54"/>
      <c r="N255" s="71"/>
      <c r="O255" s="72" t="s">
        <v>49</v>
      </c>
      <c r="P255" s="72">
        <v>27</v>
      </c>
      <c r="Q255" s="72">
        <v>3</v>
      </c>
      <c r="R255" s="72">
        <v>0</v>
      </c>
      <c r="S255" s="63"/>
      <c r="T255" s="72" t="s">
        <v>49</v>
      </c>
      <c r="U255" s="105">
        <f>Y254</f>
        <v>11500</v>
      </c>
      <c r="V255" s="74">
        <f>2000+2000+2000+1000+20000</f>
        <v>27000</v>
      </c>
      <c r="W255" s="105">
        <f t="shared" si="49"/>
        <v>38500</v>
      </c>
      <c r="X255" s="74">
        <v>28275</v>
      </c>
      <c r="Y255" s="105">
        <f t="shared" si="50"/>
        <v>10225</v>
      </c>
      <c r="Z255" s="76"/>
    </row>
    <row r="256" spans="1:26" s="29" customFormat="1" ht="21" customHeight="1" x14ac:dyDescent="0.2">
      <c r="A256" s="30"/>
      <c r="B256" s="48" t="s">
        <v>7</v>
      </c>
      <c r="C256" s="39">
        <f>IF($J$1="January",P250,IF($J$1="February",P251,IF($J$1="March",P252,IF($J$1="April",P253,IF($J$1="May",P254,IF($J$1="June",P255,IF($J$1="July",P256,IF($J$1="August",P257,IF($J$1="August",P257,IF($J$1="September",P258,IF($J$1="October",P259,IF($J$1="November",P260,IF($J$1="December",P261)))))))))))))</f>
        <v>27</v>
      </c>
      <c r="F256" s="48" t="s">
        <v>65</v>
      </c>
      <c r="G256" s="93">
        <f>IF($J$1="January",W250,IF($J$1="February",W251,IF($J$1="March",W252,IF($J$1="April",W253,IF($J$1="May",W254,IF($J$1="June",W255,IF($J$1="July",W256,IF($J$1="August",W257,IF($J$1="August",W257,IF($J$1="September",W258,IF($J$1="October",W259,IF($J$1="November",W260,IF($J$1="December",W261)))))))))))))</f>
        <v>38500</v>
      </c>
      <c r="H256" s="47"/>
      <c r="I256" s="392" t="s">
        <v>69</v>
      </c>
      <c r="J256" s="393"/>
      <c r="K256" s="53">
        <f>K254+K255</f>
        <v>28275</v>
      </c>
      <c r="L256" s="54"/>
      <c r="N256" s="71"/>
      <c r="O256" s="72" t="s">
        <v>50</v>
      </c>
      <c r="P256" s="72"/>
      <c r="Q256" s="72"/>
      <c r="R256" s="72">
        <v>0</v>
      </c>
      <c r="S256" s="63"/>
      <c r="T256" s="72" t="s">
        <v>50</v>
      </c>
      <c r="U256" s="105"/>
      <c r="V256" s="74"/>
      <c r="W256" s="105" t="str">
        <f t="shared" si="49"/>
        <v/>
      </c>
      <c r="X256" s="74"/>
      <c r="Y256" s="105" t="str">
        <f t="shared" si="50"/>
        <v/>
      </c>
      <c r="Z256" s="76"/>
    </row>
    <row r="257" spans="1:26" s="29" customFormat="1" ht="21" customHeight="1" x14ac:dyDescent="0.2">
      <c r="A257" s="30"/>
      <c r="B257" s="48" t="s">
        <v>6</v>
      </c>
      <c r="C257" s="39">
        <f>IF($J$1="January",Q250,IF($J$1="February",Q251,IF($J$1="March",Q252,IF($J$1="April",Q253,IF($J$1="May",Q254,IF($J$1="June",Q255,IF($J$1="July",Q256,IF($J$1="August",Q257,IF($J$1="August",Q257,IF($J$1="September",Q258,IF($J$1="October",Q259,IF($J$1="November",Q260,IF($J$1="December",Q261)))))))))))))</f>
        <v>3</v>
      </c>
      <c r="F257" s="48" t="s">
        <v>21</v>
      </c>
      <c r="G257" s="93">
        <f>IF($J$1="January",X250,IF($J$1="February",X251,IF($J$1="March",X252,IF($J$1="April",X253,IF($J$1="May",X254,IF($J$1="June",X255,IF($J$1="July",X256,IF($J$1="August",X257,IF($J$1="August",X257,IF($J$1="September",X258,IF($J$1="October",X259,IF($J$1="November",X260,IF($J$1="December",X261)))))))))))))</f>
        <v>28275</v>
      </c>
      <c r="H257" s="47"/>
      <c r="I257" s="392" t="s">
        <v>70</v>
      </c>
      <c r="J257" s="393"/>
      <c r="K257" s="43">
        <f>G257</f>
        <v>28275</v>
      </c>
      <c r="L257" s="55"/>
      <c r="N257" s="71"/>
      <c r="O257" s="72" t="s">
        <v>51</v>
      </c>
      <c r="P257" s="72"/>
      <c r="Q257" s="72"/>
      <c r="R257" s="72">
        <v>0</v>
      </c>
      <c r="S257" s="63"/>
      <c r="T257" s="72" t="s">
        <v>51</v>
      </c>
      <c r="U257" s="105"/>
      <c r="V257" s="74"/>
      <c r="W257" s="105" t="str">
        <f t="shared" si="49"/>
        <v/>
      </c>
      <c r="X257" s="74"/>
      <c r="Y257" s="105" t="str">
        <f t="shared" si="50"/>
        <v/>
      </c>
      <c r="Z257" s="76"/>
    </row>
    <row r="258" spans="1:26" s="29" customFormat="1" ht="21" customHeight="1" x14ac:dyDescent="0.2">
      <c r="A258" s="30"/>
      <c r="B258" s="56" t="s">
        <v>68</v>
      </c>
      <c r="C258" s="39">
        <f>IF($J$1="January",R250,IF($J$1="February",R251,IF($J$1="March",R252,IF($J$1="April",R253,IF($J$1="May",R254,IF($J$1="June",R255,IF($J$1="July",R256,IF($J$1="August",R257,IF($J$1="August",R257,IF($J$1="September",R258,IF($J$1="October",R259,IF($J$1="November",R260,IF($J$1="December",R261)))))))))))))</f>
        <v>0</v>
      </c>
      <c r="F258" s="48" t="s">
        <v>67</v>
      </c>
      <c r="G258" s="93">
        <f>IF($J$1="January",Y250,IF($J$1="February",Y251,IF($J$1="March",Y252,IF($J$1="April",Y253,IF($J$1="May",Y254,IF($J$1="June",Y255,IF($J$1="July",Y256,IF($J$1="August",Y257,IF($J$1="August",Y257,IF($J$1="September",Y258,IF($J$1="October",Y259,IF($J$1="November",Y260,IF($J$1="December",Y261)))))))))))))</f>
        <v>10225</v>
      </c>
      <c r="I258" s="387" t="s">
        <v>63</v>
      </c>
      <c r="J258" s="388"/>
      <c r="K258" s="57">
        <f>K256-K257</f>
        <v>0</v>
      </c>
      <c r="L258" s="58"/>
      <c r="N258" s="71"/>
      <c r="O258" s="72" t="s">
        <v>56</v>
      </c>
      <c r="P258" s="72"/>
      <c r="Q258" s="72"/>
      <c r="R258" s="72">
        <v>0</v>
      </c>
      <c r="S258" s="63"/>
      <c r="T258" s="72" t="s">
        <v>56</v>
      </c>
      <c r="U258" s="105"/>
      <c r="V258" s="74"/>
      <c r="W258" s="105" t="str">
        <f t="shared" si="49"/>
        <v/>
      </c>
      <c r="X258" s="74"/>
      <c r="Y258" s="105" t="str">
        <f t="shared" si="50"/>
        <v/>
      </c>
      <c r="Z258" s="76"/>
    </row>
    <row r="259" spans="1:26" s="29" customFormat="1" ht="21" customHeight="1" x14ac:dyDescent="0.2">
      <c r="A259" s="30"/>
      <c r="K259" s="107"/>
      <c r="L259" s="46"/>
      <c r="N259" s="71"/>
      <c r="O259" s="72" t="s">
        <v>52</v>
      </c>
      <c r="P259" s="72"/>
      <c r="Q259" s="72"/>
      <c r="R259" s="72">
        <v>0</v>
      </c>
      <c r="S259" s="63"/>
      <c r="T259" s="72" t="s">
        <v>52</v>
      </c>
      <c r="U259" s="105"/>
      <c r="V259" s="74"/>
      <c r="W259" s="105" t="str">
        <f t="shared" si="49"/>
        <v/>
      </c>
      <c r="X259" s="74"/>
      <c r="Y259" s="105" t="str">
        <f t="shared" si="50"/>
        <v/>
      </c>
      <c r="Z259" s="76"/>
    </row>
    <row r="260" spans="1:26" s="29" customFormat="1" ht="21" customHeight="1" x14ac:dyDescent="0.2">
      <c r="A260" s="30"/>
      <c r="B260" s="394" t="s">
        <v>85</v>
      </c>
      <c r="C260" s="394"/>
      <c r="D260" s="394"/>
      <c r="E260" s="394"/>
      <c r="F260" s="394"/>
      <c r="G260" s="394"/>
      <c r="H260" s="394"/>
      <c r="I260" s="394"/>
      <c r="J260" s="394"/>
      <c r="K260" s="394"/>
      <c r="L260" s="46"/>
      <c r="N260" s="71"/>
      <c r="O260" s="72" t="s">
        <v>57</v>
      </c>
      <c r="P260" s="72"/>
      <c r="Q260" s="72"/>
      <c r="R260" s="72" t="str">
        <f t="shared" si="48"/>
        <v/>
      </c>
      <c r="S260" s="63"/>
      <c r="T260" s="72" t="s">
        <v>57</v>
      </c>
      <c r="U260" s="105"/>
      <c r="V260" s="74"/>
      <c r="W260" s="105" t="str">
        <f t="shared" si="49"/>
        <v/>
      </c>
      <c r="X260" s="74"/>
      <c r="Y260" s="105" t="str">
        <f t="shared" si="50"/>
        <v/>
      </c>
      <c r="Z260" s="76"/>
    </row>
    <row r="261" spans="1:26" s="29" customFormat="1" ht="21" customHeight="1" x14ac:dyDescent="0.2">
      <c r="A261" s="30"/>
      <c r="B261" s="394"/>
      <c r="C261" s="394"/>
      <c r="D261" s="394"/>
      <c r="E261" s="394"/>
      <c r="F261" s="394"/>
      <c r="G261" s="394"/>
      <c r="H261" s="394"/>
      <c r="I261" s="394"/>
      <c r="J261" s="394"/>
      <c r="K261" s="394"/>
      <c r="L261" s="46"/>
      <c r="N261" s="71"/>
      <c r="O261" s="72" t="s">
        <v>58</v>
      </c>
      <c r="P261" s="72"/>
      <c r="Q261" s="72"/>
      <c r="R261" s="72">
        <v>0</v>
      </c>
      <c r="S261" s="63"/>
      <c r="T261" s="72" t="s">
        <v>58</v>
      </c>
      <c r="U261" s="105"/>
      <c r="V261" s="74"/>
      <c r="W261" s="105" t="str">
        <f t="shared" si="49"/>
        <v/>
      </c>
      <c r="X261" s="74"/>
      <c r="Y261" s="105" t="str">
        <f t="shared" si="50"/>
        <v/>
      </c>
      <c r="Z261" s="76"/>
    </row>
    <row r="262" spans="1:26" s="29" customFormat="1" ht="21" customHeight="1" thickBot="1" x14ac:dyDescent="0.25">
      <c r="A262" s="59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1"/>
      <c r="N262" s="77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9"/>
    </row>
    <row r="263" spans="1:26" ht="15.75" thickBot="1" x14ac:dyDescent="0.3"/>
    <row r="264" spans="1:26" s="29" customFormat="1" ht="21" customHeight="1" x14ac:dyDescent="0.2">
      <c r="A264" s="427" t="s">
        <v>40</v>
      </c>
      <c r="B264" s="428"/>
      <c r="C264" s="428"/>
      <c r="D264" s="428"/>
      <c r="E264" s="428"/>
      <c r="F264" s="428"/>
      <c r="G264" s="428"/>
      <c r="H264" s="428"/>
      <c r="I264" s="428"/>
      <c r="J264" s="428"/>
      <c r="K264" s="428"/>
      <c r="L264" s="429"/>
      <c r="M264" s="28"/>
      <c r="N264" s="64"/>
      <c r="O264" s="403" t="s">
        <v>42</v>
      </c>
      <c r="P264" s="404"/>
      <c r="Q264" s="404"/>
      <c r="R264" s="405"/>
      <c r="S264" s="65"/>
      <c r="T264" s="403" t="s">
        <v>43</v>
      </c>
      <c r="U264" s="404"/>
      <c r="V264" s="404"/>
      <c r="W264" s="404"/>
      <c r="X264" s="404"/>
      <c r="Y264" s="405"/>
      <c r="Z264" s="66"/>
    </row>
    <row r="265" spans="1:26" s="29" customFormat="1" ht="21" customHeight="1" x14ac:dyDescent="0.2">
      <c r="A265" s="30"/>
      <c r="C265" s="402" t="s">
        <v>83</v>
      </c>
      <c r="D265" s="402"/>
      <c r="E265" s="402"/>
      <c r="F265" s="402"/>
      <c r="G265" s="31" t="str">
        <f>$J$1</f>
        <v>June</v>
      </c>
      <c r="H265" s="409">
        <f>$K$1</f>
        <v>2023</v>
      </c>
      <c r="I265" s="409"/>
      <c r="K265" s="32"/>
      <c r="L265" s="33"/>
      <c r="M265" s="32"/>
      <c r="N265" s="67"/>
      <c r="O265" s="68" t="s">
        <v>53</v>
      </c>
      <c r="P265" s="68" t="s">
        <v>7</v>
      </c>
      <c r="Q265" s="68" t="s">
        <v>6</v>
      </c>
      <c r="R265" s="68" t="s">
        <v>54</v>
      </c>
      <c r="S265" s="69"/>
      <c r="T265" s="68" t="s">
        <v>53</v>
      </c>
      <c r="U265" s="68" t="s">
        <v>55</v>
      </c>
      <c r="V265" s="68" t="s">
        <v>20</v>
      </c>
      <c r="W265" s="68" t="s">
        <v>19</v>
      </c>
      <c r="X265" s="68" t="s">
        <v>21</v>
      </c>
      <c r="Y265" s="68" t="s">
        <v>59</v>
      </c>
      <c r="Z265" s="70"/>
    </row>
    <row r="266" spans="1:26" s="29" customFormat="1" ht="21" customHeight="1" x14ac:dyDescent="0.2">
      <c r="A266" s="30"/>
      <c r="D266" s="35"/>
      <c r="E266" s="35"/>
      <c r="F266" s="35"/>
      <c r="G266" s="35"/>
      <c r="H266" s="35"/>
      <c r="J266" s="36" t="s">
        <v>1</v>
      </c>
      <c r="K266" s="37">
        <f>17000+2000+4000</f>
        <v>23000</v>
      </c>
      <c r="L266" s="38"/>
      <c r="N266" s="71"/>
      <c r="O266" s="72" t="s">
        <v>45</v>
      </c>
      <c r="P266" s="72">
        <v>31</v>
      </c>
      <c r="Q266" s="72">
        <v>0</v>
      </c>
      <c r="R266" s="72">
        <f>9-Q266</f>
        <v>9</v>
      </c>
      <c r="S266" s="73"/>
      <c r="T266" s="72" t="s">
        <v>45</v>
      </c>
      <c r="U266" s="74"/>
      <c r="V266" s="74"/>
      <c r="W266" s="74">
        <f>V266+U266</f>
        <v>0</v>
      </c>
      <c r="X266" s="74"/>
      <c r="Y266" s="74">
        <f>W266-X266</f>
        <v>0</v>
      </c>
      <c r="Z266" s="70"/>
    </row>
    <row r="267" spans="1:26" s="29" customFormat="1" ht="21" customHeight="1" x14ac:dyDescent="0.2">
      <c r="A267" s="30"/>
      <c r="B267" s="29" t="s">
        <v>0</v>
      </c>
      <c r="C267" s="40" t="s">
        <v>150</v>
      </c>
      <c r="H267" s="41"/>
      <c r="I267" s="35"/>
      <c r="L267" s="42"/>
      <c r="M267" s="28"/>
      <c r="N267" s="75"/>
      <c r="O267" s="72" t="s">
        <v>71</v>
      </c>
      <c r="P267" s="72">
        <v>25</v>
      </c>
      <c r="Q267" s="72">
        <v>3</v>
      </c>
      <c r="R267" s="72">
        <f t="shared" ref="R267:R277" si="51">IF(Q267="","",R266-Q267)</f>
        <v>6</v>
      </c>
      <c r="S267" s="63"/>
      <c r="T267" s="72" t="s">
        <v>71</v>
      </c>
      <c r="U267" s="105">
        <f>Y266</f>
        <v>0</v>
      </c>
      <c r="V267" s="74"/>
      <c r="W267" s="105">
        <f>IF(U267="","",U267+V267)</f>
        <v>0</v>
      </c>
      <c r="X267" s="74"/>
      <c r="Y267" s="105">
        <f>IF(W267="","",W267-X267)</f>
        <v>0</v>
      </c>
      <c r="Z267" s="76"/>
    </row>
    <row r="268" spans="1:26" s="29" customFormat="1" ht="21" customHeight="1" x14ac:dyDescent="0.2">
      <c r="A268" s="30"/>
      <c r="B268" s="44" t="s">
        <v>41</v>
      </c>
      <c r="C268" s="40"/>
      <c r="F268" s="391" t="s">
        <v>43</v>
      </c>
      <c r="G268" s="391"/>
      <c r="I268" s="391" t="s">
        <v>44</v>
      </c>
      <c r="J268" s="391"/>
      <c r="K268" s="391"/>
      <c r="L268" s="46"/>
      <c r="N268" s="71"/>
      <c r="O268" s="72" t="s">
        <v>46</v>
      </c>
      <c r="P268" s="72">
        <v>30</v>
      </c>
      <c r="Q268" s="72">
        <v>1</v>
      </c>
      <c r="R268" s="72">
        <f t="shared" si="51"/>
        <v>5</v>
      </c>
      <c r="S268" s="63"/>
      <c r="T268" s="72" t="s">
        <v>46</v>
      </c>
      <c r="U268" s="105">
        <f>IF($J$1="April",Y267,Y267)</f>
        <v>0</v>
      </c>
      <c r="V268" s="74"/>
      <c r="W268" s="105">
        <f t="shared" ref="W268:W277" si="52">IF(U268="","",U268+V268)</f>
        <v>0</v>
      </c>
      <c r="X268" s="74"/>
      <c r="Y268" s="105">
        <f t="shared" ref="Y268:Y277" si="53">IF(W268="","",W268-X268)</f>
        <v>0</v>
      </c>
      <c r="Z268" s="76"/>
    </row>
    <row r="269" spans="1:26" s="29" customFormat="1" ht="21" customHeight="1" x14ac:dyDescent="0.2">
      <c r="A269" s="30"/>
      <c r="H269" s="47"/>
      <c r="L269" s="34"/>
      <c r="N269" s="71"/>
      <c r="O269" s="72" t="s">
        <v>47</v>
      </c>
      <c r="P269" s="72">
        <v>28</v>
      </c>
      <c r="Q269" s="72">
        <v>2</v>
      </c>
      <c r="R269" s="72">
        <f t="shared" si="51"/>
        <v>3</v>
      </c>
      <c r="S269" s="63"/>
      <c r="T269" s="72" t="s">
        <v>47</v>
      </c>
      <c r="U269" s="105">
        <f>Y268</f>
        <v>0</v>
      </c>
      <c r="V269" s="74"/>
      <c r="W269" s="105">
        <f t="shared" si="52"/>
        <v>0</v>
      </c>
      <c r="X269" s="74"/>
      <c r="Y269" s="105">
        <f t="shared" si="53"/>
        <v>0</v>
      </c>
      <c r="Z269" s="76"/>
    </row>
    <row r="270" spans="1:26" s="29" customFormat="1" ht="21" customHeight="1" x14ac:dyDescent="0.2">
      <c r="A270" s="30"/>
      <c r="B270" s="389" t="s">
        <v>42</v>
      </c>
      <c r="C270" s="390"/>
      <c r="F270" s="48" t="s">
        <v>64</v>
      </c>
      <c r="G270" s="43">
        <f>IF($J$1="January",U266,IF($J$1="February",U267,IF($J$1="March",U268,IF($J$1="April",U269,IF($J$1="May",U270,IF($J$1="June",U271,IF($J$1="July",U272,IF($J$1="August",U273,IF($J$1="August",U273,IF($J$1="September",U274,IF($J$1="October",U275,IF($J$1="November",U276,IF($J$1="December",U277)))))))))))))</f>
        <v>0</v>
      </c>
      <c r="H270" s="47"/>
      <c r="I270" s="49">
        <f>IF(C274&gt;0,$K$2,C272)</f>
        <v>30</v>
      </c>
      <c r="J270" s="50" t="s">
        <v>61</v>
      </c>
      <c r="K270" s="51">
        <f>K266/$K$2*I270</f>
        <v>23000</v>
      </c>
      <c r="L270" s="52"/>
      <c r="N270" s="71"/>
      <c r="O270" s="72" t="s">
        <v>48</v>
      </c>
      <c r="P270" s="72">
        <v>30</v>
      </c>
      <c r="Q270" s="72">
        <v>1</v>
      </c>
      <c r="R270" s="72">
        <f t="shared" si="51"/>
        <v>2</v>
      </c>
      <c r="S270" s="63"/>
      <c r="T270" s="72" t="s">
        <v>48</v>
      </c>
      <c r="U270" s="105">
        <f>IF($J$1="May",Y269,Y269)</f>
        <v>0</v>
      </c>
      <c r="V270" s="74"/>
      <c r="W270" s="105">
        <f t="shared" si="52"/>
        <v>0</v>
      </c>
      <c r="X270" s="74"/>
      <c r="Y270" s="105">
        <f t="shared" si="53"/>
        <v>0</v>
      </c>
      <c r="Z270" s="76"/>
    </row>
    <row r="271" spans="1:26" s="29" customFormat="1" ht="21" customHeight="1" x14ac:dyDescent="0.2">
      <c r="A271" s="30"/>
      <c r="B271" s="39"/>
      <c r="C271" s="39"/>
      <c r="F271" s="48" t="s">
        <v>20</v>
      </c>
      <c r="G271" s="43">
        <f>IF($J$1="January",V266,IF($J$1="February",V267,IF($J$1="March",V268,IF($J$1="April",V269,IF($J$1="May",V270,IF($J$1="June",V271,IF($J$1="July",V272,IF($J$1="August",V273,IF($J$1="August",V273,IF($J$1="September",V274,IF($J$1="October",V275,IF($J$1="November",V276,IF($J$1="December",V277)))))))))))))</f>
        <v>12000</v>
      </c>
      <c r="H271" s="47"/>
      <c r="I271" s="84">
        <v>89</v>
      </c>
      <c r="J271" s="50" t="s">
        <v>62</v>
      </c>
      <c r="K271" s="53">
        <f>K266/$K$2/8*I271</f>
        <v>8529.1666666666661</v>
      </c>
      <c r="L271" s="54"/>
      <c r="N271" s="71"/>
      <c r="O271" s="72" t="s">
        <v>49</v>
      </c>
      <c r="P271" s="72">
        <v>30</v>
      </c>
      <c r="Q271" s="72">
        <v>0</v>
      </c>
      <c r="R271" s="72">
        <f t="shared" si="51"/>
        <v>2</v>
      </c>
      <c r="S271" s="63"/>
      <c r="T271" s="72" t="s">
        <v>49</v>
      </c>
      <c r="U271" s="105">
        <f>IF($J$1="May",Y270,Y270)</f>
        <v>0</v>
      </c>
      <c r="V271" s="74">
        <f>2000+10000</f>
        <v>12000</v>
      </c>
      <c r="W271" s="105">
        <f t="shared" si="52"/>
        <v>12000</v>
      </c>
      <c r="X271" s="74">
        <v>12000</v>
      </c>
      <c r="Y271" s="105">
        <f t="shared" si="53"/>
        <v>0</v>
      </c>
      <c r="Z271" s="76"/>
    </row>
    <row r="272" spans="1:26" s="29" customFormat="1" ht="21" customHeight="1" x14ac:dyDescent="0.2">
      <c r="A272" s="30"/>
      <c r="B272" s="48" t="s">
        <v>7</v>
      </c>
      <c r="C272" s="39">
        <f>IF($J$1="January",P266,IF($J$1="February",P267,IF($J$1="March",P268,IF($J$1="April",P269,IF($J$1="May",P270,IF($J$1="June",P271,IF($J$1="July",P272,IF($J$1="August",P273,IF($J$1="August",P273,IF($J$1="September",P274,IF($J$1="October",P275,IF($J$1="November",P276,IF($J$1="December",P277)))))))))))))</f>
        <v>30</v>
      </c>
      <c r="F272" s="48" t="s">
        <v>65</v>
      </c>
      <c r="G272" s="43">
        <f>IF($J$1="January",W266,IF($J$1="February",W267,IF($J$1="March",W268,IF($J$1="April",W269,IF($J$1="May",W270,IF($J$1="June",W271,IF($J$1="July",W272,IF($J$1="August",W273,IF($J$1="August",W273,IF($J$1="September",W274,IF($J$1="October",W275,IF($J$1="November",W276,IF($J$1="December",W277)))))))))))))</f>
        <v>12000</v>
      </c>
      <c r="H272" s="47"/>
      <c r="I272" s="392" t="s">
        <v>69</v>
      </c>
      <c r="J272" s="393"/>
      <c r="K272" s="53">
        <f>K270+K271</f>
        <v>31529.166666666664</v>
      </c>
      <c r="L272" s="54"/>
      <c r="N272" s="71"/>
      <c r="O272" s="72" t="s">
        <v>50</v>
      </c>
      <c r="P272" s="72"/>
      <c r="Q272" s="72"/>
      <c r="R272" s="72" t="str">
        <f t="shared" si="51"/>
        <v/>
      </c>
      <c r="S272" s="63"/>
      <c r="T272" s="72" t="s">
        <v>50</v>
      </c>
      <c r="U272" s="105"/>
      <c r="V272" s="74"/>
      <c r="W272" s="105" t="str">
        <f t="shared" si="52"/>
        <v/>
      </c>
      <c r="X272" s="74"/>
      <c r="Y272" s="105" t="str">
        <f t="shared" si="53"/>
        <v/>
      </c>
      <c r="Z272" s="76"/>
    </row>
    <row r="273" spans="1:26" s="29" customFormat="1" ht="21" customHeight="1" x14ac:dyDescent="0.2">
      <c r="A273" s="30"/>
      <c r="B273" s="48" t="s">
        <v>6</v>
      </c>
      <c r="C273" s="39">
        <f>IF($J$1="January",Q266,IF($J$1="February",Q267,IF($J$1="March",Q268,IF($J$1="April",Q269,IF($J$1="May",Q270,IF($J$1="June",Q271,IF($J$1="July",Q272,IF($J$1="August",Q273,IF($J$1="August",Q273,IF($J$1="September",Q274,IF($J$1="October",Q275,IF($J$1="November",Q276,IF($J$1="December",Q277)))))))))))))</f>
        <v>0</v>
      </c>
      <c r="F273" s="48" t="s">
        <v>21</v>
      </c>
      <c r="G273" s="43">
        <f>IF($J$1="January",X266,IF($J$1="February",X267,IF($J$1="March",X268,IF($J$1="April",X269,IF($J$1="May",X270,IF($J$1="June",X271,IF($J$1="July",X272,IF($J$1="August",X273,IF($J$1="August",X273,IF($J$1="September",X274,IF($J$1="October",X275,IF($J$1="November",X276,IF($J$1="December",X277)))))))))))))</f>
        <v>12000</v>
      </c>
      <c r="H273" s="47"/>
      <c r="I273" s="392" t="s">
        <v>70</v>
      </c>
      <c r="J273" s="393"/>
      <c r="K273" s="43">
        <f>G273</f>
        <v>12000</v>
      </c>
      <c r="L273" s="55"/>
      <c r="N273" s="71"/>
      <c r="O273" s="72" t="s">
        <v>51</v>
      </c>
      <c r="P273" s="72"/>
      <c r="Q273" s="72"/>
      <c r="R273" s="72" t="str">
        <f t="shared" si="51"/>
        <v/>
      </c>
      <c r="S273" s="63"/>
      <c r="T273" s="72" t="s">
        <v>51</v>
      </c>
      <c r="U273" s="105" t="str">
        <f t="shared" ref="U273:U277" si="54">Y272</f>
        <v/>
      </c>
      <c r="V273" s="74"/>
      <c r="W273" s="105" t="str">
        <f t="shared" si="52"/>
        <v/>
      </c>
      <c r="X273" s="74"/>
      <c r="Y273" s="105" t="str">
        <f t="shared" si="53"/>
        <v/>
      </c>
      <c r="Z273" s="76"/>
    </row>
    <row r="274" spans="1:26" s="29" customFormat="1" ht="21" customHeight="1" x14ac:dyDescent="0.2">
      <c r="A274" s="30"/>
      <c r="B274" s="56" t="s">
        <v>68</v>
      </c>
      <c r="C274" s="39">
        <f>IF($J$1="January",R266,IF($J$1="February",R267,IF($J$1="March",R268,IF($J$1="April",R269,IF($J$1="May",R270,IF($J$1="June",R271,IF($J$1="July",R272,IF($J$1="August",R273,IF($J$1="August",R273,IF($J$1="September",R274,IF($J$1="October",R275,IF($J$1="November",R276,IF($J$1="December",R277)))))))))))))</f>
        <v>2</v>
      </c>
      <c r="F274" s="48" t="s">
        <v>137</v>
      </c>
      <c r="G274" s="43">
        <f>IF($J$1="January",Y266,IF($J$1="February",Y267,IF($J$1="March",Y268,IF($J$1="April",Y269,IF($J$1="May",Y270,IF($J$1="June",Y271,IF($J$1="July",Y272,IF($J$1="August",Y273,IF($J$1="August",Y273,IF($J$1="September",Y274,IF($J$1="October",Y275,IF($J$1="November",Y276,IF($J$1="December",Y277)))))))))))))</f>
        <v>0</v>
      </c>
      <c r="I274" s="387" t="s">
        <v>63</v>
      </c>
      <c r="J274" s="388"/>
      <c r="K274" s="57">
        <f>K272-K273</f>
        <v>19529.166666666664</v>
      </c>
      <c r="L274" s="58"/>
      <c r="N274" s="71"/>
      <c r="O274" s="72" t="s">
        <v>56</v>
      </c>
      <c r="P274" s="72"/>
      <c r="Q274" s="72"/>
      <c r="R274" s="72" t="str">
        <f t="shared" si="51"/>
        <v/>
      </c>
      <c r="S274" s="63"/>
      <c r="T274" s="72" t="s">
        <v>56</v>
      </c>
      <c r="U274" s="105" t="str">
        <f t="shared" si="54"/>
        <v/>
      </c>
      <c r="V274" s="74"/>
      <c r="W274" s="105" t="str">
        <f t="shared" si="52"/>
        <v/>
      </c>
      <c r="X274" s="74"/>
      <c r="Y274" s="105" t="str">
        <f t="shared" si="53"/>
        <v/>
      </c>
      <c r="Z274" s="76"/>
    </row>
    <row r="275" spans="1:26" s="29" customFormat="1" ht="21" customHeight="1" x14ac:dyDescent="0.2">
      <c r="A275" s="30"/>
      <c r="K275" s="107"/>
      <c r="L275" s="46"/>
      <c r="N275" s="71"/>
      <c r="O275" s="72" t="s">
        <v>52</v>
      </c>
      <c r="P275" s="72"/>
      <c r="Q275" s="72"/>
      <c r="R275" s="72" t="str">
        <f t="shared" si="51"/>
        <v/>
      </c>
      <c r="S275" s="63"/>
      <c r="T275" s="72" t="s">
        <v>52</v>
      </c>
      <c r="U275" s="105" t="str">
        <f t="shared" si="54"/>
        <v/>
      </c>
      <c r="V275" s="74"/>
      <c r="W275" s="105" t="str">
        <f t="shared" si="52"/>
        <v/>
      </c>
      <c r="X275" s="74"/>
      <c r="Y275" s="105" t="str">
        <f t="shared" si="53"/>
        <v/>
      </c>
      <c r="Z275" s="76"/>
    </row>
    <row r="276" spans="1:26" s="29" customFormat="1" ht="21" customHeight="1" x14ac:dyDescent="0.2">
      <c r="A276" s="30"/>
      <c r="B276" s="394" t="s">
        <v>85</v>
      </c>
      <c r="C276" s="394"/>
      <c r="D276" s="394"/>
      <c r="E276" s="394"/>
      <c r="F276" s="394"/>
      <c r="G276" s="394"/>
      <c r="H276" s="394"/>
      <c r="I276" s="394"/>
      <c r="J276" s="394"/>
      <c r="K276" s="394"/>
      <c r="L276" s="46"/>
      <c r="N276" s="71"/>
      <c r="O276" s="72" t="s">
        <v>57</v>
      </c>
      <c r="P276" s="72"/>
      <c r="Q276" s="72"/>
      <c r="R276" s="72" t="str">
        <f t="shared" si="51"/>
        <v/>
      </c>
      <c r="S276" s="63"/>
      <c r="T276" s="72" t="s">
        <v>57</v>
      </c>
      <c r="U276" s="105" t="str">
        <f t="shared" si="54"/>
        <v/>
      </c>
      <c r="V276" s="74"/>
      <c r="W276" s="105" t="str">
        <f t="shared" si="52"/>
        <v/>
      </c>
      <c r="X276" s="74"/>
      <c r="Y276" s="105" t="str">
        <f t="shared" si="53"/>
        <v/>
      </c>
      <c r="Z276" s="76"/>
    </row>
    <row r="277" spans="1:26" s="29" customFormat="1" ht="21" customHeight="1" x14ac:dyDescent="0.2">
      <c r="A277" s="30"/>
      <c r="B277" s="394"/>
      <c r="C277" s="394"/>
      <c r="D277" s="394"/>
      <c r="E277" s="394"/>
      <c r="F277" s="394"/>
      <c r="G277" s="394"/>
      <c r="H277" s="394"/>
      <c r="I277" s="394"/>
      <c r="J277" s="394"/>
      <c r="K277" s="394"/>
      <c r="L277" s="46"/>
      <c r="N277" s="71"/>
      <c r="O277" s="72" t="s">
        <v>58</v>
      </c>
      <c r="P277" s="72"/>
      <c r="Q277" s="72"/>
      <c r="R277" s="72" t="str">
        <f t="shared" si="51"/>
        <v/>
      </c>
      <c r="S277" s="63"/>
      <c r="T277" s="72" t="s">
        <v>58</v>
      </c>
      <c r="U277" s="105" t="str">
        <f t="shared" si="54"/>
        <v/>
      </c>
      <c r="V277" s="74"/>
      <c r="W277" s="105" t="str">
        <f t="shared" si="52"/>
        <v/>
      </c>
      <c r="X277" s="74"/>
      <c r="Y277" s="105" t="str">
        <f t="shared" si="53"/>
        <v/>
      </c>
      <c r="Z277" s="76"/>
    </row>
    <row r="278" spans="1:26" s="29" customFormat="1" ht="21" customHeight="1" thickBot="1" x14ac:dyDescent="0.25">
      <c r="A278" s="59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1"/>
      <c r="N278" s="77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9"/>
    </row>
    <row r="279" spans="1:26" ht="15.75" thickBot="1" x14ac:dyDescent="0.3"/>
    <row r="280" spans="1:26" s="29" customFormat="1" ht="21.4" customHeight="1" x14ac:dyDescent="0.2">
      <c r="A280" s="413" t="s">
        <v>40</v>
      </c>
      <c r="B280" s="414"/>
      <c r="C280" s="414"/>
      <c r="D280" s="414"/>
      <c r="E280" s="414"/>
      <c r="F280" s="414"/>
      <c r="G280" s="414"/>
      <c r="H280" s="414"/>
      <c r="I280" s="414"/>
      <c r="J280" s="414"/>
      <c r="K280" s="414"/>
      <c r="L280" s="415"/>
      <c r="M280" s="28"/>
      <c r="N280" s="64"/>
      <c r="O280" s="403" t="s">
        <v>42</v>
      </c>
      <c r="P280" s="404"/>
      <c r="Q280" s="404"/>
      <c r="R280" s="405"/>
      <c r="S280" s="65"/>
      <c r="T280" s="403" t="s">
        <v>43</v>
      </c>
      <c r="U280" s="404"/>
      <c r="V280" s="404"/>
      <c r="W280" s="404"/>
      <c r="X280" s="404"/>
      <c r="Y280" s="405"/>
      <c r="Z280" s="63"/>
    </row>
    <row r="281" spans="1:26" s="29" customFormat="1" ht="21.4" customHeight="1" x14ac:dyDescent="0.2">
      <c r="A281" s="30"/>
      <c r="C281" s="402" t="s">
        <v>83</v>
      </c>
      <c r="D281" s="402"/>
      <c r="E281" s="402"/>
      <c r="F281" s="402"/>
      <c r="G281" s="31" t="str">
        <f>$J$1</f>
        <v>June</v>
      </c>
      <c r="H281" s="409">
        <f>$K$1</f>
        <v>2023</v>
      </c>
      <c r="I281" s="409"/>
      <c r="K281" s="32"/>
      <c r="L281" s="33"/>
      <c r="M281" s="32"/>
      <c r="N281" s="67"/>
      <c r="O281" s="68" t="s">
        <v>53</v>
      </c>
      <c r="P281" s="68" t="s">
        <v>7</v>
      </c>
      <c r="Q281" s="68" t="s">
        <v>6</v>
      </c>
      <c r="R281" s="68" t="s">
        <v>54</v>
      </c>
      <c r="S281" s="69"/>
      <c r="T281" s="68" t="s">
        <v>53</v>
      </c>
      <c r="U281" s="68" t="s">
        <v>55</v>
      </c>
      <c r="V281" s="68" t="s">
        <v>20</v>
      </c>
      <c r="W281" s="68" t="s">
        <v>19</v>
      </c>
      <c r="X281" s="68" t="s">
        <v>21</v>
      </c>
      <c r="Y281" s="68" t="s">
        <v>59</v>
      </c>
      <c r="Z281" s="63"/>
    </row>
    <row r="282" spans="1:26" s="29" customFormat="1" ht="21.4" customHeight="1" x14ac:dyDescent="0.2">
      <c r="A282" s="30"/>
      <c r="D282" s="35"/>
      <c r="E282" s="35"/>
      <c r="F282" s="35"/>
      <c r="G282" s="35"/>
      <c r="H282" s="35"/>
      <c r="J282" s="36" t="s">
        <v>1</v>
      </c>
      <c r="K282" s="37">
        <v>35000</v>
      </c>
      <c r="L282" s="38"/>
      <c r="N282" s="71"/>
      <c r="O282" s="72" t="s">
        <v>45</v>
      </c>
      <c r="P282" s="72"/>
      <c r="Q282" s="72"/>
      <c r="R282" s="72">
        <v>15</v>
      </c>
      <c r="S282" s="73"/>
      <c r="T282" s="72" t="s">
        <v>45</v>
      </c>
      <c r="U282" s="74"/>
      <c r="V282" s="74"/>
      <c r="W282" s="74"/>
      <c r="X282" s="74"/>
      <c r="Y282" s="74"/>
      <c r="Z282" s="63"/>
    </row>
    <row r="283" spans="1:26" s="29" customFormat="1" ht="21.4" customHeight="1" x14ac:dyDescent="0.2">
      <c r="A283" s="30"/>
      <c r="B283" s="29" t="s">
        <v>0</v>
      </c>
      <c r="C283" s="40" t="s">
        <v>229</v>
      </c>
      <c r="H283" s="41"/>
      <c r="I283" s="35"/>
      <c r="L283" s="42"/>
      <c r="M283" s="28"/>
      <c r="N283" s="75"/>
      <c r="O283" s="72" t="s">
        <v>71</v>
      </c>
      <c r="P283" s="72"/>
      <c r="Q283" s="72"/>
      <c r="R283" s="72">
        <f>R282-Q283</f>
        <v>15</v>
      </c>
      <c r="S283" s="63"/>
      <c r="T283" s="72" t="s">
        <v>71</v>
      </c>
      <c r="U283" s="105"/>
      <c r="V283" s="74"/>
      <c r="W283" s="105" t="str">
        <f>IF(U283="","",U283+V283)</f>
        <v/>
      </c>
      <c r="X283" s="74"/>
      <c r="Y283" s="105" t="str">
        <f>IF(W283="","",W283-X283)</f>
        <v/>
      </c>
      <c r="Z283" s="63"/>
    </row>
    <row r="284" spans="1:26" s="29" customFormat="1" ht="21.4" customHeight="1" x14ac:dyDescent="0.2">
      <c r="A284" s="30"/>
      <c r="B284" s="44" t="s">
        <v>41</v>
      </c>
      <c r="C284" s="45"/>
      <c r="F284" s="391" t="s">
        <v>43</v>
      </c>
      <c r="G284" s="391"/>
      <c r="I284" s="391" t="s">
        <v>44</v>
      </c>
      <c r="J284" s="391"/>
      <c r="K284" s="391"/>
      <c r="L284" s="46"/>
      <c r="N284" s="71"/>
      <c r="O284" s="72" t="s">
        <v>46</v>
      </c>
      <c r="P284" s="72"/>
      <c r="Q284" s="72"/>
      <c r="R284" s="72">
        <v>0</v>
      </c>
      <c r="S284" s="63"/>
      <c r="T284" s="72" t="s">
        <v>46</v>
      </c>
      <c r="U284" s="105"/>
      <c r="V284" s="74"/>
      <c r="W284" s="105" t="str">
        <f t="shared" ref="W284:W293" si="55">IF(U284="","",U284+V284)</f>
        <v/>
      </c>
      <c r="X284" s="74"/>
      <c r="Y284" s="105" t="str">
        <f t="shared" ref="Y284:Y293" si="56">IF(W284="","",W284-X284)</f>
        <v/>
      </c>
      <c r="Z284" s="63"/>
    </row>
    <row r="285" spans="1:26" s="29" customFormat="1" ht="21.4" customHeight="1" x14ac:dyDescent="0.2">
      <c r="A285" s="30"/>
      <c r="H285" s="47"/>
      <c r="L285" s="34"/>
      <c r="N285" s="71"/>
      <c r="O285" s="72" t="s">
        <v>47</v>
      </c>
      <c r="P285" s="72"/>
      <c r="Q285" s="72"/>
      <c r="R285" s="72" t="str">
        <f t="shared" ref="R285:R293" si="57">IF(Q285="","",R284-Q285)</f>
        <v/>
      </c>
      <c r="S285" s="63"/>
      <c r="T285" s="72" t="s">
        <v>47</v>
      </c>
      <c r="U285" s="105"/>
      <c r="V285" s="74"/>
      <c r="W285" s="105" t="str">
        <f t="shared" si="55"/>
        <v/>
      </c>
      <c r="X285" s="74"/>
      <c r="Y285" s="105" t="str">
        <f t="shared" si="56"/>
        <v/>
      </c>
      <c r="Z285" s="63"/>
    </row>
    <row r="286" spans="1:26" s="29" customFormat="1" ht="21.4" customHeight="1" x14ac:dyDescent="0.2">
      <c r="A286" s="30"/>
      <c r="B286" s="389" t="s">
        <v>42</v>
      </c>
      <c r="C286" s="390"/>
      <c r="F286" s="48" t="s">
        <v>64</v>
      </c>
      <c r="G286" s="43" t="str">
        <f>IF($J$1="January",U282,IF($J$1="February",U283,IF($J$1="March",U284,IF($J$1="April",U285,IF($J$1="May",U286,IF($J$1="June",U287,IF($J$1="July",U288,IF($J$1="August",U289,IF($J$1="August",U289,IF($J$1="September",U290,IF($J$1="October",U291,IF($J$1="November",U292,IF($J$1="December",U293)))))))))))))</f>
        <v/>
      </c>
      <c r="H286" s="47"/>
      <c r="I286" s="49">
        <f>IF(C290&gt;0,$K$2,C288)</f>
        <v>12</v>
      </c>
      <c r="J286" s="50" t="s">
        <v>61</v>
      </c>
      <c r="K286" s="51">
        <f>K282/$K$2*I286</f>
        <v>14000</v>
      </c>
      <c r="L286" s="52"/>
      <c r="N286" s="71"/>
      <c r="O286" s="72" t="s">
        <v>48</v>
      </c>
      <c r="P286" s="72"/>
      <c r="Q286" s="72"/>
      <c r="R286" s="72" t="str">
        <f t="shared" si="57"/>
        <v/>
      </c>
      <c r="S286" s="63"/>
      <c r="T286" s="72" t="s">
        <v>48</v>
      </c>
      <c r="U286" s="105"/>
      <c r="V286" s="74"/>
      <c r="W286" s="105" t="str">
        <f t="shared" si="55"/>
        <v/>
      </c>
      <c r="X286" s="74"/>
      <c r="Y286" s="105" t="str">
        <f t="shared" si="56"/>
        <v/>
      </c>
      <c r="Z286" s="63"/>
    </row>
    <row r="287" spans="1:26" s="29" customFormat="1" ht="21.4" customHeight="1" x14ac:dyDescent="0.2">
      <c r="A287" s="30"/>
      <c r="B287" s="39"/>
      <c r="C287" s="39"/>
      <c r="F287" s="48" t="s">
        <v>20</v>
      </c>
      <c r="G287" s="43">
        <f>IF($J$1="January",V282,IF($J$1="February",V283,IF($J$1="March",V284,IF($J$1="April",V285,IF($J$1="May",V286,IF($J$1="June",V287,IF($J$1="July",V288,IF($J$1="August",V289,IF($J$1="August",V289,IF($J$1="September",V290,IF($J$1="October",V291,IF($J$1="November",V292,IF($J$1="December",V293)))))))))))))</f>
        <v>5000</v>
      </c>
      <c r="H287" s="47"/>
      <c r="I287" s="84"/>
      <c r="J287" s="50" t="s">
        <v>62</v>
      </c>
      <c r="K287" s="53">
        <f>K282/$K$2/8*I287</f>
        <v>0</v>
      </c>
      <c r="L287" s="54"/>
      <c r="N287" s="71"/>
      <c r="O287" s="72" t="s">
        <v>49</v>
      </c>
      <c r="P287" s="72">
        <v>12</v>
      </c>
      <c r="Q287" s="72">
        <v>18</v>
      </c>
      <c r="R287" s="72">
        <v>0</v>
      </c>
      <c r="S287" s="63"/>
      <c r="T287" s="72" t="s">
        <v>49</v>
      </c>
      <c r="U287" s="105" t="str">
        <f>Y286</f>
        <v/>
      </c>
      <c r="V287" s="74">
        <v>5000</v>
      </c>
      <c r="W287" s="105">
        <v>5000</v>
      </c>
      <c r="X287" s="74">
        <v>5000</v>
      </c>
      <c r="Y287" s="105">
        <f t="shared" si="56"/>
        <v>0</v>
      </c>
      <c r="Z287" s="63"/>
    </row>
    <row r="288" spans="1:26" s="29" customFormat="1" ht="21.4" customHeight="1" x14ac:dyDescent="0.2">
      <c r="A288" s="30"/>
      <c r="B288" s="48" t="s">
        <v>7</v>
      </c>
      <c r="C288" s="39">
        <f>IF($J$1="January",P282,IF($J$1="February",P283,IF($J$1="March",P284,IF($J$1="April",P285,IF($J$1="May",P286,IF($J$1="June",P287,IF($J$1="July",P288,IF($J$1="August",P289,IF($J$1="August",P289,IF($J$1="September",P290,IF($J$1="October",P291,IF($J$1="November",P292,IF($J$1="December",P293)))))))))))))</f>
        <v>12</v>
      </c>
      <c r="F288" s="48" t="s">
        <v>65</v>
      </c>
      <c r="G288" s="43">
        <f>IF($J$1="January",W282,IF($J$1="February",W283,IF($J$1="March",W284,IF($J$1="April",W285,IF($J$1="May",W286,IF($J$1="June",W287,IF($J$1="July",W288,IF($J$1="August",W289,IF($J$1="August",W289,IF($J$1="September",W290,IF($J$1="October",W291,IF($J$1="November",W292,IF($J$1="December",W293)))))))))))))</f>
        <v>5000</v>
      </c>
      <c r="H288" s="47"/>
      <c r="I288" s="392" t="s">
        <v>69</v>
      </c>
      <c r="J288" s="393"/>
      <c r="K288" s="53">
        <f>K286+K287</f>
        <v>14000</v>
      </c>
      <c r="L288" s="54"/>
      <c r="N288" s="71"/>
      <c r="O288" s="72" t="s">
        <v>50</v>
      </c>
      <c r="P288" s="72"/>
      <c r="Q288" s="72"/>
      <c r="R288" s="72" t="str">
        <f t="shared" si="57"/>
        <v/>
      </c>
      <c r="S288" s="63"/>
      <c r="T288" s="72" t="s">
        <v>50</v>
      </c>
      <c r="U288" s="105"/>
      <c r="V288" s="74"/>
      <c r="W288" s="105" t="str">
        <f t="shared" si="55"/>
        <v/>
      </c>
      <c r="X288" s="74"/>
      <c r="Y288" s="105" t="str">
        <f t="shared" si="56"/>
        <v/>
      </c>
      <c r="Z288" s="63"/>
    </row>
    <row r="289" spans="1:26" s="29" customFormat="1" ht="21.4" customHeight="1" x14ac:dyDescent="0.2">
      <c r="A289" s="30"/>
      <c r="B289" s="48" t="s">
        <v>6</v>
      </c>
      <c r="C289" s="39">
        <f>IF($J$1="January",Q282,IF($J$1="February",Q283,IF($J$1="March",Q284,IF($J$1="April",Q285,IF($J$1="May",Q286,IF($J$1="June",Q287,IF($J$1="July",Q288,IF($J$1="August",Q289,IF($J$1="August",Q289,IF($J$1="September",Q290,IF($J$1="October",Q291,IF($J$1="November",Q292,IF($J$1="December",Q293)))))))))))))</f>
        <v>18</v>
      </c>
      <c r="F289" s="48" t="s">
        <v>21</v>
      </c>
      <c r="G289" s="43">
        <f>IF($J$1="January",X282,IF($J$1="February",X283,IF($J$1="March",X284,IF($J$1="April",X285,IF($J$1="May",X286,IF($J$1="June",X287,IF($J$1="July",X288,IF($J$1="August",X289,IF($J$1="August",X289,IF($J$1="September",X290,IF($J$1="October",X291,IF($J$1="November",X292,IF($J$1="December",X293)))))))))))))</f>
        <v>5000</v>
      </c>
      <c r="H289" s="47"/>
      <c r="I289" s="392" t="s">
        <v>70</v>
      </c>
      <c r="J289" s="393"/>
      <c r="K289" s="43">
        <f>G289</f>
        <v>5000</v>
      </c>
      <c r="L289" s="55"/>
      <c r="N289" s="71"/>
      <c r="O289" s="72" t="s">
        <v>51</v>
      </c>
      <c r="P289" s="72"/>
      <c r="Q289" s="72"/>
      <c r="R289" s="72" t="str">
        <f t="shared" si="57"/>
        <v/>
      </c>
      <c r="S289" s="63"/>
      <c r="T289" s="72" t="s">
        <v>51</v>
      </c>
      <c r="U289" s="105"/>
      <c r="V289" s="74"/>
      <c r="W289" s="105" t="str">
        <f t="shared" si="55"/>
        <v/>
      </c>
      <c r="X289" s="74"/>
      <c r="Y289" s="105" t="str">
        <f t="shared" si="56"/>
        <v/>
      </c>
      <c r="Z289" s="63"/>
    </row>
    <row r="290" spans="1:26" s="29" customFormat="1" ht="21.4" customHeight="1" x14ac:dyDescent="0.2">
      <c r="A290" s="30"/>
      <c r="B290" s="56" t="s">
        <v>68</v>
      </c>
      <c r="C290" s="39">
        <f>IF($J$1="January",R282,IF($J$1="February",R283,IF($J$1="March",R284,IF($J$1="April",R285,IF($J$1="May",R286,IF($J$1="June",R287,IF($J$1="July",R288,IF($J$1="August",R289,IF($J$1="August",R289,IF($J$1="September",R290,IF($J$1="October",R291,IF($J$1="November",R292,IF($J$1="December",R293)))))))))))))</f>
        <v>0</v>
      </c>
      <c r="F290" s="48" t="s">
        <v>67</v>
      </c>
      <c r="G290" s="43">
        <f>IF($J$1="January",Y282,IF($J$1="February",Y283,IF($J$1="March",Y284,IF($J$1="April",Y285,IF($J$1="May",Y286,IF($J$1="June",Y287,IF($J$1="July",Y288,IF($J$1="August",Y289,IF($J$1="August",Y289,IF($J$1="September",Y290,IF($J$1="October",Y291,IF($J$1="November",Y292,IF($J$1="December",Y293)))))))))))))</f>
        <v>0</v>
      </c>
      <c r="I290" s="387" t="s">
        <v>63</v>
      </c>
      <c r="J290" s="388"/>
      <c r="K290" s="57">
        <f>K288-K289</f>
        <v>9000</v>
      </c>
      <c r="L290" s="58"/>
      <c r="N290" s="71"/>
      <c r="O290" s="72" t="s">
        <v>56</v>
      </c>
      <c r="P290" s="72"/>
      <c r="Q290" s="72"/>
      <c r="R290" s="72" t="str">
        <f t="shared" si="57"/>
        <v/>
      </c>
      <c r="S290" s="63"/>
      <c r="T290" s="72" t="s">
        <v>56</v>
      </c>
      <c r="U290" s="105"/>
      <c r="V290" s="74"/>
      <c r="W290" s="105" t="str">
        <f t="shared" si="55"/>
        <v/>
      </c>
      <c r="X290" s="74"/>
      <c r="Y290" s="105" t="str">
        <f t="shared" si="56"/>
        <v/>
      </c>
      <c r="Z290" s="63"/>
    </row>
    <row r="291" spans="1:26" s="29" customFormat="1" ht="21.4" customHeight="1" x14ac:dyDescent="0.2">
      <c r="A291" s="30"/>
      <c r="J291" s="107"/>
      <c r="K291" s="107"/>
      <c r="L291" s="46"/>
      <c r="N291" s="71"/>
      <c r="O291" s="72" t="s">
        <v>52</v>
      </c>
      <c r="P291" s="72"/>
      <c r="Q291" s="72"/>
      <c r="R291" s="72" t="str">
        <f t="shared" si="57"/>
        <v/>
      </c>
      <c r="S291" s="63"/>
      <c r="T291" s="72" t="s">
        <v>52</v>
      </c>
      <c r="U291" s="105"/>
      <c r="V291" s="74"/>
      <c r="W291" s="105" t="str">
        <f t="shared" si="55"/>
        <v/>
      </c>
      <c r="X291" s="74"/>
      <c r="Y291" s="105" t="str">
        <f t="shared" si="56"/>
        <v/>
      </c>
      <c r="Z291" s="63"/>
    </row>
    <row r="292" spans="1:26" s="29" customFormat="1" ht="21.4" customHeight="1" x14ac:dyDescent="0.2">
      <c r="A292" s="30"/>
      <c r="B292" s="394" t="s">
        <v>85</v>
      </c>
      <c r="C292" s="394"/>
      <c r="D292" s="394"/>
      <c r="E292" s="394"/>
      <c r="F292" s="394"/>
      <c r="G292" s="394"/>
      <c r="H292" s="394"/>
      <c r="I292" s="394"/>
      <c r="J292" s="394"/>
      <c r="K292" s="394"/>
      <c r="L292" s="46"/>
      <c r="N292" s="71"/>
      <c r="O292" s="72" t="s">
        <v>57</v>
      </c>
      <c r="P292" s="72"/>
      <c r="Q292" s="72"/>
      <c r="R292" s="72" t="str">
        <f t="shared" si="57"/>
        <v/>
      </c>
      <c r="S292" s="63"/>
      <c r="T292" s="72" t="s">
        <v>57</v>
      </c>
      <c r="U292" s="105"/>
      <c r="V292" s="74"/>
      <c r="W292" s="105" t="str">
        <f t="shared" si="55"/>
        <v/>
      </c>
      <c r="X292" s="74"/>
      <c r="Y292" s="105" t="str">
        <f t="shared" si="56"/>
        <v/>
      </c>
      <c r="Z292" s="63"/>
    </row>
    <row r="293" spans="1:26" s="29" customFormat="1" ht="21.4" customHeight="1" x14ac:dyDescent="0.2">
      <c r="A293" s="30"/>
      <c r="B293" s="394"/>
      <c r="C293" s="394"/>
      <c r="D293" s="394"/>
      <c r="E293" s="394"/>
      <c r="F293" s="394"/>
      <c r="G293" s="394"/>
      <c r="H293" s="394"/>
      <c r="I293" s="394"/>
      <c r="J293" s="394"/>
      <c r="K293" s="394"/>
      <c r="L293" s="46"/>
      <c r="N293" s="71"/>
      <c r="O293" s="72" t="s">
        <v>58</v>
      </c>
      <c r="P293" s="72"/>
      <c r="Q293" s="72"/>
      <c r="R293" s="72" t="str">
        <f t="shared" si="57"/>
        <v/>
      </c>
      <c r="S293" s="63"/>
      <c r="T293" s="72" t="s">
        <v>58</v>
      </c>
      <c r="U293" s="105"/>
      <c r="V293" s="74"/>
      <c r="W293" s="105" t="str">
        <f t="shared" si="55"/>
        <v/>
      </c>
      <c r="X293" s="74"/>
      <c r="Y293" s="105" t="str">
        <f t="shared" si="56"/>
        <v/>
      </c>
      <c r="Z293" s="63"/>
    </row>
    <row r="294" spans="1:26" s="29" customFormat="1" ht="21.4" customHeight="1" thickBot="1" x14ac:dyDescent="0.25">
      <c r="A294" s="59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1"/>
      <c r="N294" s="77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63"/>
    </row>
    <row r="295" spans="1:26" s="29" customFormat="1" ht="21.4" customHeight="1" thickBot="1" x14ac:dyDescent="0.25"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spans="1:26" s="29" customFormat="1" ht="21.4" customHeight="1" x14ac:dyDescent="0.2">
      <c r="A296" s="399" t="s">
        <v>40</v>
      </c>
      <c r="B296" s="400"/>
      <c r="C296" s="400"/>
      <c r="D296" s="400"/>
      <c r="E296" s="400"/>
      <c r="F296" s="400"/>
      <c r="G296" s="400"/>
      <c r="H296" s="400"/>
      <c r="I296" s="400"/>
      <c r="J296" s="400"/>
      <c r="K296" s="400"/>
      <c r="L296" s="401"/>
      <c r="M296" s="28"/>
      <c r="N296" s="64"/>
      <c r="O296" s="403" t="s">
        <v>42</v>
      </c>
      <c r="P296" s="404"/>
      <c r="Q296" s="404"/>
      <c r="R296" s="405"/>
      <c r="S296" s="65"/>
      <c r="T296" s="403" t="s">
        <v>43</v>
      </c>
      <c r="U296" s="404"/>
      <c r="V296" s="404"/>
      <c r="W296" s="404"/>
      <c r="X296" s="404"/>
      <c r="Y296" s="405"/>
      <c r="Z296" s="63"/>
    </row>
    <row r="297" spans="1:26" s="29" customFormat="1" ht="21.4" customHeight="1" x14ac:dyDescent="0.2">
      <c r="A297" s="30"/>
      <c r="C297" s="402" t="s">
        <v>83</v>
      </c>
      <c r="D297" s="402"/>
      <c r="E297" s="402"/>
      <c r="F297" s="402"/>
      <c r="G297" s="31" t="str">
        <f>$J$1</f>
        <v>June</v>
      </c>
      <c r="H297" s="409">
        <f>$K$1</f>
        <v>2023</v>
      </c>
      <c r="I297" s="409"/>
      <c r="K297" s="32"/>
      <c r="L297" s="33"/>
      <c r="M297" s="32"/>
      <c r="N297" s="67"/>
      <c r="O297" s="68" t="s">
        <v>53</v>
      </c>
      <c r="P297" s="68" t="s">
        <v>7</v>
      </c>
      <c r="Q297" s="68" t="s">
        <v>6</v>
      </c>
      <c r="R297" s="68" t="s">
        <v>54</v>
      </c>
      <c r="S297" s="69"/>
      <c r="T297" s="68" t="s">
        <v>53</v>
      </c>
      <c r="U297" s="68" t="s">
        <v>55</v>
      </c>
      <c r="V297" s="68" t="s">
        <v>20</v>
      </c>
      <c r="W297" s="68" t="s">
        <v>19</v>
      </c>
      <c r="X297" s="68" t="s">
        <v>21</v>
      </c>
      <c r="Y297" s="68" t="s">
        <v>59</v>
      </c>
      <c r="Z297" s="63"/>
    </row>
    <row r="298" spans="1:26" s="29" customFormat="1" ht="21.4" customHeight="1" x14ac:dyDescent="0.2">
      <c r="A298" s="30"/>
      <c r="D298" s="35"/>
      <c r="E298" s="35"/>
      <c r="F298" s="35"/>
      <c r="G298" s="35"/>
      <c r="H298" s="35"/>
      <c r="J298" s="36" t="s">
        <v>1</v>
      </c>
      <c r="K298" s="37">
        <v>35000</v>
      </c>
      <c r="L298" s="38"/>
      <c r="N298" s="71"/>
      <c r="O298" s="72" t="s">
        <v>45</v>
      </c>
      <c r="P298" s="72"/>
      <c r="Q298" s="72"/>
      <c r="R298" s="72">
        <v>15</v>
      </c>
      <c r="S298" s="73"/>
      <c r="T298" s="72" t="s">
        <v>45</v>
      </c>
      <c r="U298" s="74"/>
      <c r="V298" s="74"/>
      <c r="W298" s="74"/>
      <c r="X298" s="74"/>
      <c r="Y298" s="74"/>
      <c r="Z298" s="63"/>
    </row>
    <row r="299" spans="1:26" s="29" customFormat="1" ht="21.4" customHeight="1" x14ac:dyDescent="0.2">
      <c r="A299" s="30"/>
      <c r="B299" s="29" t="s">
        <v>0</v>
      </c>
      <c r="C299" s="40" t="s">
        <v>228</v>
      </c>
      <c r="H299" s="41"/>
      <c r="I299" s="35"/>
      <c r="L299" s="42"/>
      <c r="M299" s="28"/>
      <c r="N299" s="75"/>
      <c r="O299" s="72" t="s">
        <v>71</v>
      </c>
      <c r="P299" s="72"/>
      <c r="Q299" s="72"/>
      <c r="R299" s="72">
        <v>0</v>
      </c>
      <c r="S299" s="63"/>
      <c r="T299" s="72" t="s">
        <v>71</v>
      </c>
      <c r="U299" s="105"/>
      <c r="V299" s="74"/>
      <c r="W299" s="105"/>
      <c r="X299" s="74"/>
      <c r="Y299" s="105"/>
      <c r="Z299" s="63"/>
    </row>
    <row r="300" spans="1:26" s="29" customFormat="1" ht="21.4" customHeight="1" x14ac:dyDescent="0.2">
      <c r="A300" s="30"/>
      <c r="B300" s="44" t="s">
        <v>41</v>
      </c>
      <c r="C300" s="45"/>
      <c r="F300" s="391" t="s">
        <v>43</v>
      </c>
      <c r="G300" s="391"/>
      <c r="I300" s="391" t="s">
        <v>44</v>
      </c>
      <c r="J300" s="391"/>
      <c r="K300" s="391"/>
      <c r="L300" s="46"/>
      <c r="N300" s="71"/>
      <c r="O300" s="72" t="s">
        <v>46</v>
      </c>
      <c r="P300" s="72"/>
      <c r="Q300" s="72"/>
      <c r="R300" s="72">
        <v>0</v>
      </c>
      <c r="S300" s="63"/>
      <c r="T300" s="72" t="s">
        <v>46</v>
      </c>
      <c r="U300" s="105"/>
      <c r="V300" s="74"/>
      <c r="W300" s="105"/>
      <c r="X300" s="74"/>
      <c r="Y300" s="105"/>
      <c r="Z300" s="63"/>
    </row>
    <row r="301" spans="1:26" s="29" customFormat="1" ht="21.4" customHeight="1" x14ac:dyDescent="0.2">
      <c r="A301" s="30"/>
      <c r="H301" s="47"/>
      <c r="L301" s="34"/>
      <c r="N301" s="71"/>
      <c r="O301" s="72" t="s">
        <v>47</v>
      </c>
      <c r="P301" s="72"/>
      <c r="Q301" s="72"/>
      <c r="R301" s="72">
        <v>0</v>
      </c>
      <c r="S301" s="63"/>
      <c r="T301" s="72" t="s">
        <v>47</v>
      </c>
      <c r="U301" s="105"/>
      <c r="V301" s="74"/>
      <c r="W301" s="105"/>
      <c r="X301" s="74"/>
      <c r="Y301" s="105"/>
      <c r="Z301" s="63"/>
    </row>
    <row r="302" spans="1:26" s="29" customFormat="1" ht="21.4" customHeight="1" x14ac:dyDescent="0.2">
      <c r="A302" s="30"/>
      <c r="B302" s="389" t="s">
        <v>42</v>
      </c>
      <c r="C302" s="390"/>
      <c r="F302" s="48" t="s">
        <v>64</v>
      </c>
      <c r="G302" s="43">
        <f>IF($J$1="January",U298,IF($J$1="February",U299,IF($J$1="March",U300,IF($J$1="April",U301,IF($J$1="May",U302,IF($J$1="June",U303,IF($J$1="July",U304,IF($J$1="August",U305,IF($J$1="August",U305,IF($J$1="September",U306,IF($J$1="October",U307,IF($J$1="November",U308,IF($J$1="December",U309)))))))))))))</f>
        <v>0</v>
      </c>
      <c r="H302" s="47"/>
      <c r="I302" s="49">
        <f>IF(C306&gt;0,$K$2,C304)</f>
        <v>12</v>
      </c>
      <c r="J302" s="50" t="s">
        <v>61</v>
      </c>
      <c r="K302" s="51">
        <f>K298/$K$2*I302</f>
        <v>14000</v>
      </c>
      <c r="L302" s="52"/>
      <c r="N302" s="71"/>
      <c r="O302" s="72" t="s">
        <v>48</v>
      </c>
      <c r="P302" s="72"/>
      <c r="Q302" s="72"/>
      <c r="R302" s="72">
        <v>0</v>
      </c>
      <c r="S302" s="63"/>
      <c r="T302" s="72" t="s">
        <v>48</v>
      </c>
      <c r="U302" s="105"/>
      <c r="V302" s="74"/>
      <c r="W302" s="105"/>
      <c r="X302" s="74"/>
      <c r="Y302" s="105"/>
      <c r="Z302" s="63"/>
    </row>
    <row r="303" spans="1:26" s="29" customFormat="1" ht="21.4" customHeight="1" x14ac:dyDescent="0.2">
      <c r="A303" s="30"/>
      <c r="B303" s="39"/>
      <c r="C303" s="39"/>
      <c r="F303" s="48" t="s">
        <v>20</v>
      </c>
      <c r="G303" s="43">
        <f>IF($J$1="January",V298,IF($J$1="February",V299,IF($J$1="March",V300,IF($J$1="April",V301,IF($J$1="May",V302,IF($J$1="June",V303,IF($J$1="July",V304,IF($J$1="August",V305,IF($J$1="August",V305,IF($J$1="September",V306,IF($J$1="October",V307,IF($J$1="November",V308,IF($J$1="December",V309)))))))))))))</f>
        <v>5000</v>
      </c>
      <c r="H303" s="47"/>
      <c r="I303" s="84">
        <v>27</v>
      </c>
      <c r="J303" s="50" t="s">
        <v>62</v>
      </c>
      <c r="K303" s="53">
        <f>K298/$K$2/8*I303</f>
        <v>3937.5000000000005</v>
      </c>
      <c r="L303" s="54"/>
      <c r="N303" s="71"/>
      <c r="O303" s="72" t="s">
        <v>49</v>
      </c>
      <c r="P303" s="72">
        <v>12</v>
      </c>
      <c r="Q303" s="72">
        <v>18</v>
      </c>
      <c r="R303" s="72">
        <v>0</v>
      </c>
      <c r="S303" s="63"/>
      <c r="T303" s="72" t="s">
        <v>49</v>
      </c>
      <c r="U303" s="105">
        <f t="shared" ref="U303" si="58">Y302</f>
        <v>0</v>
      </c>
      <c r="V303" s="74">
        <v>5000</v>
      </c>
      <c r="W303" s="105">
        <f t="shared" ref="W303" si="59">IF(U303="","",U303+V303)</f>
        <v>5000</v>
      </c>
      <c r="X303" s="74">
        <v>5000</v>
      </c>
      <c r="Y303" s="105">
        <f t="shared" ref="Y303" si="60">IF(W303="","",W303-X303)</f>
        <v>0</v>
      </c>
      <c r="Z303" s="63"/>
    </row>
    <row r="304" spans="1:26" s="29" customFormat="1" ht="21.4" customHeight="1" x14ac:dyDescent="0.2">
      <c r="A304" s="30"/>
      <c r="B304" s="48" t="s">
        <v>7</v>
      </c>
      <c r="C304" s="39">
        <f>IF($J$1="January",P298,IF($J$1="February",P299,IF($J$1="March",P300,IF($J$1="April",P301,IF($J$1="May",P302,IF($J$1="June",P303,IF($J$1="July",P304,IF($J$1="August",P305,IF($J$1="August",P305,IF($J$1="September",P306,IF($J$1="October",P307,IF($J$1="November",P308,IF($J$1="December",P309)))))))))))))</f>
        <v>12</v>
      </c>
      <c r="F304" s="48" t="s">
        <v>65</v>
      </c>
      <c r="G304" s="43">
        <f>IF($J$1="January",W298,IF($J$1="February",W299,IF($J$1="March",W300,IF($J$1="April",W301,IF($J$1="May",W302,IF($J$1="June",W303,IF($J$1="July",W304,IF($J$1="August",W305,IF($J$1="August",W305,IF($J$1="September",W306,IF($J$1="October",W307,IF($J$1="November",W308,IF($J$1="December",W309)))))))))))))</f>
        <v>5000</v>
      </c>
      <c r="H304" s="47"/>
      <c r="I304" s="392" t="s">
        <v>69</v>
      </c>
      <c r="J304" s="393"/>
      <c r="K304" s="53">
        <f>K302+K303</f>
        <v>17937.5</v>
      </c>
      <c r="L304" s="54"/>
      <c r="N304" s="71"/>
      <c r="O304" s="72" t="s">
        <v>50</v>
      </c>
      <c r="P304" s="72"/>
      <c r="Q304" s="72"/>
      <c r="R304" s="72">
        <v>0</v>
      </c>
      <c r="S304" s="63"/>
      <c r="T304" s="72" t="s">
        <v>50</v>
      </c>
      <c r="U304" s="105"/>
      <c r="V304" s="74"/>
      <c r="W304" s="105"/>
      <c r="X304" s="74"/>
      <c r="Y304" s="105"/>
      <c r="Z304" s="63"/>
    </row>
    <row r="305" spans="1:26" s="29" customFormat="1" ht="21.4" customHeight="1" x14ac:dyDescent="0.2">
      <c r="A305" s="30"/>
      <c r="B305" s="48" t="s">
        <v>6</v>
      </c>
      <c r="C305" s="39">
        <f>IF($J$1="January",Q298,IF($J$1="February",Q299,IF($J$1="March",Q300,IF($J$1="April",Q301,IF($J$1="May",Q302,IF($J$1="June",Q303,IF($J$1="July",Q304,IF($J$1="August",Q305,IF($J$1="August",Q305,IF($J$1="September",Q306,IF($J$1="October",Q307,IF($J$1="November",Q308,IF($J$1="December",Q309)))))))))))))</f>
        <v>18</v>
      </c>
      <c r="F305" s="48" t="s">
        <v>21</v>
      </c>
      <c r="G305" s="43">
        <f>IF($J$1="January",X298,IF($J$1="February",X299,IF($J$1="March",X300,IF($J$1="April",X301,IF($J$1="May",X302,IF($J$1="June",X303,IF($J$1="July",X304,IF($J$1="August",X305,IF($J$1="August",X305,IF($J$1="September",X306,IF($J$1="October",X307,IF($J$1="November",X308,IF($J$1="December",X309)))))))))))))</f>
        <v>5000</v>
      </c>
      <c r="H305" s="47"/>
      <c r="I305" s="392" t="s">
        <v>70</v>
      </c>
      <c r="J305" s="393"/>
      <c r="K305" s="43">
        <f>G305</f>
        <v>5000</v>
      </c>
      <c r="L305" s="55"/>
      <c r="N305" s="71"/>
      <c r="O305" s="72" t="s">
        <v>51</v>
      </c>
      <c r="P305" s="72"/>
      <c r="Q305" s="72"/>
      <c r="R305" s="72">
        <v>0</v>
      </c>
      <c r="S305" s="63"/>
      <c r="T305" s="72" t="s">
        <v>51</v>
      </c>
      <c r="U305" s="105"/>
      <c r="V305" s="74"/>
      <c r="W305" s="105"/>
      <c r="X305" s="74"/>
      <c r="Y305" s="105"/>
      <c r="Z305" s="63"/>
    </row>
    <row r="306" spans="1:26" s="29" customFormat="1" ht="21.4" customHeight="1" x14ac:dyDescent="0.2">
      <c r="A306" s="30"/>
      <c r="B306" s="56" t="s">
        <v>68</v>
      </c>
      <c r="C306" s="39">
        <f>IF($J$1="January",R298,IF($J$1="February",R299,IF($J$1="March",R300,IF($J$1="April",R301,IF($J$1="May",R302,IF($J$1="June",R303,IF($J$1="July",R304,IF($J$1="August",R305,IF($J$1="August",R305,IF($J$1="September",R306,IF($J$1="October",R307,IF($J$1="November",R308,IF($J$1="December",R309)))))))))))))</f>
        <v>0</v>
      </c>
      <c r="F306" s="48" t="s">
        <v>67</v>
      </c>
      <c r="G306" s="43">
        <f>IF($J$1="January",Y298,IF($J$1="February",Y299,IF($J$1="March",Y300,IF($J$1="April",Y301,IF($J$1="May",Y302,IF($J$1="June",Y303,IF($J$1="July",Y304,IF($J$1="August",Y305,IF($J$1="August",Y305,IF($J$1="September",Y306,IF($J$1="October",Y307,IF($J$1="November",Y308,IF($J$1="December",Y309)))))))))))))</f>
        <v>0</v>
      </c>
      <c r="I306" s="387" t="s">
        <v>63</v>
      </c>
      <c r="J306" s="388"/>
      <c r="K306" s="57">
        <f>K304-K305</f>
        <v>12937.5</v>
      </c>
      <c r="L306" s="58"/>
      <c r="N306" s="71"/>
      <c r="O306" s="72" t="s">
        <v>56</v>
      </c>
      <c r="P306" s="72"/>
      <c r="Q306" s="72"/>
      <c r="R306" s="72">
        <v>0</v>
      </c>
      <c r="S306" s="63"/>
      <c r="T306" s="72" t="s">
        <v>56</v>
      </c>
      <c r="U306" s="105"/>
      <c r="V306" s="74"/>
      <c r="W306" s="105"/>
      <c r="X306" s="74"/>
      <c r="Y306" s="105"/>
      <c r="Z306" s="63"/>
    </row>
    <row r="307" spans="1:26" s="29" customFormat="1" ht="21.4" customHeight="1" x14ac:dyDescent="0.2">
      <c r="A307" s="30"/>
      <c r="L307" s="46"/>
      <c r="N307" s="71"/>
      <c r="O307" s="72" t="s">
        <v>52</v>
      </c>
      <c r="P307" s="72"/>
      <c r="Q307" s="72"/>
      <c r="R307" s="72">
        <v>0</v>
      </c>
      <c r="S307" s="63"/>
      <c r="T307" s="72" t="s">
        <v>52</v>
      </c>
      <c r="U307" s="105"/>
      <c r="V307" s="74"/>
      <c r="W307" s="105"/>
      <c r="X307" s="74"/>
      <c r="Y307" s="105"/>
      <c r="Z307" s="63"/>
    </row>
    <row r="308" spans="1:26" s="29" customFormat="1" ht="21.4" customHeight="1" x14ac:dyDescent="0.2">
      <c r="A308" s="30"/>
      <c r="B308" s="394" t="s">
        <v>85</v>
      </c>
      <c r="C308" s="394"/>
      <c r="D308" s="394"/>
      <c r="E308" s="394"/>
      <c r="F308" s="394"/>
      <c r="G308" s="394"/>
      <c r="H308" s="394"/>
      <c r="I308" s="394"/>
      <c r="J308" s="394"/>
      <c r="K308" s="394"/>
      <c r="L308" s="46"/>
      <c r="N308" s="71"/>
      <c r="O308" s="72" t="s">
        <v>57</v>
      </c>
      <c r="P308" s="72"/>
      <c r="Q308" s="72"/>
      <c r="R308" s="72">
        <v>0</v>
      </c>
      <c r="S308" s="63"/>
      <c r="T308" s="72" t="s">
        <v>57</v>
      </c>
      <c r="U308" s="105"/>
      <c r="V308" s="74"/>
      <c r="W308" s="105"/>
      <c r="X308" s="74"/>
      <c r="Y308" s="105"/>
      <c r="Z308" s="63"/>
    </row>
    <row r="309" spans="1:26" s="29" customFormat="1" ht="21.4" customHeight="1" x14ac:dyDescent="0.2">
      <c r="A309" s="30"/>
      <c r="B309" s="394"/>
      <c r="C309" s="394"/>
      <c r="D309" s="394"/>
      <c r="E309" s="394"/>
      <c r="F309" s="394"/>
      <c r="G309" s="394"/>
      <c r="H309" s="394"/>
      <c r="I309" s="394"/>
      <c r="J309" s="394"/>
      <c r="K309" s="394"/>
      <c r="L309" s="46"/>
      <c r="N309" s="71"/>
      <c r="O309" s="72" t="s">
        <v>58</v>
      </c>
      <c r="P309" s="72"/>
      <c r="Q309" s="72"/>
      <c r="R309" s="72" t="str">
        <f t="shared" ref="R309" si="61">IF(Q309="","",R308-Q309)</f>
        <v/>
      </c>
      <c r="S309" s="63"/>
      <c r="T309" s="72" t="s">
        <v>58</v>
      </c>
      <c r="U309" s="105"/>
      <c r="V309" s="74"/>
      <c r="W309" s="105"/>
      <c r="X309" s="74"/>
      <c r="Y309" s="105"/>
      <c r="Z309" s="63"/>
    </row>
    <row r="310" spans="1:26" s="29" customFormat="1" ht="21.4" customHeight="1" thickBot="1" x14ac:dyDescent="0.25">
      <c r="A310" s="59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1"/>
      <c r="N310" s="77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63"/>
    </row>
    <row r="311" spans="1:26" s="29" customFormat="1" ht="21.4" customHeight="1" thickBot="1" x14ac:dyDescent="0.25">
      <c r="A311" s="30"/>
      <c r="L311" s="46"/>
      <c r="N311" s="71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spans="1:26" s="29" customFormat="1" ht="21" customHeight="1" x14ac:dyDescent="0.2">
      <c r="A312" s="396" t="s">
        <v>40</v>
      </c>
      <c r="B312" s="397"/>
      <c r="C312" s="397"/>
      <c r="D312" s="397"/>
      <c r="E312" s="397"/>
      <c r="F312" s="397"/>
      <c r="G312" s="397"/>
      <c r="H312" s="397"/>
      <c r="I312" s="397"/>
      <c r="J312" s="397"/>
      <c r="K312" s="397"/>
      <c r="L312" s="398"/>
      <c r="M312" s="28"/>
      <c r="N312" s="64"/>
      <c r="O312" s="403" t="s">
        <v>42</v>
      </c>
      <c r="P312" s="404"/>
      <c r="Q312" s="404"/>
      <c r="R312" s="405"/>
      <c r="S312" s="65"/>
      <c r="T312" s="403" t="s">
        <v>43</v>
      </c>
      <c r="U312" s="404"/>
      <c r="V312" s="404"/>
      <c r="W312" s="404"/>
      <c r="X312" s="404"/>
      <c r="Y312" s="405"/>
      <c r="Z312" s="66"/>
    </row>
    <row r="313" spans="1:26" s="29" customFormat="1" ht="21" customHeight="1" x14ac:dyDescent="0.2">
      <c r="A313" s="30"/>
      <c r="C313" s="402" t="s">
        <v>83</v>
      </c>
      <c r="D313" s="402"/>
      <c r="E313" s="402"/>
      <c r="F313" s="402"/>
      <c r="G313" s="31" t="str">
        <f>$J$1</f>
        <v>June</v>
      </c>
      <c r="H313" s="409">
        <f>$K$1</f>
        <v>2023</v>
      </c>
      <c r="I313" s="409"/>
      <c r="K313" s="32"/>
      <c r="L313" s="33"/>
      <c r="M313" s="32"/>
      <c r="N313" s="67"/>
      <c r="O313" s="68" t="s">
        <v>53</v>
      </c>
      <c r="P313" s="68" t="s">
        <v>7</v>
      </c>
      <c r="Q313" s="68" t="s">
        <v>6</v>
      </c>
      <c r="R313" s="68" t="s">
        <v>54</v>
      </c>
      <c r="S313" s="69"/>
      <c r="T313" s="68" t="s">
        <v>53</v>
      </c>
      <c r="U313" s="68" t="s">
        <v>55</v>
      </c>
      <c r="V313" s="68" t="s">
        <v>20</v>
      </c>
      <c r="W313" s="68" t="s">
        <v>19</v>
      </c>
      <c r="X313" s="68" t="s">
        <v>21</v>
      </c>
      <c r="Y313" s="68" t="s">
        <v>59</v>
      </c>
      <c r="Z313" s="70"/>
    </row>
    <row r="314" spans="1:26" s="29" customFormat="1" ht="21" customHeight="1" x14ac:dyDescent="0.2">
      <c r="A314" s="30"/>
      <c r="D314" s="35"/>
      <c r="E314" s="35"/>
      <c r="F314" s="35"/>
      <c r="G314" s="35"/>
      <c r="H314" s="35"/>
      <c r="J314" s="36" t="s">
        <v>1</v>
      </c>
      <c r="K314" s="37">
        <v>35000</v>
      </c>
      <c r="L314" s="38"/>
      <c r="N314" s="71"/>
      <c r="O314" s="72" t="s">
        <v>45</v>
      </c>
      <c r="P314" s="72"/>
      <c r="Q314" s="72"/>
      <c r="R314" s="72"/>
      <c r="S314" s="73"/>
      <c r="T314" s="72" t="s">
        <v>45</v>
      </c>
      <c r="U314" s="74"/>
      <c r="V314" s="74"/>
      <c r="W314" s="74">
        <f>V314+U314</f>
        <v>0</v>
      </c>
      <c r="X314" s="74"/>
      <c r="Y314" s="74">
        <f>W314-X314</f>
        <v>0</v>
      </c>
      <c r="Z314" s="70"/>
    </row>
    <row r="315" spans="1:26" s="29" customFormat="1" ht="21" customHeight="1" x14ac:dyDescent="0.2">
      <c r="A315" s="30"/>
      <c r="B315" s="29" t="s">
        <v>0</v>
      </c>
      <c r="C315" s="40" t="s">
        <v>227</v>
      </c>
      <c r="H315" s="41"/>
      <c r="I315" s="35"/>
      <c r="L315" s="42"/>
      <c r="M315" s="28"/>
      <c r="N315" s="75"/>
      <c r="O315" s="72" t="s">
        <v>71</v>
      </c>
      <c r="P315" s="72"/>
      <c r="Q315" s="72"/>
      <c r="R315" s="72" t="str">
        <f t="shared" ref="R315:R325" si="62">IF(Q315="","",R314-Q315)</f>
        <v/>
      </c>
      <c r="S315" s="63"/>
      <c r="T315" s="72" t="s">
        <v>71</v>
      </c>
      <c r="U315" s="105">
        <f t="shared" ref="U315:U319" si="63">Y314</f>
        <v>0</v>
      </c>
      <c r="V315" s="74"/>
      <c r="W315" s="105">
        <f>IF(U315="","",U315+V315)</f>
        <v>0</v>
      </c>
      <c r="X315" s="74"/>
      <c r="Y315" s="105">
        <f>IF(W315="","",W315-X315)</f>
        <v>0</v>
      </c>
      <c r="Z315" s="76"/>
    </row>
    <row r="316" spans="1:26" s="29" customFormat="1" ht="21" customHeight="1" x14ac:dyDescent="0.2">
      <c r="A316" s="30"/>
      <c r="B316" s="44" t="s">
        <v>41</v>
      </c>
      <c r="C316" s="40"/>
      <c r="F316" s="391" t="s">
        <v>43</v>
      </c>
      <c r="G316" s="391"/>
      <c r="I316" s="391" t="s">
        <v>44</v>
      </c>
      <c r="J316" s="391"/>
      <c r="K316" s="391"/>
      <c r="L316" s="46"/>
      <c r="N316" s="71"/>
      <c r="O316" s="72" t="s">
        <v>46</v>
      </c>
      <c r="P316" s="72"/>
      <c r="Q316" s="72"/>
      <c r="R316" s="72" t="str">
        <f t="shared" si="62"/>
        <v/>
      </c>
      <c r="S316" s="63"/>
      <c r="T316" s="72" t="s">
        <v>46</v>
      </c>
      <c r="U316" s="105">
        <f t="shared" si="63"/>
        <v>0</v>
      </c>
      <c r="V316" s="74"/>
      <c r="W316" s="105">
        <f t="shared" ref="W316:W325" si="64">IF(U316="","",U316+V316)</f>
        <v>0</v>
      </c>
      <c r="X316" s="74"/>
      <c r="Y316" s="105">
        <f t="shared" ref="Y316:Y325" si="65">IF(W316="","",W316-X316)</f>
        <v>0</v>
      </c>
      <c r="Z316" s="76"/>
    </row>
    <row r="317" spans="1:26" s="29" customFormat="1" ht="21" customHeight="1" x14ac:dyDescent="0.2">
      <c r="A317" s="30"/>
      <c r="H317" s="47"/>
      <c r="L317" s="34"/>
      <c r="N317" s="71"/>
      <c r="O317" s="72" t="s">
        <v>47</v>
      </c>
      <c r="P317" s="72"/>
      <c r="Q317" s="72"/>
      <c r="R317" s="72" t="str">
        <f t="shared" si="62"/>
        <v/>
      </c>
      <c r="S317" s="63"/>
      <c r="T317" s="72" t="s">
        <v>47</v>
      </c>
      <c r="U317" s="105">
        <f>Y316</f>
        <v>0</v>
      </c>
      <c r="V317" s="74"/>
      <c r="W317" s="105">
        <f t="shared" si="64"/>
        <v>0</v>
      </c>
      <c r="X317" s="74"/>
      <c r="Y317" s="105">
        <f t="shared" si="65"/>
        <v>0</v>
      </c>
      <c r="Z317" s="76"/>
    </row>
    <row r="318" spans="1:26" s="29" customFormat="1" ht="21" customHeight="1" x14ac:dyDescent="0.2">
      <c r="A318" s="30"/>
      <c r="B318" s="389" t="s">
        <v>42</v>
      </c>
      <c r="C318" s="390"/>
      <c r="F318" s="48" t="s">
        <v>64</v>
      </c>
      <c r="G318" s="43">
        <f>IF($J$1="January",U314,IF($J$1="February",U315,IF($J$1="March",U316,IF($J$1="April",U317,IF($J$1="May",U318,IF($J$1="June",U319,IF($J$1="July",U320,IF($J$1="August",U321,IF($J$1="August",U321,IF($J$1="September",U322,IF($J$1="October",U323,IF($J$1="November",U324,IF($J$1="December",U325)))))))))))))</f>
        <v>0</v>
      </c>
      <c r="H318" s="47"/>
      <c r="I318" s="49">
        <f>IF(C322&gt;0,$K$2,C320)</f>
        <v>10</v>
      </c>
      <c r="J318" s="50" t="s">
        <v>61</v>
      </c>
      <c r="K318" s="51">
        <f>K314/$K$2*I318</f>
        <v>11666.666666666668</v>
      </c>
      <c r="L318" s="52"/>
      <c r="N318" s="71"/>
      <c r="O318" s="72" t="s">
        <v>48</v>
      </c>
      <c r="P318" s="72"/>
      <c r="Q318" s="72"/>
      <c r="R318" s="72" t="str">
        <f t="shared" si="62"/>
        <v/>
      </c>
      <c r="S318" s="63"/>
      <c r="T318" s="72" t="s">
        <v>48</v>
      </c>
      <c r="U318" s="105">
        <v>0</v>
      </c>
      <c r="V318" s="74"/>
      <c r="W318" s="105">
        <f t="shared" si="64"/>
        <v>0</v>
      </c>
      <c r="X318" s="74"/>
      <c r="Y318" s="105">
        <f t="shared" si="65"/>
        <v>0</v>
      </c>
      <c r="Z318" s="76"/>
    </row>
    <row r="319" spans="1:26" s="29" customFormat="1" ht="21" customHeight="1" x14ac:dyDescent="0.2">
      <c r="A319" s="30"/>
      <c r="B319" s="39"/>
      <c r="C319" s="39"/>
      <c r="F319" s="48" t="s">
        <v>20</v>
      </c>
      <c r="G319" s="43">
        <f>IF($J$1="January",V314,IF($J$1="February",V315,IF($J$1="March",V316,IF($J$1="April",V317,IF($J$1="May",V318,IF($J$1="June",V319,IF($J$1="July",V320,IF($J$1="August",V321,IF($J$1="August",V321,IF($J$1="September",V322,IF($J$1="October",V323,IF($J$1="November",V324,IF($J$1="December",V325)))))))))))))</f>
        <v>5000</v>
      </c>
      <c r="H319" s="47"/>
      <c r="I319" s="125"/>
      <c r="J319" s="50" t="s">
        <v>62</v>
      </c>
      <c r="K319" s="53">
        <f>K314/$K$2/8*I319</f>
        <v>0</v>
      </c>
      <c r="L319" s="54"/>
      <c r="N319" s="71"/>
      <c r="O319" s="72" t="s">
        <v>49</v>
      </c>
      <c r="P319" s="72">
        <v>10</v>
      </c>
      <c r="Q319" s="72">
        <v>20</v>
      </c>
      <c r="R319" s="72">
        <v>0</v>
      </c>
      <c r="S319" s="63"/>
      <c r="T319" s="72" t="s">
        <v>49</v>
      </c>
      <c r="U319" s="105">
        <f t="shared" si="63"/>
        <v>0</v>
      </c>
      <c r="V319" s="74">
        <v>5000</v>
      </c>
      <c r="W319" s="105">
        <f t="shared" si="64"/>
        <v>5000</v>
      </c>
      <c r="X319" s="74">
        <v>5000</v>
      </c>
      <c r="Y319" s="105">
        <f t="shared" si="65"/>
        <v>0</v>
      </c>
      <c r="Z319" s="76"/>
    </row>
    <row r="320" spans="1:26" s="29" customFormat="1" ht="21" customHeight="1" x14ac:dyDescent="0.2">
      <c r="A320" s="30"/>
      <c r="B320" s="48" t="s">
        <v>7</v>
      </c>
      <c r="C320" s="39">
        <f>IF($J$1="January",P314,IF($J$1="February",P315,IF($J$1="March",P316,IF($J$1="April",P317,IF($J$1="May",P318,IF($J$1="June",P319,IF($J$1="July",P320,IF($J$1="August",P321,IF($J$1="August",P321,IF($J$1="September",P322,IF($J$1="October",P323,IF($J$1="November",P324,IF($J$1="December",P325)))))))))))))</f>
        <v>10</v>
      </c>
      <c r="F320" s="48" t="s">
        <v>65</v>
      </c>
      <c r="G320" s="43">
        <f>IF($J$1="January",W314,IF($J$1="February",W315,IF($J$1="March",W316,IF($J$1="April",W317,IF($J$1="May",W318,IF($J$1="June",W319,IF($J$1="July",W320,IF($J$1="August",W321,IF($J$1="August",W321,IF($J$1="September",W322,IF($J$1="October",W323,IF($J$1="November",W324,IF($J$1="December",W325)))))))))))))</f>
        <v>5000</v>
      </c>
      <c r="H320" s="47"/>
      <c r="I320" s="392" t="s">
        <v>69</v>
      </c>
      <c r="J320" s="393"/>
      <c r="K320" s="53">
        <f>K318+K319</f>
        <v>11666.666666666668</v>
      </c>
      <c r="L320" s="54"/>
      <c r="N320" s="71"/>
      <c r="O320" s="72" t="s">
        <v>50</v>
      </c>
      <c r="P320" s="72"/>
      <c r="Q320" s="72"/>
      <c r="R320" s="72" t="str">
        <f t="shared" si="62"/>
        <v/>
      </c>
      <c r="S320" s="63"/>
      <c r="T320" s="72" t="s">
        <v>50</v>
      </c>
      <c r="U320" s="105"/>
      <c r="V320" s="74"/>
      <c r="W320" s="105" t="str">
        <f t="shared" si="64"/>
        <v/>
      </c>
      <c r="X320" s="74"/>
      <c r="Y320" s="105" t="str">
        <f t="shared" si="65"/>
        <v/>
      </c>
      <c r="Z320" s="76"/>
    </row>
    <row r="321" spans="1:27" s="29" customFormat="1" ht="21" customHeight="1" x14ac:dyDescent="0.2">
      <c r="A321" s="30"/>
      <c r="B321" s="48" t="s">
        <v>6</v>
      </c>
      <c r="C321" s="39">
        <f>IF($J$1="January",Q314,IF($J$1="February",Q315,IF($J$1="March",Q316,IF($J$1="April",Q317,IF($J$1="May",Q318,IF($J$1="June",Q319,IF($J$1="July",Q320,IF($J$1="August",Q321,IF($J$1="August",Q321,IF($J$1="September",Q322,IF($J$1="October",Q323,IF($J$1="November",Q324,IF($J$1="December",Q325)))))))))))))</f>
        <v>20</v>
      </c>
      <c r="F321" s="48" t="s">
        <v>21</v>
      </c>
      <c r="G321" s="43">
        <f>IF($J$1="January",X314,IF($J$1="February",X315,IF($J$1="March",X316,IF($J$1="April",X317,IF($J$1="May",X318,IF($J$1="June",X319,IF($J$1="July",X320,IF($J$1="August",X321,IF($J$1="August",X321,IF($J$1="September",X322,IF($J$1="October",X323,IF($J$1="November",X324,IF($J$1="December",X325)))))))))))))</f>
        <v>5000</v>
      </c>
      <c r="H321" s="47"/>
      <c r="I321" s="392" t="s">
        <v>70</v>
      </c>
      <c r="J321" s="393"/>
      <c r="K321" s="43">
        <f>G321</f>
        <v>5000</v>
      </c>
      <c r="L321" s="55"/>
      <c r="N321" s="71"/>
      <c r="O321" s="72" t="s">
        <v>51</v>
      </c>
      <c r="P321" s="72"/>
      <c r="Q321" s="72"/>
      <c r="R321" s="72" t="str">
        <f t="shared" si="62"/>
        <v/>
      </c>
      <c r="S321" s="63"/>
      <c r="T321" s="72" t="s">
        <v>51</v>
      </c>
      <c r="U321" s="105" t="str">
        <f>Y320</f>
        <v/>
      </c>
      <c r="V321" s="74"/>
      <c r="W321" s="105" t="str">
        <f t="shared" si="64"/>
        <v/>
      </c>
      <c r="X321" s="74"/>
      <c r="Y321" s="105" t="str">
        <f t="shared" si="65"/>
        <v/>
      </c>
      <c r="Z321" s="76"/>
    </row>
    <row r="322" spans="1:27" s="29" customFormat="1" ht="21" customHeight="1" x14ac:dyDescent="0.2">
      <c r="A322" s="30"/>
      <c r="B322" s="56" t="s">
        <v>68</v>
      </c>
      <c r="C322" s="39">
        <f>IF($J$1="January",R314,IF($J$1="February",R315,IF($J$1="March",R316,IF($J$1="April",R317,IF($J$1="May",R318,IF($J$1="June",R319,IF($J$1="July",R320,IF($J$1="August",R321,IF($J$1="August",R321,IF($J$1="September",R322,IF($J$1="October",R323,IF($J$1="November",R324,IF($J$1="December",R325)))))))))))))</f>
        <v>0</v>
      </c>
      <c r="F322" s="48" t="s">
        <v>67</v>
      </c>
      <c r="G322" s="43">
        <f>IF($J$1="January",Y314,IF($J$1="February",Y315,IF($J$1="March",Y316,IF($J$1="April",Y317,IF($J$1="May",Y318,IF($J$1="June",Y319,IF($J$1="July",Y320,IF($J$1="August",Y321,IF($J$1="August",Y321,IF($J$1="September",Y322,IF($J$1="October",Y323,IF($J$1="November",Y324,IF($J$1="December",Y325)))))))))))))</f>
        <v>0</v>
      </c>
      <c r="I322" s="387" t="s">
        <v>63</v>
      </c>
      <c r="J322" s="388"/>
      <c r="K322" s="57">
        <f>K320-K321</f>
        <v>6666.6666666666679</v>
      </c>
      <c r="L322" s="58"/>
      <c r="N322" s="71"/>
      <c r="O322" s="72" t="s">
        <v>56</v>
      </c>
      <c r="P322" s="72"/>
      <c r="Q322" s="72"/>
      <c r="R322" s="72" t="str">
        <f t="shared" si="62"/>
        <v/>
      </c>
      <c r="S322" s="63"/>
      <c r="T322" s="72" t="s">
        <v>56</v>
      </c>
      <c r="U322" s="105" t="str">
        <f>Y321</f>
        <v/>
      </c>
      <c r="V322" s="74"/>
      <c r="W322" s="105" t="str">
        <f t="shared" si="64"/>
        <v/>
      </c>
      <c r="X322" s="74"/>
      <c r="Y322" s="105" t="str">
        <f t="shared" si="65"/>
        <v/>
      </c>
      <c r="Z322" s="76"/>
    </row>
    <row r="323" spans="1:27" s="29" customFormat="1" ht="21" customHeight="1" x14ac:dyDescent="0.2">
      <c r="A323" s="30"/>
      <c r="K323" s="107"/>
      <c r="L323" s="46"/>
      <c r="N323" s="71"/>
      <c r="O323" s="72" t="s">
        <v>52</v>
      </c>
      <c r="P323" s="72"/>
      <c r="Q323" s="72"/>
      <c r="R323" s="72" t="str">
        <f t="shared" si="62"/>
        <v/>
      </c>
      <c r="S323" s="63"/>
      <c r="T323" s="72" t="s">
        <v>52</v>
      </c>
      <c r="U323" s="105" t="str">
        <f>Y322</f>
        <v/>
      </c>
      <c r="V323" s="74"/>
      <c r="W323" s="105" t="str">
        <f t="shared" si="64"/>
        <v/>
      </c>
      <c r="X323" s="74"/>
      <c r="Y323" s="105" t="str">
        <f t="shared" si="65"/>
        <v/>
      </c>
      <c r="Z323" s="76"/>
    </row>
    <row r="324" spans="1:27" s="29" customFormat="1" ht="21" customHeight="1" x14ac:dyDescent="0.2">
      <c r="A324" s="30"/>
      <c r="B324" s="394" t="s">
        <v>85</v>
      </c>
      <c r="C324" s="394"/>
      <c r="D324" s="394"/>
      <c r="E324" s="394"/>
      <c r="F324" s="394"/>
      <c r="G324" s="394"/>
      <c r="H324" s="394"/>
      <c r="I324" s="394"/>
      <c r="J324" s="394"/>
      <c r="K324" s="394"/>
      <c r="L324" s="46"/>
      <c r="N324" s="71"/>
      <c r="O324" s="72" t="s">
        <v>57</v>
      </c>
      <c r="P324" s="72"/>
      <c r="Q324" s="72"/>
      <c r="R324" s="72" t="str">
        <f t="shared" si="62"/>
        <v/>
      </c>
      <c r="S324" s="63"/>
      <c r="T324" s="72" t="s">
        <v>57</v>
      </c>
      <c r="U324" s="105" t="str">
        <f>Y323</f>
        <v/>
      </c>
      <c r="V324" s="74"/>
      <c r="W324" s="105" t="str">
        <f t="shared" si="64"/>
        <v/>
      </c>
      <c r="X324" s="74"/>
      <c r="Y324" s="105" t="str">
        <f t="shared" si="65"/>
        <v/>
      </c>
      <c r="Z324" s="76"/>
    </row>
    <row r="325" spans="1:27" s="29" customFormat="1" ht="21" customHeight="1" x14ac:dyDescent="0.2">
      <c r="A325" s="30"/>
      <c r="B325" s="394"/>
      <c r="C325" s="394"/>
      <c r="D325" s="394"/>
      <c r="E325" s="394"/>
      <c r="F325" s="394"/>
      <c r="G325" s="394"/>
      <c r="H325" s="394"/>
      <c r="I325" s="394"/>
      <c r="J325" s="394"/>
      <c r="K325" s="394"/>
      <c r="L325" s="46"/>
      <c r="N325" s="71"/>
      <c r="O325" s="72" t="s">
        <v>58</v>
      </c>
      <c r="P325" s="72"/>
      <c r="Q325" s="72"/>
      <c r="R325" s="72" t="str">
        <f t="shared" si="62"/>
        <v/>
      </c>
      <c r="S325" s="63"/>
      <c r="T325" s="72" t="s">
        <v>58</v>
      </c>
      <c r="U325" s="105" t="str">
        <f>Y324</f>
        <v/>
      </c>
      <c r="V325" s="74"/>
      <c r="W325" s="105" t="str">
        <f t="shared" si="64"/>
        <v/>
      </c>
      <c r="X325" s="74"/>
      <c r="Y325" s="105" t="str">
        <f t="shared" si="65"/>
        <v/>
      </c>
      <c r="Z325" s="76"/>
    </row>
    <row r="326" spans="1:27" s="29" customFormat="1" ht="21" customHeight="1" thickBot="1" x14ac:dyDescent="0.25">
      <c r="A326" s="59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1"/>
      <c r="N326" s="77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9"/>
    </row>
    <row r="327" spans="1:27" s="29" customFormat="1" ht="21" customHeight="1" thickBot="1" x14ac:dyDescent="0.25">
      <c r="A327" s="30"/>
      <c r="L327" s="46"/>
      <c r="N327" s="71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85"/>
    </row>
    <row r="328" spans="1:27" s="29" customFormat="1" ht="21" customHeight="1" x14ac:dyDescent="0.2">
      <c r="A328" s="417" t="s">
        <v>40</v>
      </c>
      <c r="B328" s="418"/>
      <c r="C328" s="418"/>
      <c r="D328" s="418"/>
      <c r="E328" s="418"/>
      <c r="F328" s="418"/>
      <c r="G328" s="418"/>
      <c r="H328" s="418"/>
      <c r="I328" s="418"/>
      <c r="J328" s="418"/>
      <c r="K328" s="418"/>
      <c r="L328" s="419"/>
      <c r="M328" s="28"/>
      <c r="N328" s="64"/>
      <c r="O328" s="403" t="s">
        <v>42</v>
      </c>
      <c r="P328" s="404"/>
      <c r="Q328" s="404"/>
      <c r="R328" s="405"/>
      <c r="S328" s="65"/>
      <c r="T328" s="403" t="s">
        <v>43</v>
      </c>
      <c r="U328" s="404"/>
      <c r="V328" s="404"/>
      <c r="W328" s="404"/>
      <c r="X328" s="404"/>
      <c r="Y328" s="405"/>
      <c r="Z328" s="66"/>
      <c r="AA328" s="28"/>
    </row>
    <row r="329" spans="1:27" s="29" customFormat="1" ht="21" customHeight="1" x14ac:dyDescent="0.2">
      <c r="A329" s="30"/>
      <c r="C329" s="402" t="s">
        <v>83</v>
      </c>
      <c r="D329" s="402"/>
      <c r="E329" s="402"/>
      <c r="F329" s="402"/>
      <c r="G329" s="31" t="str">
        <f>$J$1</f>
        <v>June</v>
      </c>
      <c r="H329" s="409">
        <f>$K$1</f>
        <v>2023</v>
      </c>
      <c r="I329" s="409"/>
      <c r="K329" s="32"/>
      <c r="L329" s="33"/>
      <c r="M329" s="32"/>
      <c r="N329" s="67"/>
      <c r="O329" s="68" t="s">
        <v>53</v>
      </c>
      <c r="P329" s="68" t="s">
        <v>7</v>
      </c>
      <c r="Q329" s="68" t="s">
        <v>6</v>
      </c>
      <c r="R329" s="68" t="s">
        <v>54</v>
      </c>
      <c r="S329" s="69"/>
      <c r="T329" s="68" t="s">
        <v>53</v>
      </c>
      <c r="U329" s="68" t="s">
        <v>55</v>
      </c>
      <c r="V329" s="68" t="s">
        <v>20</v>
      </c>
      <c r="W329" s="68" t="s">
        <v>19</v>
      </c>
      <c r="X329" s="68" t="s">
        <v>21</v>
      </c>
      <c r="Y329" s="68" t="s">
        <v>59</v>
      </c>
      <c r="Z329" s="70"/>
      <c r="AA329" s="32"/>
    </row>
    <row r="330" spans="1:27" s="29" customFormat="1" ht="21" customHeight="1" x14ac:dyDescent="0.2">
      <c r="A330" s="30"/>
      <c r="D330" s="35"/>
      <c r="E330" s="35"/>
      <c r="F330" s="35"/>
      <c r="G330" s="35"/>
      <c r="H330" s="35"/>
      <c r="J330" s="36" t="s">
        <v>1</v>
      </c>
      <c r="K330" s="37">
        <v>32000</v>
      </c>
      <c r="L330" s="38"/>
      <c r="N330" s="71"/>
      <c r="O330" s="72" t="s">
        <v>45</v>
      </c>
      <c r="P330" s="72"/>
      <c r="Q330" s="72"/>
      <c r="R330" s="72"/>
      <c r="S330" s="73"/>
      <c r="T330" s="72" t="s">
        <v>45</v>
      </c>
      <c r="U330" s="74">
        <v>25870</v>
      </c>
      <c r="V330" s="74"/>
      <c r="W330" s="74">
        <f>V330+U330</f>
        <v>25870</v>
      </c>
      <c r="X330" s="74">
        <v>5000</v>
      </c>
      <c r="Y330" s="74">
        <f>W330-X330</f>
        <v>20870</v>
      </c>
      <c r="Z330" s="70"/>
    </row>
    <row r="331" spans="1:27" s="29" customFormat="1" ht="21" customHeight="1" x14ac:dyDescent="0.2">
      <c r="A331" s="30"/>
      <c r="B331" s="29" t="s">
        <v>0</v>
      </c>
      <c r="C331" s="40" t="s">
        <v>164</v>
      </c>
      <c r="H331" s="41"/>
      <c r="I331" s="35"/>
      <c r="L331" s="42"/>
      <c r="M331" s="28"/>
      <c r="N331" s="75"/>
      <c r="O331" s="72" t="s">
        <v>71</v>
      </c>
      <c r="P331" s="72"/>
      <c r="Q331" s="72"/>
      <c r="R331" s="72">
        <v>0</v>
      </c>
      <c r="S331" s="63"/>
      <c r="T331" s="72" t="s">
        <v>71</v>
      </c>
      <c r="U331" s="105">
        <f>IF($J$1="January","",Y330)</f>
        <v>20870</v>
      </c>
      <c r="V331" s="74">
        <v>2000</v>
      </c>
      <c r="W331" s="105">
        <f>IF(U331="","",U331+V331)</f>
        <v>22870</v>
      </c>
      <c r="X331" s="74">
        <v>5000</v>
      </c>
      <c r="Y331" s="105">
        <f>IF(W331="","",W331-X331)</f>
        <v>17870</v>
      </c>
      <c r="Z331" s="76"/>
      <c r="AA331" s="28"/>
    </row>
    <row r="332" spans="1:27" s="29" customFormat="1" ht="21" customHeight="1" x14ac:dyDescent="0.2">
      <c r="A332" s="30"/>
      <c r="B332" s="44" t="s">
        <v>41</v>
      </c>
      <c r="C332" s="45"/>
      <c r="F332" s="391" t="s">
        <v>43</v>
      </c>
      <c r="G332" s="391"/>
      <c r="I332" s="391" t="s">
        <v>44</v>
      </c>
      <c r="J332" s="391"/>
      <c r="K332" s="391"/>
      <c r="L332" s="46"/>
      <c r="N332" s="71"/>
      <c r="O332" s="72" t="s">
        <v>46</v>
      </c>
      <c r="P332" s="72"/>
      <c r="Q332" s="72"/>
      <c r="R332" s="72">
        <v>0</v>
      </c>
      <c r="S332" s="63"/>
      <c r="T332" s="72" t="s">
        <v>46</v>
      </c>
      <c r="U332" s="105">
        <f>Y331</f>
        <v>17870</v>
      </c>
      <c r="V332" s="74">
        <f>2000+2000</f>
        <v>4000</v>
      </c>
      <c r="W332" s="105">
        <f t="shared" ref="W332:W337" si="66">IF(U332="","",U332+V332)</f>
        <v>21870</v>
      </c>
      <c r="X332" s="74">
        <v>5000</v>
      </c>
      <c r="Y332" s="105">
        <f t="shared" ref="Y332:Y337" si="67">IF(W332="","",W332-X332)</f>
        <v>16870</v>
      </c>
      <c r="Z332" s="76"/>
    </row>
    <row r="333" spans="1:27" s="29" customFormat="1" ht="21" customHeight="1" x14ac:dyDescent="0.2">
      <c r="A333" s="30"/>
      <c r="H333" s="47"/>
      <c r="L333" s="34"/>
      <c r="N333" s="71"/>
      <c r="O333" s="72" t="s">
        <v>47</v>
      </c>
      <c r="P333" s="72"/>
      <c r="Q333" s="72"/>
      <c r="R333" s="72">
        <v>0</v>
      </c>
      <c r="S333" s="63"/>
      <c r="T333" s="72" t="s">
        <v>47</v>
      </c>
      <c r="U333" s="105">
        <f>Y332</f>
        <v>16870</v>
      </c>
      <c r="V333" s="74">
        <v>5000</v>
      </c>
      <c r="W333" s="105">
        <f t="shared" si="66"/>
        <v>21870</v>
      </c>
      <c r="X333" s="74">
        <v>5000</v>
      </c>
      <c r="Y333" s="105">
        <f t="shared" si="67"/>
        <v>16870</v>
      </c>
      <c r="Z333" s="76"/>
    </row>
    <row r="334" spans="1:27" s="29" customFormat="1" ht="21" customHeight="1" x14ac:dyDescent="0.2">
      <c r="A334" s="30"/>
      <c r="B334" s="389" t="s">
        <v>42</v>
      </c>
      <c r="C334" s="390"/>
      <c r="F334" s="48" t="s">
        <v>64</v>
      </c>
      <c r="G334" s="43">
        <f>IF($J$1="January",U330,IF($J$1="February",U331,IF($J$1="March",U332,IF($J$1="April",U333,IF($J$1="May",U334,IF($J$1="June",U335,IF($J$1="July",U336,IF($J$1="August",U337,IF($J$1="August",U337,IF($J$1="September",U338,IF($J$1="October",U339,IF($J$1="November",U340,IF($J$1="December",U341)))))))))))))</f>
        <v>14870</v>
      </c>
      <c r="H334" s="47"/>
      <c r="I334" s="49">
        <f>IF(C338&gt;0,$K$2,C336)</f>
        <v>29</v>
      </c>
      <c r="J334" s="50" t="s">
        <v>61</v>
      </c>
      <c r="K334" s="51">
        <f>K330/$K$2*I334</f>
        <v>30933.333333333336</v>
      </c>
      <c r="L334" s="52"/>
      <c r="N334" s="71"/>
      <c r="O334" s="72" t="s">
        <v>48</v>
      </c>
      <c r="P334" s="72"/>
      <c r="Q334" s="72"/>
      <c r="R334" s="72">
        <v>0</v>
      </c>
      <c r="S334" s="63"/>
      <c r="T334" s="72" t="s">
        <v>48</v>
      </c>
      <c r="U334" s="105">
        <f>Y333</f>
        <v>16870</v>
      </c>
      <c r="V334" s="74">
        <v>3000</v>
      </c>
      <c r="W334" s="105">
        <f t="shared" si="66"/>
        <v>19870</v>
      </c>
      <c r="X334" s="74">
        <v>5000</v>
      </c>
      <c r="Y334" s="105">
        <f t="shared" si="67"/>
        <v>14870</v>
      </c>
      <c r="Z334" s="76"/>
    </row>
    <row r="335" spans="1:27" s="29" customFormat="1" ht="21" customHeight="1" x14ac:dyDescent="0.2">
      <c r="A335" s="30"/>
      <c r="B335" s="39"/>
      <c r="C335" s="39"/>
      <c r="F335" s="48" t="s">
        <v>20</v>
      </c>
      <c r="G335" s="43">
        <f>IF($J$1="January",V330,IF($J$1="February",V331,IF($J$1="March",V332,IF($J$1="April",V333,IF($J$1="May",V334,IF($J$1="June",V335,IF($J$1="July",V336,IF($J$1="August",V337,IF($J$1="August",V337,IF($J$1="September",V338,IF($J$1="October",V339,IF($J$1="November",V340,IF($J$1="December",V341)))))))))))))</f>
        <v>15000</v>
      </c>
      <c r="H335" s="47"/>
      <c r="I335" s="84">
        <v>36</v>
      </c>
      <c r="J335" s="50" t="s">
        <v>62</v>
      </c>
      <c r="K335" s="53">
        <f>K330/$K$2/8*I335</f>
        <v>4800</v>
      </c>
      <c r="L335" s="54"/>
      <c r="N335" s="71"/>
      <c r="O335" s="72" t="s">
        <v>49</v>
      </c>
      <c r="P335" s="72">
        <v>29</v>
      </c>
      <c r="Q335" s="72">
        <v>1</v>
      </c>
      <c r="R335" s="72">
        <v>0</v>
      </c>
      <c r="S335" s="63"/>
      <c r="T335" s="72" t="s">
        <v>49</v>
      </c>
      <c r="U335" s="105">
        <f>Y334</f>
        <v>14870</v>
      </c>
      <c r="V335" s="74">
        <v>15000</v>
      </c>
      <c r="W335" s="105">
        <f t="shared" si="66"/>
        <v>29870</v>
      </c>
      <c r="X335" s="74">
        <v>15000</v>
      </c>
      <c r="Y335" s="105">
        <f t="shared" si="67"/>
        <v>14870</v>
      </c>
      <c r="Z335" s="76"/>
    </row>
    <row r="336" spans="1:27" s="29" customFormat="1" ht="21" customHeight="1" x14ac:dyDescent="0.2">
      <c r="A336" s="30"/>
      <c r="B336" s="48" t="s">
        <v>7</v>
      </c>
      <c r="C336" s="39">
        <f>IF($J$1="January",P330,IF($J$1="February",P331,IF($J$1="March",P332,IF($J$1="April",P333,IF($J$1="May",P334,IF($J$1="June",P335,IF($J$1="July",P336,IF($J$1="August",P337,IF($J$1="August",P337,IF($J$1="September",P338,IF($J$1="October",P339,IF($J$1="November",P340,IF($J$1="December",P341)))))))))))))</f>
        <v>29</v>
      </c>
      <c r="F336" s="48" t="s">
        <v>65</v>
      </c>
      <c r="G336" s="43">
        <f>IF($J$1="January",W330,IF($J$1="February",W331,IF($J$1="March",W332,IF($J$1="April",W333,IF($J$1="May",W334,IF($J$1="June",W335,IF($J$1="July",W336,IF($J$1="August",W337,IF($J$1="August",W337,IF($J$1="September",W338,IF($J$1="October",W339,IF($J$1="November",W340,IF($J$1="December",W341)))))))))))))</f>
        <v>29870</v>
      </c>
      <c r="H336" s="47"/>
      <c r="I336" s="392" t="s">
        <v>69</v>
      </c>
      <c r="J336" s="393"/>
      <c r="K336" s="53">
        <f>K334+K335</f>
        <v>35733.333333333336</v>
      </c>
      <c r="L336" s="54"/>
      <c r="N336" s="71"/>
      <c r="O336" s="72" t="s">
        <v>50</v>
      </c>
      <c r="P336" s="72"/>
      <c r="Q336" s="72"/>
      <c r="R336" s="72"/>
      <c r="S336" s="63"/>
      <c r="T336" s="72" t="s">
        <v>50</v>
      </c>
      <c r="U336" s="105"/>
      <c r="V336" s="74"/>
      <c r="W336" s="105" t="str">
        <f t="shared" si="66"/>
        <v/>
      </c>
      <c r="X336" s="74"/>
      <c r="Y336" s="105" t="str">
        <f t="shared" si="67"/>
        <v/>
      </c>
      <c r="Z336" s="76"/>
    </row>
    <row r="337" spans="1:27" s="29" customFormat="1" ht="21" customHeight="1" x14ac:dyDescent="0.2">
      <c r="A337" s="30"/>
      <c r="B337" s="48" t="s">
        <v>6</v>
      </c>
      <c r="C337" s="39">
        <f>IF($J$1="January",Q330,IF($J$1="February",Q331,IF($J$1="March",Q332,IF($J$1="April",Q333,IF($J$1="May",Q334,IF($J$1="June",Q335,IF($J$1="July",Q336,IF($J$1="August",Q337,IF($J$1="August",Q337,IF($J$1="September",Q338,IF($J$1="October",Q339,IF($J$1="November",Q340,IF($J$1="December",Q341)))))))))))))</f>
        <v>1</v>
      </c>
      <c r="F337" s="48" t="s">
        <v>21</v>
      </c>
      <c r="G337" s="43">
        <f>IF($J$1="January",X330,IF($J$1="February",X331,IF($J$1="March",X332,IF($J$1="April",X333,IF($J$1="May",X334,IF($J$1="June",X335,IF($J$1="July",X336,IF($J$1="August",X337,IF($J$1="August",X337,IF($J$1="September",X338,IF($J$1="October",X339,IF($J$1="November",X340,IF($J$1="December",X341)))))))))))))</f>
        <v>15000</v>
      </c>
      <c r="H337" s="47"/>
      <c r="I337" s="392" t="s">
        <v>70</v>
      </c>
      <c r="J337" s="393"/>
      <c r="K337" s="43">
        <f>G337</f>
        <v>15000</v>
      </c>
      <c r="L337" s="55"/>
      <c r="N337" s="71"/>
      <c r="O337" s="72" t="s">
        <v>51</v>
      </c>
      <c r="P337" s="72"/>
      <c r="Q337" s="72"/>
      <c r="R337" s="72">
        <v>0</v>
      </c>
      <c r="S337" s="63"/>
      <c r="T337" s="72" t="s">
        <v>51</v>
      </c>
      <c r="U337" s="105"/>
      <c r="V337" s="74"/>
      <c r="W337" s="105" t="str">
        <f t="shared" si="66"/>
        <v/>
      </c>
      <c r="X337" s="74"/>
      <c r="Y337" s="105" t="str">
        <f t="shared" si="67"/>
        <v/>
      </c>
      <c r="Z337" s="76"/>
    </row>
    <row r="338" spans="1:27" s="29" customFormat="1" ht="21" customHeight="1" x14ac:dyDescent="0.2">
      <c r="A338" s="30"/>
      <c r="B338" s="56" t="s">
        <v>68</v>
      </c>
      <c r="C338" s="39">
        <f>IF($J$1="January",R330,IF($J$1="February",R331,IF($J$1="March",R332,IF($J$1="April",R333,IF($J$1="May",R334,IF($J$1="June",R335,IF($J$1="July",R336,IF($J$1="August",R337,IF($J$1="August",R337,IF($J$1="September",R338,IF($J$1="October",R339,IF($J$1="November",R340,IF($J$1="December",R341)))))))))))))</f>
        <v>0</v>
      </c>
      <c r="F338" s="48" t="s">
        <v>67</v>
      </c>
      <c r="G338" s="43">
        <f>IF($J$1="January",Y330,IF($J$1="February",Y331,IF($J$1="March",Y332,IF($J$1="April",Y333,IF($J$1="May",Y334,IF($J$1="June",Y335,IF($J$1="July",Y336,IF($J$1="August",Y337,IF($J$1="August",Y337,IF($J$1="September",Y338,IF($J$1="October",Y339,IF($J$1="November",Y340,IF($J$1="December",Y341)))))))))))))</f>
        <v>14870</v>
      </c>
      <c r="I338" s="387" t="s">
        <v>63</v>
      </c>
      <c r="J338" s="388"/>
      <c r="K338" s="57">
        <f>K336-K337</f>
        <v>20733.333333333336</v>
      </c>
      <c r="L338" s="58"/>
      <c r="N338" s="71"/>
      <c r="O338" s="72" t="s">
        <v>56</v>
      </c>
      <c r="P338" s="72"/>
      <c r="Q338" s="72"/>
      <c r="R338" s="72">
        <v>0</v>
      </c>
      <c r="S338" s="63"/>
      <c r="T338" s="72" t="s">
        <v>56</v>
      </c>
      <c r="U338" s="105"/>
      <c r="V338" s="74"/>
      <c r="W338" s="105" t="str">
        <f t="shared" ref="W338:W341" si="68">IF(U338="","",U338+V338)</f>
        <v/>
      </c>
      <c r="X338" s="74"/>
      <c r="Y338" s="105" t="str">
        <f t="shared" ref="Y338:Y341" si="69">IF(W338="","",W338-X338)</f>
        <v/>
      </c>
      <c r="Z338" s="76"/>
    </row>
    <row r="339" spans="1:27" s="29" customFormat="1" ht="21" customHeight="1" x14ac:dyDescent="0.2">
      <c r="A339" s="30"/>
      <c r="K339" s="107"/>
      <c r="L339" s="46"/>
      <c r="N339" s="71"/>
      <c r="O339" s="72" t="s">
        <v>52</v>
      </c>
      <c r="P339" s="72"/>
      <c r="Q339" s="72"/>
      <c r="R339" s="72">
        <v>0</v>
      </c>
      <c r="S339" s="63"/>
      <c r="T339" s="72" t="s">
        <v>52</v>
      </c>
      <c r="U339" s="105"/>
      <c r="V339" s="74"/>
      <c r="W339" s="105" t="str">
        <f t="shared" si="68"/>
        <v/>
      </c>
      <c r="X339" s="74"/>
      <c r="Y339" s="105" t="str">
        <f t="shared" si="69"/>
        <v/>
      </c>
      <c r="Z339" s="76"/>
    </row>
    <row r="340" spans="1:27" s="29" customFormat="1" ht="21" customHeight="1" x14ac:dyDescent="0.2">
      <c r="A340" s="30"/>
      <c r="B340" s="394" t="s">
        <v>85</v>
      </c>
      <c r="C340" s="394"/>
      <c r="D340" s="394"/>
      <c r="E340" s="394"/>
      <c r="F340" s="394"/>
      <c r="G340" s="394"/>
      <c r="H340" s="394"/>
      <c r="I340" s="394"/>
      <c r="J340" s="394"/>
      <c r="K340" s="394"/>
      <c r="L340" s="46"/>
      <c r="N340" s="71"/>
      <c r="O340" s="72" t="s">
        <v>57</v>
      </c>
      <c r="P340" s="72"/>
      <c r="Q340" s="72"/>
      <c r="R340" s="72">
        <v>0</v>
      </c>
      <c r="S340" s="63"/>
      <c r="T340" s="72" t="s">
        <v>57</v>
      </c>
      <c r="U340" s="105"/>
      <c r="V340" s="74"/>
      <c r="W340" s="105" t="str">
        <f t="shared" si="68"/>
        <v/>
      </c>
      <c r="X340" s="74"/>
      <c r="Y340" s="105" t="str">
        <f t="shared" si="69"/>
        <v/>
      </c>
      <c r="Z340" s="76"/>
    </row>
    <row r="341" spans="1:27" s="29" customFormat="1" ht="21" customHeight="1" x14ac:dyDescent="0.2">
      <c r="A341" s="30"/>
      <c r="B341" s="394"/>
      <c r="C341" s="394"/>
      <c r="D341" s="394"/>
      <c r="E341" s="394"/>
      <c r="F341" s="394"/>
      <c r="G341" s="394"/>
      <c r="H341" s="394"/>
      <c r="I341" s="394"/>
      <c r="J341" s="394"/>
      <c r="K341" s="394"/>
      <c r="L341" s="46"/>
      <c r="N341" s="71"/>
      <c r="O341" s="72" t="s">
        <v>58</v>
      </c>
      <c r="P341" s="72"/>
      <c r="Q341" s="72"/>
      <c r="R341" s="72">
        <v>0</v>
      </c>
      <c r="S341" s="63"/>
      <c r="T341" s="72" t="s">
        <v>58</v>
      </c>
      <c r="U341" s="105"/>
      <c r="V341" s="74"/>
      <c r="W341" s="105" t="str">
        <f t="shared" si="68"/>
        <v/>
      </c>
      <c r="X341" s="74"/>
      <c r="Y341" s="105" t="str">
        <f t="shared" si="69"/>
        <v/>
      </c>
      <c r="Z341" s="76"/>
    </row>
    <row r="342" spans="1:27" s="29" customFormat="1" ht="21" customHeight="1" thickBot="1" x14ac:dyDescent="0.25">
      <c r="A342" s="59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1"/>
      <c r="N342" s="77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9"/>
    </row>
    <row r="343" spans="1:27" s="29" customFormat="1" ht="21" customHeight="1" thickBot="1" x14ac:dyDescent="0.25">
      <c r="A343" s="30"/>
      <c r="L343" s="46"/>
      <c r="N343" s="71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85"/>
    </row>
    <row r="344" spans="1:27" s="29" customFormat="1" ht="21.4" customHeight="1" x14ac:dyDescent="0.2">
      <c r="A344" s="427" t="s">
        <v>40</v>
      </c>
      <c r="B344" s="428"/>
      <c r="C344" s="428"/>
      <c r="D344" s="428"/>
      <c r="E344" s="428"/>
      <c r="F344" s="428"/>
      <c r="G344" s="428"/>
      <c r="H344" s="428"/>
      <c r="I344" s="428"/>
      <c r="J344" s="428"/>
      <c r="K344" s="428"/>
      <c r="L344" s="429"/>
      <c r="M344" s="28"/>
      <c r="N344" s="64"/>
      <c r="O344" s="403" t="s">
        <v>42</v>
      </c>
      <c r="P344" s="404"/>
      <c r="Q344" s="404"/>
      <c r="R344" s="405"/>
      <c r="S344" s="65"/>
      <c r="T344" s="403" t="s">
        <v>43</v>
      </c>
      <c r="U344" s="404"/>
      <c r="V344" s="404"/>
      <c r="W344" s="404"/>
      <c r="X344" s="404"/>
      <c r="Y344" s="405"/>
      <c r="Z344" s="66"/>
      <c r="AA344" s="28"/>
    </row>
    <row r="345" spans="1:27" s="29" customFormat="1" ht="21.4" customHeight="1" x14ac:dyDescent="0.2">
      <c r="A345" s="30"/>
      <c r="C345" s="402" t="s">
        <v>83</v>
      </c>
      <c r="D345" s="402"/>
      <c r="E345" s="402"/>
      <c r="F345" s="402"/>
      <c r="G345" s="31" t="str">
        <f>$J$1</f>
        <v>June</v>
      </c>
      <c r="H345" s="409">
        <f>$K$1</f>
        <v>2023</v>
      </c>
      <c r="I345" s="409"/>
      <c r="K345" s="32"/>
      <c r="L345" s="33"/>
      <c r="M345" s="32"/>
      <c r="N345" s="67"/>
      <c r="O345" s="68" t="s">
        <v>53</v>
      </c>
      <c r="P345" s="68" t="s">
        <v>7</v>
      </c>
      <c r="Q345" s="68" t="s">
        <v>6</v>
      </c>
      <c r="R345" s="68" t="s">
        <v>54</v>
      </c>
      <c r="S345" s="69"/>
      <c r="T345" s="68" t="s">
        <v>53</v>
      </c>
      <c r="U345" s="68" t="s">
        <v>55</v>
      </c>
      <c r="V345" s="68" t="s">
        <v>20</v>
      </c>
      <c r="W345" s="68" t="s">
        <v>19</v>
      </c>
      <c r="X345" s="68" t="s">
        <v>21</v>
      </c>
      <c r="Y345" s="68" t="s">
        <v>59</v>
      </c>
      <c r="Z345" s="70"/>
      <c r="AA345" s="32"/>
    </row>
    <row r="346" spans="1:27" s="29" customFormat="1" ht="21.4" customHeight="1" x14ac:dyDescent="0.2">
      <c r="A346" s="30"/>
      <c r="D346" s="35"/>
      <c r="E346" s="35"/>
      <c r="F346" s="35"/>
      <c r="G346" s="35"/>
      <c r="H346" s="35"/>
      <c r="J346" s="36" t="s">
        <v>1</v>
      </c>
      <c r="K346" s="37">
        <v>45000</v>
      </c>
      <c r="L346" s="38"/>
      <c r="N346" s="71"/>
      <c r="O346" s="72" t="s">
        <v>45</v>
      </c>
      <c r="P346" s="72">
        <v>31</v>
      </c>
      <c r="Q346" s="72">
        <v>0</v>
      </c>
      <c r="R346" s="72">
        <f>15-Q346</f>
        <v>15</v>
      </c>
      <c r="S346" s="73"/>
      <c r="T346" s="72" t="s">
        <v>45</v>
      </c>
      <c r="U346" s="74">
        <v>17000</v>
      </c>
      <c r="V346" s="74"/>
      <c r="W346" s="74">
        <f>V346+U346</f>
        <v>17000</v>
      </c>
      <c r="X346" s="74">
        <v>5000</v>
      </c>
      <c r="Y346" s="74">
        <f>W346-X346</f>
        <v>12000</v>
      </c>
      <c r="Z346" s="70"/>
    </row>
    <row r="347" spans="1:27" s="29" customFormat="1" ht="21.4" customHeight="1" x14ac:dyDescent="0.2">
      <c r="A347" s="30"/>
      <c r="B347" s="29" t="s">
        <v>0</v>
      </c>
      <c r="C347" s="40" t="s">
        <v>179</v>
      </c>
      <c r="H347" s="41"/>
      <c r="I347" s="35"/>
      <c r="L347" s="42"/>
      <c r="M347" s="28"/>
      <c r="N347" s="75"/>
      <c r="O347" s="72" t="s">
        <v>71</v>
      </c>
      <c r="P347" s="72">
        <v>28</v>
      </c>
      <c r="Q347" s="72">
        <v>0</v>
      </c>
      <c r="R347" s="72">
        <f>R346-Q347</f>
        <v>15</v>
      </c>
      <c r="S347" s="63"/>
      <c r="T347" s="72" t="s">
        <v>71</v>
      </c>
      <c r="U347" s="105">
        <f>IF($J$1="January","",Y346)</f>
        <v>12000</v>
      </c>
      <c r="V347" s="74">
        <v>2000</v>
      </c>
      <c r="W347" s="74">
        <f>V347+U347</f>
        <v>14000</v>
      </c>
      <c r="X347" s="74">
        <v>3000</v>
      </c>
      <c r="Y347" s="105">
        <f>IF(W347="","",W347-X347)</f>
        <v>11000</v>
      </c>
      <c r="Z347" s="76"/>
      <c r="AA347" s="28"/>
    </row>
    <row r="348" spans="1:27" s="29" customFormat="1" ht="21.4" customHeight="1" x14ac:dyDescent="0.2">
      <c r="A348" s="30"/>
      <c r="B348" s="44" t="s">
        <v>41</v>
      </c>
      <c r="C348" s="45"/>
      <c r="F348" s="391" t="s">
        <v>43</v>
      </c>
      <c r="G348" s="391"/>
      <c r="I348" s="391" t="s">
        <v>44</v>
      </c>
      <c r="J348" s="391"/>
      <c r="K348" s="391"/>
      <c r="L348" s="46"/>
      <c r="N348" s="71"/>
      <c r="O348" s="72" t="s">
        <v>46</v>
      </c>
      <c r="P348" s="72">
        <v>31</v>
      </c>
      <c r="Q348" s="72">
        <v>0</v>
      </c>
      <c r="R348" s="72">
        <f t="shared" ref="R348:R357" si="70">R347-Q348</f>
        <v>15</v>
      </c>
      <c r="S348" s="63"/>
      <c r="T348" s="72" t="s">
        <v>46</v>
      </c>
      <c r="U348" s="105">
        <f>Y347</f>
        <v>11000</v>
      </c>
      <c r="V348" s="74">
        <v>2000</v>
      </c>
      <c r="W348" s="74">
        <f>V348+U348</f>
        <v>13000</v>
      </c>
      <c r="X348" s="74"/>
      <c r="Y348" s="105">
        <f t="shared" ref="Y348:Y357" si="71">IF(W348="","",W348-X348)</f>
        <v>13000</v>
      </c>
      <c r="Z348" s="76"/>
    </row>
    <row r="349" spans="1:27" s="29" customFormat="1" ht="21.4" customHeight="1" x14ac:dyDescent="0.2">
      <c r="A349" s="30"/>
      <c r="H349" s="47"/>
      <c r="L349" s="34"/>
      <c r="N349" s="71"/>
      <c r="O349" s="72" t="s">
        <v>47</v>
      </c>
      <c r="P349" s="72">
        <v>30</v>
      </c>
      <c r="Q349" s="72">
        <v>0</v>
      </c>
      <c r="R349" s="72">
        <f t="shared" si="70"/>
        <v>15</v>
      </c>
      <c r="S349" s="63"/>
      <c r="T349" s="72" t="s">
        <v>47</v>
      </c>
      <c r="U349" s="105">
        <f>Y348</f>
        <v>13000</v>
      </c>
      <c r="V349" s="74"/>
      <c r="W349" s="105">
        <f t="shared" ref="W349:W357" si="72">IF(U349="","",U349+V349)</f>
        <v>13000</v>
      </c>
      <c r="X349" s="74">
        <v>3000</v>
      </c>
      <c r="Y349" s="105">
        <f t="shared" si="71"/>
        <v>10000</v>
      </c>
      <c r="Z349" s="76"/>
    </row>
    <row r="350" spans="1:27" s="29" customFormat="1" ht="21.4" customHeight="1" x14ac:dyDescent="0.2">
      <c r="A350" s="30"/>
      <c r="B350" s="389" t="s">
        <v>42</v>
      </c>
      <c r="C350" s="390"/>
      <c r="F350" s="48" t="s">
        <v>64</v>
      </c>
      <c r="G350" s="43">
        <f>IF($J$1="January",U346,IF($J$1="February",U347,IF($J$1="March",U348,IF($J$1="April",U349,IF($J$1="May",U350,IF($J$1="June",U351,IF($J$1="July",U352,IF($J$1="August",U353,IF($J$1="August",U353,IF($J$1="September",U354,IF($J$1="October",U355,IF($J$1="November",U356,IF($J$1="December",U357)))))))))))))</f>
        <v>10000</v>
      </c>
      <c r="H350" s="47"/>
      <c r="I350" s="154">
        <f>IF(C354&gt;0,$K$2,C352)</f>
        <v>30</v>
      </c>
      <c r="J350" s="50" t="s">
        <v>61</v>
      </c>
      <c r="K350" s="51">
        <f>K346/$K$2*I350</f>
        <v>45000</v>
      </c>
      <c r="L350" s="52"/>
      <c r="N350" s="71"/>
      <c r="O350" s="72" t="s">
        <v>48</v>
      </c>
      <c r="P350" s="72">
        <v>29</v>
      </c>
      <c r="Q350" s="72">
        <v>2</v>
      </c>
      <c r="R350" s="72">
        <f t="shared" si="70"/>
        <v>13</v>
      </c>
      <c r="S350" s="63"/>
      <c r="T350" s="72" t="s">
        <v>48</v>
      </c>
      <c r="U350" s="105">
        <f>Y349</f>
        <v>10000</v>
      </c>
      <c r="V350" s="74">
        <v>3000</v>
      </c>
      <c r="W350" s="105">
        <f>IF(U350="","",U350+V350)</f>
        <v>13000</v>
      </c>
      <c r="X350" s="74">
        <v>3000</v>
      </c>
      <c r="Y350" s="105">
        <f t="shared" si="71"/>
        <v>10000</v>
      </c>
      <c r="Z350" s="76"/>
    </row>
    <row r="351" spans="1:27" s="29" customFormat="1" ht="21.4" customHeight="1" x14ac:dyDescent="0.2">
      <c r="A351" s="30"/>
      <c r="B351" s="39"/>
      <c r="C351" s="39"/>
      <c r="F351" s="48" t="s">
        <v>20</v>
      </c>
      <c r="G351" s="43">
        <f>IF($J$1="January",V346,IF($J$1="February",V347,IF($J$1="March",V348,IF($J$1="April",V349,IF($J$1="May",V350,IF($J$1="June",V351,IF($J$1="July",V352,IF($J$1="August",V353,IF($J$1="August",V353,IF($J$1="September",V354,IF($J$1="October",V355,IF($J$1="November",V356,IF($J$1="December",V357)))))))))))))</f>
        <v>17000</v>
      </c>
      <c r="H351" s="47"/>
      <c r="I351" s="84">
        <v>46</v>
      </c>
      <c r="J351" s="50" t="s">
        <v>62</v>
      </c>
      <c r="K351" s="53">
        <f>K346/$K$2/8*I351</f>
        <v>8625</v>
      </c>
      <c r="L351" s="54"/>
      <c r="N351" s="71"/>
      <c r="O351" s="72" t="s">
        <v>49</v>
      </c>
      <c r="P351" s="72">
        <v>30</v>
      </c>
      <c r="Q351" s="72">
        <v>0</v>
      </c>
      <c r="R351" s="72">
        <f t="shared" si="70"/>
        <v>13</v>
      </c>
      <c r="S351" s="63"/>
      <c r="T351" s="72" t="s">
        <v>49</v>
      </c>
      <c r="U351" s="105">
        <f>Y350</f>
        <v>10000</v>
      </c>
      <c r="V351" s="74">
        <f>5000+12000</f>
        <v>17000</v>
      </c>
      <c r="W351" s="74">
        <f>V351</f>
        <v>17000</v>
      </c>
      <c r="X351" s="74">
        <v>5000</v>
      </c>
      <c r="Y351" s="105">
        <f t="shared" si="71"/>
        <v>12000</v>
      </c>
      <c r="Z351" s="76"/>
    </row>
    <row r="352" spans="1:27" s="29" customFormat="1" ht="21.4" customHeight="1" x14ac:dyDescent="0.2">
      <c r="A352" s="30"/>
      <c r="B352" s="48" t="s">
        <v>7</v>
      </c>
      <c r="C352" s="39">
        <f>IF($J$1="January",P346,IF($J$1="February",P347,IF($J$1="March",P348,IF($J$1="April",P349,IF($J$1="May",P350,IF($J$1="June",P351,IF($J$1="July",P352,IF($J$1="August",P353,IF($J$1="August",P353,IF($J$1="September",P354,IF($J$1="October",P355,IF($J$1="November",P356,IF($J$1="December",P357)))))))))))))</f>
        <v>30</v>
      </c>
      <c r="F352" s="48" t="s">
        <v>65</v>
      </c>
      <c r="G352" s="109">
        <f>IF($J$1="January",W346,IF($J$1="February",W347,IF($J$1="March",W348,IF($J$1="April",W349,IF($J$1="May",W350,IF($J$1="June",W351,IF($J$1="July",W352,IF($J$1="August",W353,IF($J$1="August",W353,IF($J$1="September",W354,IF($J$1="October",W355,IF($J$1="November",W356,IF($J$1="December",W357)))))))))))))</f>
        <v>17000</v>
      </c>
      <c r="H352" s="47"/>
      <c r="I352" s="392" t="s">
        <v>69</v>
      </c>
      <c r="J352" s="393"/>
      <c r="K352" s="53">
        <f>K350+K351</f>
        <v>53625</v>
      </c>
      <c r="L352" s="54"/>
      <c r="N352" s="71"/>
      <c r="O352" s="72" t="s">
        <v>50</v>
      </c>
      <c r="P352" s="72"/>
      <c r="Q352" s="72"/>
      <c r="R352" s="72">
        <f t="shared" si="70"/>
        <v>13</v>
      </c>
      <c r="S352" s="63"/>
      <c r="T352" s="72" t="s">
        <v>50</v>
      </c>
      <c r="U352" s="105"/>
      <c r="V352" s="74"/>
      <c r="W352" s="105" t="str">
        <f t="shared" si="72"/>
        <v/>
      </c>
      <c r="X352" s="74"/>
      <c r="Y352" s="105" t="str">
        <f t="shared" si="71"/>
        <v/>
      </c>
      <c r="Z352" s="76"/>
    </row>
    <row r="353" spans="1:27" s="29" customFormat="1" ht="21.4" customHeight="1" x14ac:dyDescent="0.2">
      <c r="A353" s="30"/>
      <c r="B353" s="48" t="s">
        <v>6</v>
      </c>
      <c r="C353" s="39">
        <f>IF($J$1="January",Q346,IF($J$1="February",Q347,IF($J$1="March",Q348,IF($J$1="April",Q349,IF($J$1="May",Q350,IF($J$1="June",Q351,IF($J$1="July",Q352,IF($J$1="August",Q353,IF($J$1="August",Q353,IF($J$1="September",Q354,IF($J$1="October",Q355,IF($J$1="November",Q356,IF($J$1="December",Q357)))))))))))))</f>
        <v>0</v>
      </c>
      <c r="F353" s="48" t="s">
        <v>21</v>
      </c>
      <c r="G353" s="43">
        <f>IF($J$1="January",X346,IF($J$1="February",X347,IF($J$1="March",X348,IF($J$1="April",X349,IF($J$1="May",X350,IF($J$1="June",X351,IF($J$1="July",X352,IF($J$1="August",X353,IF($J$1="August",X353,IF($J$1="September",X354,IF($J$1="October",X355,IF($J$1="November",X356,IF($J$1="December",X357)))))))))))))</f>
        <v>5000</v>
      </c>
      <c r="H353" s="47"/>
      <c r="I353" s="392" t="s">
        <v>70</v>
      </c>
      <c r="J353" s="393"/>
      <c r="K353" s="43">
        <f>G353</f>
        <v>5000</v>
      </c>
      <c r="L353" s="55"/>
      <c r="N353" s="71"/>
      <c r="O353" s="72" t="s">
        <v>51</v>
      </c>
      <c r="P353" s="72"/>
      <c r="Q353" s="72"/>
      <c r="R353" s="72">
        <f t="shared" si="70"/>
        <v>13</v>
      </c>
      <c r="S353" s="63"/>
      <c r="T353" s="72" t="s">
        <v>51</v>
      </c>
      <c r="U353" s="105">
        <v>0</v>
      </c>
      <c r="V353" s="74"/>
      <c r="W353" s="105"/>
      <c r="X353" s="74"/>
      <c r="Y353" s="105" t="str">
        <f t="shared" si="71"/>
        <v/>
      </c>
      <c r="Z353" s="76"/>
    </row>
    <row r="354" spans="1:27" s="29" customFormat="1" ht="21.4" customHeight="1" x14ac:dyDescent="0.2">
      <c r="A354" s="30"/>
      <c r="B354" s="56" t="s">
        <v>68</v>
      </c>
      <c r="C354" s="39">
        <f>IF($J$1="January",R346,IF($J$1="February",R347,IF($J$1="March",R348,IF($J$1="April",R349,IF($J$1="May",R350,IF($J$1="June",R351,IF($J$1="July",R352,IF($J$1="August",R353,IF($J$1="August",R353,IF($J$1="September",R354,IF($J$1="October",R355,IF($J$1="November",R356,IF($J$1="December",R357)))))))))))))</f>
        <v>13</v>
      </c>
      <c r="F354" s="48" t="s">
        <v>67</v>
      </c>
      <c r="G354" s="43">
        <f>IF($J$1="January",Y346,IF($J$1="February",Y347,IF($J$1="March",Y348,IF($J$1="April",Y349,IF($J$1="May",Y350,IF($J$1="June",Y351,IF($J$1="July",Y352,IF($J$1="August",Y353,IF($J$1="August",Y353,IF($J$1="September",Y354,IF($J$1="October",Y355,IF($J$1="November",Y356,IF($J$1="December",Y357)))))))))))))</f>
        <v>12000</v>
      </c>
      <c r="I354" s="387" t="s">
        <v>63</v>
      </c>
      <c r="J354" s="388"/>
      <c r="K354" s="57">
        <f>K352-K353</f>
        <v>48625</v>
      </c>
      <c r="L354" s="58"/>
      <c r="N354" s="71"/>
      <c r="O354" s="72" t="s">
        <v>56</v>
      </c>
      <c r="P354" s="72"/>
      <c r="Q354" s="72"/>
      <c r="R354" s="72">
        <f t="shared" si="70"/>
        <v>13</v>
      </c>
      <c r="S354" s="63"/>
      <c r="T354" s="72" t="s">
        <v>56</v>
      </c>
      <c r="U354" s="105"/>
      <c r="V354" s="74"/>
      <c r="W354" s="105"/>
      <c r="X354" s="74"/>
      <c r="Y354" s="105" t="str">
        <f t="shared" si="71"/>
        <v/>
      </c>
      <c r="Z354" s="76"/>
    </row>
    <row r="355" spans="1:27" s="29" customFormat="1" ht="21.4" customHeight="1" x14ac:dyDescent="0.2">
      <c r="A355" s="30"/>
      <c r="L355" s="46"/>
      <c r="N355" s="71"/>
      <c r="O355" s="72" t="s">
        <v>52</v>
      </c>
      <c r="P355" s="72"/>
      <c r="Q355" s="72"/>
      <c r="R355" s="72">
        <f t="shared" si="70"/>
        <v>13</v>
      </c>
      <c r="S355" s="63"/>
      <c r="T355" s="72" t="s">
        <v>52</v>
      </c>
      <c r="U355" s="105"/>
      <c r="V355" s="74"/>
      <c r="W355" s="105" t="str">
        <f t="shared" si="72"/>
        <v/>
      </c>
      <c r="X355" s="74"/>
      <c r="Y355" s="105" t="str">
        <f t="shared" si="71"/>
        <v/>
      </c>
      <c r="Z355" s="76"/>
    </row>
    <row r="356" spans="1:27" s="29" customFormat="1" ht="21.4" customHeight="1" x14ac:dyDescent="0.2">
      <c r="A356" s="30"/>
      <c r="B356" s="394" t="s">
        <v>85</v>
      </c>
      <c r="C356" s="394"/>
      <c r="D356" s="394"/>
      <c r="E356" s="394"/>
      <c r="F356" s="394"/>
      <c r="G356" s="394"/>
      <c r="H356" s="394"/>
      <c r="I356" s="394"/>
      <c r="J356" s="394"/>
      <c r="K356" s="394"/>
      <c r="L356" s="46"/>
      <c r="N356" s="71"/>
      <c r="O356" s="72" t="s">
        <v>57</v>
      </c>
      <c r="P356" s="72"/>
      <c r="Q356" s="72"/>
      <c r="R356" s="72">
        <f t="shared" si="70"/>
        <v>13</v>
      </c>
      <c r="S356" s="63"/>
      <c r="T356" s="72" t="s">
        <v>57</v>
      </c>
      <c r="U356" s="105"/>
      <c r="V356" s="74"/>
      <c r="W356" s="105" t="str">
        <f t="shared" si="72"/>
        <v/>
      </c>
      <c r="X356" s="74"/>
      <c r="Y356" s="105" t="str">
        <f t="shared" si="71"/>
        <v/>
      </c>
      <c r="Z356" s="76"/>
    </row>
    <row r="357" spans="1:27" s="29" customFormat="1" ht="21.4" customHeight="1" x14ac:dyDescent="0.2">
      <c r="A357" s="30"/>
      <c r="B357" s="394"/>
      <c r="C357" s="394"/>
      <c r="D357" s="394"/>
      <c r="E357" s="394"/>
      <c r="F357" s="394"/>
      <c r="G357" s="394"/>
      <c r="H357" s="394"/>
      <c r="I357" s="394"/>
      <c r="J357" s="394"/>
      <c r="K357" s="394"/>
      <c r="L357" s="46"/>
      <c r="N357" s="71"/>
      <c r="O357" s="72" t="s">
        <v>58</v>
      </c>
      <c r="P357" s="72"/>
      <c r="Q357" s="72"/>
      <c r="R357" s="72">
        <f t="shared" si="70"/>
        <v>13</v>
      </c>
      <c r="S357" s="63"/>
      <c r="T357" s="72" t="s">
        <v>58</v>
      </c>
      <c r="U357" s="105"/>
      <c r="V357" s="74"/>
      <c r="W357" s="105" t="str">
        <f t="shared" si="72"/>
        <v/>
      </c>
      <c r="X357" s="74"/>
      <c r="Y357" s="105" t="str">
        <f t="shared" si="71"/>
        <v/>
      </c>
      <c r="Z357" s="76"/>
    </row>
    <row r="358" spans="1:27" s="29" customFormat="1" ht="21.4" customHeight="1" thickBot="1" x14ac:dyDescent="0.25">
      <c r="A358" s="59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1"/>
      <c r="N358" s="77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9"/>
    </row>
    <row r="359" spans="1:27" s="29" customFormat="1" ht="21" customHeight="1" thickBot="1" x14ac:dyDescent="0.25"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spans="1:27" s="29" customFormat="1" ht="21.4" customHeight="1" x14ac:dyDescent="0.2">
      <c r="A360" s="413" t="s">
        <v>40</v>
      </c>
      <c r="B360" s="414"/>
      <c r="C360" s="414"/>
      <c r="D360" s="414"/>
      <c r="E360" s="414"/>
      <c r="F360" s="414"/>
      <c r="G360" s="414"/>
      <c r="H360" s="414"/>
      <c r="I360" s="414"/>
      <c r="J360" s="414"/>
      <c r="K360" s="414"/>
      <c r="L360" s="415"/>
      <c r="M360" s="28"/>
      <c r="N360" s="64"/>
      <c r="O360" s="403" t="s">
        <v>42</v>
      </c>
      <c r="P360" s="404"/>
      <c r="Q360" s="404"/>
      <c r="R360" s="405"/>
      <c r="S360" s="65"/>
      <c r="T360" s="403" t="s">
        <v>43</v>
      </c>
      <c r="U360" s="404"/>
      <c r="V360" s="404"/>
      <c r="W360" s="404"/>
      <c r="X360" s="404"/>
      <c r="Y360" s="405"/>
      <c r="Z360" s="66"/>
      <c r="AA360" s="28"/>
    </row>
    <row r="361" spans="1:27" s="29" customFormat="1" ht="21.4" customHeight="1" x14ac:dyDescent="0.2">
      <c r="A361" s="30"/>
      <c r="C361" s="402" t="s">
        <v>83</v>
      </c>
      <c r="D361" s="402"/>
      <c r="E361" s="402"/>
      <c r="F361" s="402"/>
      <c r="G361" s="31" t="str">
        <f>$J$1</f>
        <v>June</v>
      </c>
      <c r="H361" s="409">
        <f>$K$1</f>
        <v>2023</v>
      </c>
      <c r="I361" s="409"/>
      <c r="K361" s="32"/>
      <c r="L361" s="33"/>
      <c r="M361" s="32"/>
      <c r="N361" s="67"/>
      <c r="O361" s="68" t="s">
        <v>53</v>
      </c>
      <c r="P361" s="68" t="s">
        <v>7</v>
      </c>
      <c r="Q361" s="68" t="s">
        <v>6</v>
      </c>
      <c r="R361" s="68" t="s">
        <v>54</v>
      </c>
      <c r="S361" s="69"/>
      <c r="T361" s="68" t="s">
        <v>53</v>
      </c>
      <c r="U361" s="68" t="s">
        <v>55</v>
      </c>
      <c r="V361" s="68" t="s">
        <v>20</v>
      </c>
      <c r="W361" s="68" t="s">
        <v>19</v>
      </c>
      <c r="X361" s="68" t="s">
        <v>21</v>
      </c>
      <c r="Y361" s="68" t="s">
        <v>59</v>
      </c>
      <c r="Z361" s="70"/>
      <c r="AA361" s="32"/>
    </row>
    <row r="362" spans="1:27" s="29" customFormat="1" ht="21.4" customHeight="1" x14ac:dyDescent="0.2">
      <c r="A362" s="30"/>
      <c r="D362" s="35"/>
      <c r="E362" s="35"/>
      <c r="F362" s="35"/>
      <c r="G362" s="35"/>
      <c r="H362" s="35"/>
      <c r="J362" s="36" t="s">
        <v>1</v>
      </c>
      <c r="K362" s="37">
        <v>22000</v>
      </c>
      <c r="L362" s="38"/>
      <c r="N362" s="71"/>
      <c r="O362" s="72" t="s">
        <v>45</v>
      </c>
      <c r="P362" s="72">
        <v>30</v>
      </c>
      <c r="Q362" s="72">
        <v>1</v>
      </c>
      <c r="R362" s="72">
        <f>15-Q362</f>
        <v>14</v>
      </c>
      <c r="S362" s="73"/>
      <c r="T362" s="72" t="s">
        <v>45</v>
      </c>
      <c r="U362" s="74">
        <v>5760</v>
      </c>
      <c r="V362" s="74"/>
      <c r="W362" s="74">
        <f>V362+U362</f>
        <v>5760</v>
      </c>
      <c r="X362" s="74"/>
      <c r="Y362" s="74">
        <f>W362-X362</f>
        <v>5760</v>
      </c>
      <c r="Z362" s="70"/>
    </row>
    <row r="363" spans="1:27" s="29" customFormat="1" ht="21.4" customHeight="1" x14ac:dyDescent="0.2">
      <c r="A363" s="30"/>
      <c r="B363" s="29" t="s">
        <v>0</v>
      </c>
      <c r="C363" s="40" t="s">
        <v>178</v>
      </c>
      <c r="H363" s="41"/>
      <c r="I363" s="35"/>
      <c r="L363" s="42"/>
      <c r="M363" s="28"/>
      <c r="N363" s="75"/>
      <c r="O363" s="72" t="s">
        <v>71</v>
      </c>
      <c r="P363" s="72">
        <v>26</v>
      </c>
      <c r="Q363" s="72">
        <v>2</v>
      </c>
      <c r="R363" s="72">
        <f>R362-Q363</f>
        <v>12</v>
      </c>
      <c r="S363" s="63"/>
      <c r="T363" s="72" t="s">
        <v>71</v>
      </c>
      <c r="U363" s="105">
        <f>IF($J$1="January","",Y362)</f>
        <v>5760</v>
      </c>
      <c r="V363" s="74">
        <v>3000</v>
      </c>
      <c r="W363" s="105">
        <f>IF(U363="","",U363+V363)</f>
        <v>8760</v>
      </c>
      <c r="X363" s="74">
        <v>4000</v>
      </c>
      <c r="Y363" s="105">
        <f>IF(W363="","",W363-X363)</f>
        <v>4760</v>
      </c>
      <c r="Z363" s="76"/>
      <c r="AA363" s="28"/>
    </row>
    <row r="364" spans="1:27" s="29" customFormat="1" ht="21.4" customHeight="1" x14ac:dyDescent="0.2">
      <c r="A364" s="30"/>
      <c r="B364" s="44" t="s">
        <v>41</v>
      </c>
      <c r="C364" s="45"/>
      <c r="F364" s="391" t="s">
        <v>43</v>
      </c>
      <c r="G364" s="391"/>
      <c r="I364" s="391" t="s">
        <v>44</v>
      </c>
      <c r="J364" s="391"/>
      <c r="K364" s="391"/>
      <c r="L364" s="46"/>
      <c r="N364" s="71"/>
      <c r="O364" s="72" t="s">
        <v>46</v>
      </c>
      <c r="P364" s="72">
        <v>30</v>
      </c>
      <c r="Q364" s="72">
        <v>1</v>
      </c>
      <c r="R364" s="72">
        <f t="shared" ref="R364:R373" si="73">R363-Q364</f>
        <v>11</v>
      </c>
      <c r="S364" s="63"/>
      <c r="T364" s="72" t="s">
        <v>46</v>
      </c>
      <c r="U364" s="105">
        <f>Y363</f>
        <v>4760</v>
      </c>
      <c r="V364" s="74">
        <v>2000</v>
      </c>
      <c r="W364" s="105">
        <f t="shared" ref="W364:W373" si="74">IF(U364="","",U364+V364)</f>
        <v>6760</v>
      </c>
      <c r="X364" s="74">
        <v>4000</v>
      </c>
      <c r="Y364" s="105">
        <f t="shared" ref="Y364:Y373" si="75">IF(W364="","",W364-X364)</f>
        <v>2760</v>
      </c>
      <c r="Z364" s="76"/>
    </row>
    <row r="365" spans="1:27" s="29" customFormat="1" ht="21.4" customHeight="1" x14ac:dyDescent="0.2">
      <c r="A365" s="30"/>
      <c r="H365" s="47"/>
      <c r="L365" s="34"/>
      <c r="N365" s="71"/>
      <c r="O365" s="72" t="s">
        <v>47</v>
      </c>
      <c r="P365" s="72">
        <v>30</v>
      </c>
      <c r="Q365" s="72">
        <v>0</v>
      </c>
      <c r="R365" s="72">
        <f t="shared" si="73"/>
        <v>11</v>
      </c>
      <c r="S365" s="63"/>
      <c r="T365" s="72" t="s">
        <v>47</v>
      </c>
      <c r="U365" s="105">
        <f>IF($J$1="March","",Y364)</f>
        <v>2760</v>
      </c>
      <c r="V365" s="74">
        <v>4000</v>
      </c>
      <c r="W365" s="105">
        <f t="shared" si="74"/>
        <v>6760</v>
      </c>
      <c r="X365" s="74">
        <v>4000</v>
      </c>
      <c r="Y365" s="105">
        <f t="shared" si="75"/>
        <v>2760</v>
      </c>
      <c r="Z365" s="76"/>
    </row>
    <row r="366" spans="1:27" s="29" customFormat="1" ht="21.4" customHeight="1" x14ac:dyDescent="0.2">
      <c r="A366" s="30"/>
      <c r="B366" s="389" t="s">
        <v>42</v>
      </c>
      <c r="C366" s="390"/>
      <c r="F366" s="48" t="s">
        <v>64</v>
      </c>
      <c r="G366" s="110">
        <f>IF($J$1="January",U362,IF($J$1="February",U363,IF($J$1="March",U364,IF($J$1="April",U365,IF($J$1="May",U366,IF($J$1="June",U367,IF($J$1="July",U368,IF($J$1="August",U369,IF($J$1="August",U369,IF($J$1="September",U370,IF($J$1="October",U371,IF($J$1="November",U372,IF($J$1="December",U373)))))))))))))</f>
        <v>1760</v>
      </c>
      <c r="H366" s="47"/>
      <c r="I366" s="49">
        <f>IF(C370&gt;0,$K$2,C368)</f>
        <v>30</v>
      </c>
      <c r="J366" s="50" t="s">
        <v>61</v>
      </c>
      <c r="K366" s="51">
        <f>K362/$K$2*I366</f>
        <v>22000</v>
      </c>
      <c r="L366" s="52"/>
      <c r="N366" s="71"/>
      <c r="O366" s="72" t="s">
        <v>48</v>
      </c>
      <c r="P366" s="72">
        <v>30</v>
      </c>
      <c r="Q366" s="72">
        <v>1</v>
      </c>
      <c r="R366" s="72">
        <f t="shared" si="73"/>
        <v>10</v>
      </c>
      <c r="S366" s="63"/>
      <c r="T366" s="72" t="s">
        <v>48</v>
      </c>
      <c r="U366" s="105">
        <f>Y365</f>
        <v>2760</v>
      </c>
      <c r="V366" s="74">
        <v>2000</v>
      </c>
      <c r="W366" s="105">
        <f t="shared" si="74"/>
        <v>4760</v>
      </c>
      <c r="X366" s="74">
        <v>3000</v>
      </c>
      <c r="Y366" s="105">
        <f t="shared" si="75"/>
        <v>1760</v>
      </c>
      <c r="Z366" s="76"/>
    </row>
    <row r="367" spans="1:27" s="29" customFormat="1" ht="21.4" customHeight="1" x14ac:dyDescent="0.2">
      <c r="A367" s="30"/>
      <c r="B367" s="39"/>
      <c r="C367" s="39"/>
      <c r="F367" s="48" t="s">
        <v>20</v>
      </c>
      <c r="G367" s="110">
        <f>IF($J$1="January",V362,IF($J$1="February",V363,IF($J$1="March",V364,IF($J$1="April",V365,IF($J$1="May",V366,IF($J$1="June",V367,IF($J$1="July",V368,IF($J$1="August",V369,IF($J$1="August",V369,IF($J$1="September",V370,IF($J$1="October",V371,IF($J$1="November",V372,IF($J$1="December",V373)))))))))))))</f>
        <v>20000</v>
      </c>
      <c r="H367" s="47"/>
      <c r="I367" s="84">
        <v>89</v>
      </c>
      <c r="J367" s="50" t="s">
        <v>62</v>
      </c>
      <c r="K367" s="53">
        <f>K362/$K$2/8*I367</f>
        <v>8158.3333333333339</v>
      </c>
      <c r="L367" s="54"/>
      <c r="N367" s="71"/>
      <c r="O367" s="72" t="s">
        <v>49</v>
      </c>
      <c r="P367" s="72">
        <v>30</v>
      </c>
      <c r="Q367" s="72">
        <v>0</v>
      </c>
      <c r="R367" s="72">
        <f t="shared" si="73"/>
        <v>10</v>
      </c>
      <c r="S367" s="63"/>
      <c r="T367" s="72" t="s">
        <v>49</v>
      </c>
      <c r="U367" s="105">
        <f>Y366</f>
        <v>1760</v>
      </c>
      <c r="V367" s="74">
        <f>10000+10000</f>
        <v>20000</v>
      </c>
      <c r="W367" s="105">
        <f t="shared" si="74"/>
        <v>21760</v>
      </c>
      <c r="X367" s="74">
        <v>10000</v>
      </c>
      <c r="Y367" s="105">
        <f t="shared" si="75"/>
        <v>11760</v>
      </c>
      <c r="Z367" s="76"/>
    </row>
    <row r="368" spans="1:27" s="29" customFormat="1" ht="21.4" customHeight="1" x14ac:dyDescent="0.2">
      <c r="A368" s="30"/>
      <c r="B368" s="48" t="s">
        <v>7</v>
      </c>
      <c r="C368" s="39">
        <f>IF($J$1="January",P362,IF($J$1="February",P363,IF($J$1="March",P364,IF($J$1="April",P365,IF($J$1="May",P366,IF($J$1="June",P367,IF($J$1="July",P368,IF($J$1="August",P369,IF($J$1="August",P369,IF($J$1="September",P370,IF($J$1="October",P371,IF($J$1="November",P372,IF($J$1="December",P373)))))))))))))</f>
        <v>30</v>
      </c>
      <c r="F368" s="48" t="s">
        <v>65</v>
      </c>
      <c r="G368" s="110">
        <f>IF($J$1="January",W362,IF($J$1="February",W363,IF($J$1="March",W364,IF($J$1="April",W365,IF($J$1="May",W366,IF($J$1="June",W367,IF($J$1="July",W368,IF($J$1="August",W369,IF($J$1="August",W369,IF($J$1="September",W370,IF($J$1="October",W371,IF($J$1="November",W372,IF($J$1="December",W373)))))))))))))</f>
        <v>21760</v>
      </c>
      <c r="H368" s="47"/>
      <c r="I368" s="392" t="s">
        <v>69</v>
      </c>
      <c r="J368" s="393"/>
      <c r="K368" s="53">
        <f>K366+K367</f>
        <v>30158.333333333336</v>
      </c>
      <c r="L368" s="54"/>
      <c r="N368" s="71"/>
      <c r="O368" s="72" t="s">
        <v>50</v>
      </c>
      <c r="P368" s="72"/>
      <c r="Q368" s="72"/>
      <c r="R368" s="72">
        <f t="shared" si="73"/>
        <v>10</v>
      </c>
      <c r="S368" s="63"/>
      <c r="T368" s="72" t="s">
        <v>50</v>
      </c>
      <c r="U368" s="105"/>
      <c r="V368" s="74"/>
      <c r="W368" s="105" t="str">
        <f t="shared" si="74"/>
        <v/>
      </c>
      <c r="X368" s="74"/>
      <c r="Y368" s="105" t="str">
        <f t="shared" si="75"/>
        <v/>
      </c>
      <c r="Z368" s="76"/>
    </row>
    <row r="369" spans="1:27" s="29" customFormat="1" ht="21.4" customHeight="1" x14ac:dyDescent="0.2">
      <c r="A369" s="30"/>
      <c r="B369" s="48" t="s">
        <v>6</v>
      </c>
      <c r="C369" s="39">
        <f>IF($J$1="January",Q362,IF($J$1="February",Q363,IF($J$1="March",Q364,IF($J$1="April",Q365,IF($J$1="May",Q366,IF($J$1="June",Q367,IF($J$1="July",Q368,IF($J$1="August",Q369,IF($J$1="August",Q369,IF($J$1="September",Q370,IF($J$1="October",Q371,IF($J$1="November",Q372,IF($J$1="December",Q373)))))))))))))</f>
        <v>0</v>
      </c>
      <c r="F369" s="48" t="s">
        <v>21</v>
      </c>
      <c r="G369" s="110">
        <f>IF($J$1="January",X362,IF($J$1="February",X363,IF($J$1="March",X364,IF($J$1="April",X365,IF($J$1="May",X366,IF($J$1="June",X367,IF($J$1="July",X368,IF($J$1="August",X369,IF($J$1="August",X369,IF($J$1="September",X370,IF($J$1="October",X371,IF($J$1="November",X372,IF($J$1="December",X373)))))))))))))</f>
        <v>10000</v>
      </c>
      <c r="H369" s="47"/>
      <c r="I369" s="392" t="s">
        <v>70</v>
      </c>
      <c r="J369" s="393"/>
      <c r="K369" s="43">
        <f>G369</f>
        <v>10000</v>
      </c>
      <c r="L369" s="55"/>
      <c r="N369" s="71"/>
      <c r="O369" s="72" t="s">
        <v>51</v>
      </c>
      <c r="P369" s="72"/>
      <c r="Q369" s="72"/>
      <c r="R369" s="72">
        <f t="shared" si="73"/>
        <v>10</v>
      </c>
      <c r="S369" s="63"/>
      <c r="T369" s="72" t="s">
        <v>51</v>
      </c>
      <c r="U369" s="105" t="str">
        <f>Y368</f>
        <v/>
      </c>
      <c r="V369" s="74"/>
      <c r="W369" s="105" t="str">
        <f t="shared" si="74"/>
        <v/>
      </c>
      <c r="X369" s="74"/>
      <c r="Y369" s="105" t="str">
        <f t="shared" si="75"/>
        <v/>
      </c>
      <c r="Z369" s="76"/>
    </row>
    <row r="370" spans="1:27" s="29" customFormat="1" ht="21.4" customHeight="1" x14ac:dyDescent="0.2">
      <c r="A370" s="30"/>
      <c r="B370" s="56" t="s">
        <v>68</v>
      </c>
      <c r="C370" s="39">
        <f>IF($J$1="January",R362,IF($J$1="February",R363,IF($J$1="March",R364,IF($J$1="April",R365,IF($J$1="May",R366,IF($J$1="June",R367,IF($J$1="July",R368,IF($J$1="August",R369,IF($J$1="August",R369,IF($J$1="September",R370,IF($J$1="October",R371,IF($J$1="November",R372,IF($J$1="December",R373)))))))))))))</f>
        <v>10</v>
      </c>
      <c r="F370" s="48" t="s">
        <v>67</v>
      </c>
      <c r="G370" s="110">
        <f>IF($J$1="January",Y362,IF($J$1="February",Y363,IF($J$1="March",Y364,IF($J$1="April",Y365,IF($J$1="May",Y366,IF($J$1="June",Y367,IF($J$1="July",Y368,IF($J$1="August",Y369,IF($J$1="August",Y369,IF($J$1="September",Y370,IF($J$1="October",Y371,IF($J$1="November",Y372,IF($J$1="December",Y373)))))))))))))</f>
        <v>11760</v>
      </c>
      <c r="I370" s="387" t="s">
        <v>63</v>
      </c>
      <c r="J370" s="388"/>
      <c r="K370" s="57">
        <f>K368-K369</f>
        <v>20158.333333333336</v>
      </c>
      <c r="L370" s="58"/>
      <c r="N370" s="71"/>
      <c r="O370" s="72" t="s">
        <v>56</v>
      </c>
      <c r="P370" s="72"/>
      <c r="Q370" s="72"/>
      <c r="R370" s="72">
        <f t="shared" si="73"/>
        <v>10</v>
      </c>
      <c r="S370" s="63"/>
      <c r="T370" s="72" t="s">
        <v>56</v>
      </c>
      <c r="U370" s="105" t="str">
        <f>Y369</f>
        <v/>
      </c>
      <c r="V370" s="74"/>
      <c r="W370" s="105" t="str">
        <f t="shared" si="74"/>
        <v/>
      </c>
      <c r="X370" s="74"/>
      <c r="Y370" s="105" t="str">
        <f t="shared" si="75"/>
        <v/>
      </c>
      <c r="Z370" s="76"/>
    </row>
    <row r="371" spans="1:27" s="29" customFormat="1" ht="21.4" customHeight="1" x14ac:dyDescent="0.2">
      <c r="A371" s="30"/>
      <c r="L371" s="46"/>
      <c r="N371" s="71"/>
      <c r="O371" s="72" t="s">
        <v>52</v>
      </c>
      <c r="P371" s="72"/>
      <c r="Q371" s="72"/>
      <c r="R371" s="72">
        <f t="shared" si="73"/>
        <v>10</v>
      </c>
      <c r="S371" s="63"/>
      <c r="T371" s="72" t="s">
        <v>52</v>
      </c>
      <c r="U371" s="105" t="str">
        <f>IF($J$1="September","",Y370)</f>
        <v/>
      </c>
      <c r="V371" s="74"/>
      <c r="W371" s="105" t="str">
        <f t="shared" si="74"/>
        <v/>
      </c>
      <c r="X371" s="74"/>
      <c r="Y371" s="105" t="str">
        <f t="shared" si="75"/>
        <v/>
      </c>
      <c r="Z371" s="76"/>
    </row>
    <row r="372" spans="1:27" s="29" customFormat="1" ht="21.4" customHeight="1" x14ac:dyDescent="0.2">
      <c r="A372" s="30"/>
      <c r="B372" s="394" t="s">
        <v>85</v>
      </c>
      <c r="C372" s="394"/>
      <c r="D372" s="394"/>
      <c r="E372" s="394"/>
      <c r="F372" s="394"/>
      <c r="G372" s="394"/>
      <c r="H372" s="394"/>
      <c r="I372" s="394"/>
      <c r="J372" s="394"/>
      <c r="K372" s="394"/>
      <c r="L372" s="46"/>
      <c r="N372" s="71"/>
      <c r="O372" s="72" t="s">
        <v>57</v>
      </c>
      <c r="P372" s="72"/>
      <c r="Q372" s="72"/>
      <c r="R372" s="72">
        <f t="shared" si="73"/>
        <v>10</v>
      </c>
      <c r="S372" s="63"/>
      <c r="T372" s="72" t="s">
        <v>57</v>
      </c>
      <c r="U372" s="105" t="str">
        <f>IF($J$1="October","",Y371)</f>
        <v/>
      </c>
      <c r="V372" s="74"/>
      <c r="W372" s="105" t="str">
        <f t="shared" si="74"/>
        <v/>
      </c>
      <c r="X372" s="74"/>
      <c r="Y372" s="105" t="str">
        <f t="shared" si="75"/>
        <v/>
      </c>
      <c r="Z372" s="76"/>
    </row>
    <row r="373" spans="1:27" s="29" customFormat="1" ht="21.4" customHeight="1" x14ac:dyDescent="0.2">
      <c r="A373" s="30"/>
      <c r="B373" s="394"/>
      <c r="C373" s="394"/>
      <c r="D373" s="394"/>
      <c r="E373" s="394"/>
      <c r="F373" s="394"/>
      <c r="G373" s="394"/>
      <c r="H373" s="394"/>
      <c r="I373" s="394"/>
      <c r="J373" s="394"/>
      <c r="K373" s="394"/>
      <c r="L373" s="46"/>
      <c r="N373" s="71"/>
      <c r="O373" s="72" t="s">
        <v>58</v>
      </c>
      <c r="P373" s="72"/>
      <c r="Q373" s="72"/>
      <c r="R373" s="72">
        <f t="shared" si="73"/>
        <v>10</v>
      </c>
      <c r="S373" s="63"/>
      <c r="T373" s="72" t="s">
        <v>58</v>
      </c>
      <c r="U373" s="105" t="str">
        <f>IF($J$1="November","",Y372)</f>
        <v/>
      </c>
      <c r="V373" s="74"/>
      <c r="W373" s="105" t="str">
        <f t="shared" si="74"/>
        <v/>
      </c>
      <c r="X373" s="74"/>
      <c r="Y373" s="105" t="str">
        <f t="shared" si="75"/>
        <v/>
      </c>
      <c r="Z373" s="76"/>
    </row>
    <row r="374" spans="1:27" s="29" customFormat="1" ht="21.4" customHeight="1" thickBot="1" x14ac:dyDescent="0.25">
      <c r="A374" s="59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1"/>
      <c r="N374" s="77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9"/>
    </row>
    <row r="375" spans="1:27" s="29" customFormat="1" ht="21.4" customHeight="1" thickBot="1" x14ac:dyDescent="0.25"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spans="1:27" s="29" customFormat="1" ht="21" customHeight="1" x14ac:dyDescent="0.2">
      <c r="A376" s="413" t="s">
        <v>40</v>
      </c>
      <c r="B376" s="414"/>
      <c r="C376" s="414"/>
      <c r="D376" s="414"/>
      <c r="E376" s="414"/>
      <c r="F376" s="414"/>
      <c r="G376" s="414"/>
      <c r="H376" s="414"/>
      <c r="I376" s="414"/>
      <c r="J376" s="414"/>
      <c r="K376" s="414"/>
      <c r="L376" s="415"/>
      <c r="M376" s="28"/>
      <c r="N376" s="64"/>
      <c r="O376" s="403" t="s">
        <v>42</v>
      </c>
      <c r="P376" s="404"/>
      <c r="Q376" s="404"/>
      <c r="R376" s="405"/>
      <c r="S376" s="65"/>
      <c r="T376" s="403" t="s">
        <v>43</v>
      </c>
      <c r="U376" s="404"/>
      <c r="V376" s="404"/>
      <c r="W376" s="404"/>
      <c r="X376" s="404"/>
      <c r="Y376" s="405"/>
      <c r="Z376" s="66"/>
      <c r="AA376" s="28"/>
    </row>
    <row r="377" spans="1:27" s="29" customFormat="1" ht="21" customHeight="1" x14ac:dyDescent="0.2">
      <c r="A377" s="30"/>
      <c r="C377" s="402" t="s">
        <v>83</v>
      </c>
      <c r="D377" s="402"/>
      <c r="E377" s="402"/>
      <c r="F377" s="402"/>
      <c r="G377" s="31" t="str">
        <f>$J$1</f>
        <v>June</v>
      </c>
      <c r="H377" s="409">
        <f>$K$1</f>
        <v>2023</v>
      </c>
      <c r="I377" s="409"/>
      <c r="K377" s="32"/>
      <c r="L377" s="33"/>
      <c r="M377" s="32"/>
      <c r="N377" s="67"/>
      <c r="O377" s="68" t="s">
        <v>53</v>
      </c>
      <c r="P377" s="68" t="s">
        <v>7</v>
      </c>
      <c r="Q377" s="68" t="s">
        <v>6</v>
      </c>
      <c r="R377" s="68" t="s">
        <v>54</v>
      </c>
      <c r="S377" s="69"/>
      <c r="T377" s="68" t="s">
        <v>53</v>
      </c>
      <c r="U377" s="68" t="s">
        <v>55</v>
      </c>
      <c r="V377" s="68" t="s">
        <v>20</v>
      </c>
      <c r="W377" s="68" t="s">
        <v>19</v>
      </c>
      <c r="X377" s="68" t="s">
        <v>21</v>
      </c>
      <c r="Y377" s="68" t="s">
        <v>59</v>
      </c>
      <c r="Z377" s="70"/>
      <c r="AA377" s="32"/>
    </row>
    <row r="378" spans="1:27" s="29" customFormat="1" ht="21" customHeight="1" x14ac:dyDescent="0.2">
      <c r="A378" s="30"/>
      <c r="D378" s="35"/>
      <c r="E378" s="35"/>
      <c r="F378" s="35"/>
      <c r="G378" s="35"/>
      <c r="H378" s="35"/>
      <c r="J378" s="36" t="s">
        <v>1</v>
      </c>
      <c r="K378" s="37">
        <f>19000+3000</f>
        <v>22000</v>
      </c>
      <c r="L378" s="38"/>
      <c r="N378" s="71"/>
      <c r="O378" s="72" t="s">
        <v>45</v>
      </c>
      <c r="P378" s="72">
        <v>31</v>
      </c>
      <c r="Q378" s="72">
        <v>0</v>
      </c>
      <c r="R378" s="72">
        <f>15-Q378</f>
        <v>15</v>
      </c>
      <c r="S378" s="73"/>
      <c r="T378" s="72" t="s">
        <v>45</v>
      </c>
      <c r="U378" s="74"/>
      <c r="V378" s="74"/>
      <c r="W378" s="74">
        <f>V378+U378</f>
        <v>0</v>
      </c>
      <c r="X378" s="74"/>
      <c r="Y378" s="74">
        <f>W378-X378</f>
        <v>0</v>
      </c>
      <c r="Z378" s="70"/>
    </row>
    <row r="379" spans="1:27" s="29" customFormat="1" ht="21" customHeight="1" x14ac:dyDescent="0.2">
      <c r="A379" s="30"/>
      <c r="B379" s="29" t="s">
        <v>0</v>
      </c>
      <c r="C379" s="40" t="s">
        <v>141</v>
      </c>
      <c r="H379" s="41"/>
      <c r="I379" s="35"/>
      <c r="L379" s="42"/>
      <c r="M379" s="28"/>
      <c r="N379" s="75"/>
      <c r="O379" s="72" t="s">
        <v>71</v>
      </c>
      <c r="P379" s="72">
        <v>27</v>
      </c>
      <c r="Q379" s="72">
        <v>1</v>
      </c>
      <c r="R379" s="72">
        <f t="shared" ref="R379:R389" si="76">IF(Q379="","",R378-Q379)</f>
        <v>14</v>
      </c>
      <c r="S379" s="63"/>
      <c r="T379" s="72" t="s">
        <v>71</v>
      </c>
      <c r="U379" s="105">
        <f>IF($J$1="January","",Y378)</f>
        <v>0</v>
      </c>
      <c r="V379" s="74"/>
      <c r="W379" s="105">
        <f>IF(U379="","",U379+V379)</f>
        <v>0</v>
      </c>
      <c r="X379" s="74"/>
      <c r="Y379" s="105">
        <f>IF(W379="","",W379-X379)</f>
        <v>0</v>
      </c>
      <c r="Z379" s="76"/>
      <c r="AA379" s="28"/>
    </row>
    <row r="380" spans="1:27" s="29" customFormat="1" ht="21" customHeight="1" x14ac:dyDescent="0.2">
      <c r="A380" s="30"/>
      <c r="B380" s="44" t="s">
        <v>41</v>
      </c>
      <c r="C380" s="45"/>
      <c r="F380" s="391" t="s">
        <v>43</v>
      </c>
      <c r="G380" s="391"/>
      <c r="I380" s="391" t="s">
        <v>44</v>
      </c>
      <c r="J380" s="391"/>
      <c r="K380" s="391"/>
      <c r="L380" s="46"/>
      <c r="N380" s="71"/>
      <c r="O380" s="72" t="s">
        <v>46</v>
      </c>
      <c r="P380" s="72">
        <v>30</v>
      </c>
      <c r="Q380" s="72">
        <v>1</v>
      </c>
      <c r="R380" s="72">
        <f t="shared" si="76"/>
        <v>13</v>
      </c>
      <c r="S380" s="63"/>
      <c r="T380" s="72" t="s">
        <v>46</v>
      </c>
      <c r="U380" s="105">
        <f>IF($J$1="February","",Y379)</f>
        <v>0</v>
      </c>
      <c r="V380" s="74"/>
      <c r="W380" s="105">
        <f t="shared" ref="W380:W389" si="77">IF(U380="","",U380+V380)</f>
        <v>0</v>
      </c>
      <c r="X380" s="74"/>
      <c r="Y380" s="105">
        <f t="shared" ref="Y380:Y389" si="78">IF(W380="","",W380-X380)</f>
        <v>0</v>
      </c>
      <c r="Z380" s="76"/>
    </row>
    <row r="381" spans="1:27" s="29" customFormat="1" ht="21" customHeight="1" x14ac:dyDescent="0.2">
      <c r="A381" s="30"/>
      <c r="H381" s="47"/>
      <c r="L381" s="34"/>
      <c r="N381" s="71"/>
      <c r="O381" s="72" t="s">
        <v>47</v>
      </c>
      <c r="P381" s="72">
        <v>30</v>
      </c>
      <c r="Q381" s="72">
        <v>0</v>
      </c>
      <c r="R381" s="72">
        <f t="shared" si="76"/>
        <v>13</v>
      </c>
      <c r="S381" s="63"/>
      <c r="T381" s="72" t="s">
        <v>47</v>
      </c>
      <c r="U381" s="105">
        <f>IF($J$1="March","",Y380)</f>
        <v>0</v>
      </c>
      <c r="V381" s="74"/>
      <c r="W381" s="105">
        <f t="shared" si="77"/>
        <v>0</v>
      </c>
      <c r="X381" s="74"/>
      <c r="Y381" s="105">
        <f t="shared" si="78"/>
        <v>0</v>
      </c>
      <c r="Z381" s="76"/>
    </row>
    <row r="382" spans="1:27" s="29" customFormat="1" ht="21" customHeight="1" x14ac:dyDescent="0.2">
      <c r="A382" s="30"/>
      <c r="B382" s="389" t="s">
        <v>42</v>
      </c>
      <c r="C382" s="390"/>
      <c r="F382" s="48" t="s">
        <v>64</v>
      </c>
      <c r="G382" s="43">
        <f>IF($J$1="January",U378,IF($J$1="February",U379,IF($J$1="March",U380,IF($J$1="April",U381,IF($J$1="May",U382,IF($J$1="June",U383,IF($J$1="July",U384,IF($J$1="August",U385,IF($J$1="August",U385,IF($J$1="September",U386,IF($J$1="October",U387,IF($J$1="November",U388,IF($J$1="December",U389)))))))))))))</f>
        <v>0</v>
      </c>
      <c r="H382" s="47"/>
      <c r="I382" s="49">
        <f>IF(C386&gt;0,$K$2,C384)</f>
        <v>30</v>
      </c>
      <c r="J382" s="50" t="s">
        <v>61</v>
      </c>
      <c r="K382" s="51">
        <f>K378/$K$2*I382</f>
        <v>22000</v>
      </c>
      <c r="L382" s="52"/>
      <c r="N382" s="71"/>
      <c r="O382" s="72" t="s">
        <v>48</v>
      </c>
      <c r="P382" s="72">
        <v>31</v>
      </c>
      <c r="Q382" s="72">
        <v>0</v>
      </c>
      <c r="R382" s="72">
        <f t="shared" si="76"/>
        <v>13</v>
      </c>
      <c r="S382" s="63"/>
      <c r="T382" s="72" t="s">
        <v>48</v>
      </c>
      <c r="U382" s="105">
        <f>IF($J$1="April","",Y381)</f>
        <v>0</v>
      </c>
      <c r="V382" s="74"/>
      <c r="W382" s="105">
        <f t="shared" si="77"/>
        <v>0</v>
      </c>
      <c r="X382" s="74"/>
      <c r="Y382" s="105">
        <f t="shared" si="78"/>
        <v>0</v>
      </c>
      <c r="Z382" s="76"/>
    </row>
    <row r="383" spans="1:27" s="29" customFormat="1" ht="21" customHeight="1" x14ac:dyDescent="0.2">
      <c r="A383" s="30"/>
      <c r="B383" s="39"/>
      <c r="C383" s="39"/>
      <c r="F383" s="48" t="s">
        <v>20</v>
      </c>
      <c r="G383" s="43">
        <f>IF($J$1="January",V378,IF($J$1="February",V379,IF($J$1="March",V380,IF($J$1="April",V381,IF($J$1="May",V382,IF($J$1="June",V383,IF($J$1="July",V384,IF($J$1="August",V385,IF($J$1="August",V385,IF($J$1="September",V386,IF($J$1="October",V387,IF($J$1="November",V388,IF($J$1="December",V389)))))))))))))</f>
        <v>45000</v>
      </c>
      <c r="H383" s="47"/>
      <c r="I383" s="84">
        <v>108</v>
      </c>
      <c r="J383" s="50" t="s">
        <v>62</v>
      </c>
      <c r="K383" s="53">
        <f>K378/$K$2/8*I383</f>
        <v>9900</v>
      </c>
      <c r="L383" s="54"/>
      <c r="N383" s="71"/>
      <c r="O383" s="72" t="s">
        <v>49</v>
      </c>
      <c r="P383" s="72">
        <v>30</v>
      </c>
      <c r="Q383" s="72">
        <v>0</v>
      </c>
      <c r="R383" s="72">
        <f t="shared" si="76"/>
        <v>13</v>
      </c>
      <c r="S383" s="63"/>
      <c r="T383" s="72" t="s">
        <v>49</v>
      </c>
      <c r="U383" s="105">
        <f>Y382</f>
        <v>0</v>
      </c>
      <c r="V383" s="74">
        <f>15000+30000</f>
        <v>45000</v>
      </c>
      <c r="W383" s="105">
        <f t="shared" si="77"/>
        <v>45000</v>
      </c>
      <c r="X383" s="74">
        <v>15000</v>
      </c>
      <c r="Y383" s="105">
        <f t="shared" si="78"/>
        <v>30000</v>
      </c>
      <c r="Z383" s="76"/>
    </row>
    <row r="384" spans="1:27" s="29" customFormat="1" ht="21" customHeight="1" x14ac:dyDescent="0.2">
      <c r="A384" s="30"/>
      <c r="B384" s="48" t="s">
        <v>7</v>
      </c>
      <c r="C384" s="39">
        <f>IF($J$1="January",P378,IF($J$1="February",P379,IF($J$1="March",P380,IF($J$1="April",P381,IF($J$1="May",P382,IF($J$1="June",P383,IF($J$1="July",P384,IF($J$1="August",P385,IF($J$1="August",P385,IF($J$1="September",P386,IF($J$1="October",P387,IF($J$1="November",P388,IF($J$1="December",P389)))))))))))))</f>
        <v>30</v>
      </c>
      <c r="F384" s="48" t="s">
        <v>65</v>
      </c>
      <c r="G384" s="43">
        <f>IF($J$1="January",W378,IF($J$1="February",W379,IF($J$1="March",W380,IF($J$1="April",W381,IF($J$1="May",W382,IF($J$1="June",W383,IF($J$1="July",W384,IF($J$1="August",W385,IF($J$1="August",W385,IF($J$1="September",W386,IF($J$1="October",W387,IF($J$1="November",W388,IF($J$1="December",W389)))))))))))))</f>
        <v>45000</v>
      </c>
      <c r="H384" s="47"/>
      <c r="I384" s="392" t="s">
        <v>69</v>
      </c>
      <c r="J384" s="393"/>
      <c r="K384" s="53">
        <f>K382+K383</f>
        <v>31900</v>
      </c>
      <c r="L384" s="54"/>
      <c r="N384" s="71"/>
      <c r="O384" s="72" t="s">
        <v>50</v>
      </c>
      <c r="P384" s="72"/>
      <c r="Q384" s="72"/>
      <c r="R384" s="72" t="str">
        <f t="shared" si="76"/>
        <v/>
      </c>
      <c r="S384" s="63"/>
      <c r="T384" s="72" t="s">
        <v>50</v>
      </c>
      <c r="U384" s="105"/>
      <c r="V384" s="74"/>
      <c r="W384" s="105" t="str">
        <f t="shared" ref="W384:W386" si="79">IF(U384="","",U384+V384)</f>
        <v/>
      </c>
      <c r="X384" s="74"/>
      <c r="Y384" s="105" t="str">
        <f t="shared" ref="Y384:Y386" si="80">IF(W384="","",W384-X384)</f>
        <v/>
      </c>
      <c r="Z384" s="76"/>
    </row>
    <row r="385" spans="1:26" s="29" customFormat="1" ht="21" customHeight="1" x14ac:dyDescent="0.2">
      <c r="A385" s="30"/>
      <c r="B385" s="48" t="s">
        <v>6</v>
      </c>
      <c r="C385" s="39">
        <f>IF($J$1="January",Q378,IF($J$1="February",Q379,IF($J$1="March",Q380,IF($J$1="April",Q381,IF($J$1="May",Q382,IF($J$1="June",Q383,IF($J$1="July",Q384,IF($J$1="August",Q385,IF($J$1="August",Q385,IF($J$1="September",Q386,IF($J$1="October",Q387,IF($J$1="November",Q388,IF($J$1="December",Q389)))))))))))))</f>
        <v>0</v>
      </c>
      <c r="F385" s="48" t="s">
        <v>21</v>
      </c>
      <c r="G385" s="43">
        <f>IF($J$1="January",X378,IF($J$1="February",X379,IF($J$1="March",X380,IF($J$1="April",X381,IF($J$1="May",X382,IF($J$1="June",X383,IF($J$1="July",X384,IF($J$1="August",X385,IF($J$1="August",X385,IF($J$1="September",X386,IF($J$1="October",X387,IF($J$1="November",X388,IF($J$1="December",X389)))))))))))))</f>
        <v>15000</v>
      </c>
      <c r="H385" s="47"/>
      <c r="I385" s="392" t="s">
        <v>70</v>
      </c>
      <c r="J385" s="393"/>
      <c r="K385" s="43">
        <f>G385</f>
        <v>15000</v>
      </c>
      <c r="L385" s="55"/>
      <c r="N385" s="71"/>
      <c r="O385" s="72" t="s">
        <v>51</v>
      </c>
      <c r="P385" s="72"/>
      <c r="Q385" s="72"/>
      <c r="R385" s="72" t="str">
        <f t="shared" si="76"/>
        <v/>
      </c>
      <c r="S385" s="63"/>
      <c r="T385" s="72" t="s">
        <v>51</v>
      </c>
      <c r="U385" s="105" t="str">
        <f t="shared" ref="U385:U386" si="81">Y384</f>
        <v/>
      </c>
      <c r="V385" s="74"/>
      <c r="W385" s="105" t="str">
        <f t="shared" si="79"/>
        <v/>
      </c>
      <c r="X385" s="74"/>
      <c r="Y385" s="105" t="str">
        <f t="shared" si="80"/>
        <v/>
      </c>
      <c r="Z385" s="76"/>
    </row>
    <row r="386" spans="1:26" s="29" customFormat="1" ht="21" customHeight="1" x14ac:dyDescent="0.2">
      <c r="A386" s="30"/>
      <c r="B386" s="56" t="s">
        <v>68</v>
      </c>
      <c r="C386" s="39">
        <f>IF($J$1="January",R378,IF($J$1="February",R379,IF($J$1="March",R380,IF($J$1="April",R381,IF($J$1="May",R382,IF($J$1="June",R383,IF($J$1="July",R384,IF($J$1="August",R385,IF($J$1="August",R385,IF($J$1="September",R386,IF($J$1="October",R387,IF($J$1="November",R388,IF($J$1="December",R389)))))))))))))</f>
        <v>13</v>
      </c>
      <c r="F386" s="48" t="s">
        <v>67</v>
      </c>
      <c r="G386" s="43">
        <f>IF($J$1="January",Y378,IF($J$1="February",Y379,IF($J$1="March",Y380,IF($J$1="April",Y381,IF($J$1="May",Y382,IF($J$1="June",Y383,IF($J$1="July",Y384,IF($J$1="August",Y385,IF($J$1="August",Y385,IF($J$1="September",Y386,IF($J$1="October",Y387,IF($J$1="November",Y388,IF($J$1="December",Y389)))))))))))))</f>
        <v>30000</v>
      </c>
      <c r="I386" s="387" t="s">
        <v>63</v>
      </c>
      <c r="J386" s="388"/>
      <c r="K386" s="57">
        <f>K384-K385</f>
        <v>16900</v>
      </c>
      <c r="L386" s="58"/>
      <c r="N386" s="71"/>
      <c r="O386" s="72" t="s">
        <v>56</v>
      </c>
      <c r="P386" s="72"/>
      <c r="Q386" s="72"/>
      <c r="R386" s="72" t="str">
        <f t="shared" si="76"/>
        <v/>
      </c>
      <c r="S386" s="63"/>
      <c r="T386" s="72" t="s">
        <v>56</v>
      </c>
      <c r="U386" s="105" t="str">
        <f t="shared" si="81"/>
        <v/>
      </c>
      <c r="V386" s="74"/>
      <c r="W386" s="105" t="str">
        <f t="shared" si="79"/>
        <v/>
      </c>
      <c r="X386" s="74"/>
      <c r="Y386" s="105" t="str">
        <f t="shared" si="80"/>
        <v/>
      </c>
      <c r="Z386" s="76"/>
    </row>
    <row r="387" spans="1:26" s="29" customFormat="1" ht="21" customHeight="1" x14ac:dyDescent="0.2">
      <c r="A387" s="30"/>
      <c r="K387" s="107"/>
      <c r="L387" s="46"/>
      <c r="N387" s="71"/>
      <c r="O387" s="72" t="s">
        <v>52</v>
      </c>
      <c r="P387" s="72"/>
      <c r="Q387" s="72"/>
      <c r="R387" s="72" t="str">
        <f t="shared" si="76"/>
        <v/>
      </c>
      <c r="S387" s="63"/>
      <c r="T387" s="72" t="s">
        <v>52</v>
      </c>
      <c r="U387" s="105"/>
      <c r="V387" s="74"/>
      <c r="W387" s="105" t="str">
        <f t="shared" si="77"/>
        <v/>
      </c>
      <c r="X387" s="74"/>
      <c r="Y387" s="105" t="str">
        <f t="shared" si="78"/>
        <v/>
      </c>
      <c r="Z387" s="76"/>
    </row>
    <row r="388" spans="1:26" s="29" customFormat="1" ht="21" customHeight="1" x14ac:dyDescent="0.2">
      <c r="A388" s="30"/>
      <c r="B388" s="394" t="s">
        <v>85</v>
      </c>
      <c r="C388" s="394"/>
      <c r="D388" s="394"/>
      <c r="E388" s="394"/>
      <c r="F388" s="394"/>
      <c r="G388" s="394"/>
      <c r="H388" s="394"/>
      <c r="I388" s="394"/>
      <c r="J388" s="394"/>
      <c r="K388" s="394"/>
      <c r="L388" s="46"/>
      <c r="N388" s="71"/>
      <c r="O388" s="72" t="s">
        <v>57</v>
      </c>
      <c r="P388" s="72"/>
      <c r="Q388" s="72"/>
      <c r="R388" s="72" t="str">
        <f t="shared" si="76"/>
        <v/>
      </c>
      <c r="S388" s="63"/>
      <c r="T388" s="72" t="s">
        <v>57</v>
      </c>
      <c r="U388" s="105" t="str">
        <f>IF($J$1="October","",Y387)</f>
        <v/>
      </c>
      <c r="V388" s="74"/>
      <c r="W388" s="105" t="str">
        <f t="shared" si="77"/>
        <v/>
      </c>
      <c r="X388" s="74"/>
      <c r="Y388" s="105" t="str">
        <f t="shared" si="78"/>
        <v/>
      </c>
      <c r="Z388" s="76"/>
    </row>
    <row r="389" spans="1:26" s="29" customFormat="1" ht="21" customHeight="1" x14ac:dyDescent="0.2">
      <c r="A389" s="30"/>
      <c r="B389" s="394"/>
      <c r="C389" s="394"/>
      <c r="D389" s="394"/>
      <c r="E389" s="394"/>
      <c r="F389" s="394"/>
      <c r="G389" s="394"/>
      <c r="H389" s="394"/>
      <c r="I389" s="394"/>
      <c r="J389" s="394"/>
      <c r="K389" s="394"/>
      <c r="L389" s="46"/>
      <c r="N389" s="71"/>
      <c r="O389" s="72" t="s">
        <v>58</v>
      </c>
      <c r="P389" s="72"/>
      <c r="Q389" s="72"/>
      <c r="R389" s="72" t="str">
        <f t="shared" si="76"/>
        <v/>
      </c>
      <c r="S389" s="63"/>
      <c r="T389" s="72" t="s">
        <v>58</v>
      </c>
      <c r="U389" s="105" t="str">
        <f>IF($J$1="November","",Y388)</f>
        <v/>
      </c>
      <c r="V389" s="74"/>
      <c r="W389" s="105" t="str">
        <f t="shared" si="77"/>
        <v/>
      </c>
      <c r="X389" s="74"/>
      <c r="Y389" s="105" t="str">
        <f t="shared" si="78"/>
        <v/>
      </c>
      <c r="Z389" s="76"/>
    </row>
    <row r="390" spans="1:26" s="29" customFormat="1" ht="21" customHeight="1" thickBot="1" x14ac:dyDescent="0.25">
      <c r="A390" s="59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1"/>
      <c r="N390" s="77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9"/>
    </row>
    <row r="391" spans="1:26" s="29" customFormat="1" ht="21" customHeight="1" thickBot="1" x14ac:dyDescent="0.25"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spans="1:26" s="29" customFormat="1" ht="21" customHeight="1" x14ac:dyDescent="0.2">
      <c r="A392" s="433" t="s">
        <v>40</v>
      </c>
      <c r="B392" s="434"/>
      <c r="C392" s="434"/>
      <c r="D392" s="434"/>
      <c r="E392" s="434"/>
      <c r="F392" s="434"/>
      <c r="G392" s="434"/>
      <c r="H392" s="434"/>
      <c r="I392" s="434"/>
      <c r="J392" s="434"/>
      <c r="K392" s="434"/>
      <c r="L392" s="435"/>
      <c r="M392" s="28"/>
      <c r="N392" s="64"/>
      <c r="O392" s="403" t="s">
        <v>42</v>
      </c>
      <c r="P392" s="404"/>
      <c r="Q392" s="404"/>
      <c r="R392" s="405"/>
      <c r="S392" s="65"/>
      <c r="T392" s="403" t="s">
        <v>43</v>
      </c>
      <c r="U392" s="404"/>
      <c r="V392" s="404"/>
      <c r="W392" s="404"/>
      <c r="X392" s="404"/>
      <c r="Y392" s="405"/>
      <c r="Z392" s="66"/>
    </row>
    <row r="393" spans="1:26" s="29" customFormat="1" ht="21" customHeight="1" x14ac:dyDescent="0.2">
      <c r="A393" s="30"/>
      <c r="C393" s="402" t="s">
        <v>83</v>
      </c>
      <c r="D393" s="402"/>
      <c r="E393" s="402"/>
      <c r="F393" s="402"/>
      <c r="G393" s="31" t="str">
        <f>$J$1</f>
        <v>June</v>
      </c>
      <c r="H393" s="409">
        <f>$K$1</f>
        <v>2023</v>
      </c>
      <c r="I393" s="409"/>
      <c r="K393" s="32"/>
      <c r="L393" s="33"/>
      <c r="M393" s="32"/>
      <c r="N393" s="67"/>
      <c r="O393" s="68" t="s">
        <v>53</v>
      </c>
      <c r="P393" s="68" t="s">
        <v>7</v>
      </c>
      <c r="Q393" s="68" t="s">
        <v>6</v>
      </c>
      <c r="R393" s="68" t="s">
        <v>54</v>
      </c>
      <c r="S393" s="69"/>
      <c r="T393" s="68" t="s">
        <v>53</v>
      </c>
      <c r="U393" s="68" t="s">
        <v>55</v>
      </c>
      <c r="V393" s="68" t="s">
        <v>20</v>
      </c>
      <c r="W393" s="68" t="s">
        <v>19</v>
      </c>
      <c r="X393" s="68" t="s">
        <v>21</v>
      </c>
      <c r="Y393" s="68" t="s">
        <v>59</v>
      </c>
      <c r="Z393" s="70"/>
    </row>
    <row r="394" spans="1:26" s="29" customFormat="1" ht="21" customHeight="1" x14ac:dyDescent="0.2">
      <c r="A394" s="30"/>
      <c r="D394" s="35"/>
      <c r="E394" s="35"/>
      <c r="F394" s="35"/>
      <c r="G394" s="35"/>
      <c r="H394" s="35"/>
      <c r="J394" s="36" t="s">
        <v>1</v>
      </c>
      <c r="K394" s="37">
        <v>27000</v>
      </c>
      <c r="L394" s="38"/>
      <c r="N394" s="71"/>
      <c r="O394" s="72" t="s">
        <v>45</v>
      </c>
      <c r="P394" s="72">
        <v>31</v>
      </c>
      <c r="Q394" s="72">
        <v>0</v>
      </c>
      <c r="R394" s="72">
        <f>9-Q394</f>
        <v>9</v>
      </c>
      <c r="S394" s="73"/>
      <c r="T394" s="72" t="s">
        <v>45</v>
      </c>
      <c r="U394" s="74"/>
      <c r="V394" s="74"/>
      <c r="W394" s="74">
        <f>V394+U394</f>
        <v>0</v>
      </c>
      <c r="X394" s="74"/>
      <c r="Y394" s="74">
        <f>W394-X394</f>
        <v>0</v>
      </c>
      <c r="Z394" s="70"/>
    </row>
    <row r="395" spans="1:26" s="29" customFormat="1" ht="21" customHeight="1" x14ac:dyDescent="0.2">
      <c r="A395" s="30"/>
      <c r="B395" s="29" t="s">
        <v>0</v>
      </c>
      <c r="C395" s="40" t="s">
        <v>168</v>
      </c>
      <c r="H395" s="41"/>
      <c r="I395" s="35"/>
      <c r="L395" s="42"/>
      <c r="M395" s="28"/>
      <c r="N395" s="75"/>
      <c r="O395" s="72" t="s">
        <v>71</v>
      </c>
      <c r="P395" s="72">
        <v>28</v>
      </c>
      <c r="Q395" s="72">
        <v>0</v>
      </c>
      <c r="R395" s="72">
        <f t="shared" ref="R395:R405" si="82">IF(Q395="","",R394-Q395)</f>
        <v>9</v>
      </c>
      <c r="S395" s="63"/>
      <c r="T395" s="72" t="s">
        <v>71</v>
      </c>
      <c r="U395" s="105">
        <f>IF($J$1="January","",Y394)</f>
        <v>0</v>
      </c>
      <c r="V395" s="74"/>
      <c r="W395" s="105">
        <f>IF(U395="","",U395+V395)</f>
        <v>0</v>
      </c>
      <c r="X395" s="74"/>
      <c r="Y395" s="105">
        <f>IF(W395="","",W395-X395)</f>
        <v>0</v>
      </c>
      <c r="Z395" s="76"/>
    </row>
    <row r="396" spans="1:26" s="29" customFormat="1" ht="21" customHeight="1" x14ac:dyDescent="0.2">
      <c r="A396" s="30"/>
      <c r="B396" s="44" t="s">
        <v>41</v>
      </c>
      <c r="C396" s="40"/>
      <c r="F396" s="391" t="s">
        <v>43</v>
      </c>
      <c r="G396" s="391"/>
      <c r="I396" s="391" t="s">
        <v>44</v>
      </c>
      <c r="J396" s="391"/>
      <c r="K396" s="391"/>
      <c r="L396" s="46"/>
      <c r="N396" s="71"/>
      <c r="O396" s="72" t="s">
        <v>46</v>
      </c>
      <c r="P396" s="72">
        <v>31</v>
      </c>
      <c r="Q396" s="72">
        <v>0</v>
      </c>
      <c r="R396" s="72">
        <f t="shared" si="82"/>
        <v>9</v>
      </c>
      <c r="S396" s="63"/>
      <c r="T396" s="72" t="s">
        <v>46</v>
      </c>
      <c r="U396" s="105">
        <f>IF($J$1="February","",Y395)</f>
        <v>0</v>
      </c>
      <c r="V396" s="74"/>
      <c r="W396" s="105">
        <f t="shared" ref="W396:W399" si="83">IF(U396="","",U396+V396)</f>
        <v>0</v>
      </c>
      <c r="X396" s="74"/>
      <c r="Y396" s="105">
        <f t="shared" ref="Y396:Y399" si="84">IF(W396="","",W396-X396)</f>
        <v>0</v>
      </c>
      <c r="Z396" s="76"/>
    </row>
    <row r="397" spans="1:26" s="29" customFormat="1" ht="21" customHeight="1" x14ac:dyDescent="0.2">
      <c r="A397" s="30"/>
      <c r="H397" s="47"/>
      <c r="L397" s="34"/>
      <c r="N397" s="71"/>
      <c r="O397" s="72" t="s">
        <v>47</v>
      </c>
      <c r="P397" s="72">
        <v>30</v>
      </c>
      <c r="Q397" s="72">
        <v>0</v>
      </c>
      <c r="R397" s="72">
        <f t="shared" si="82"/>
        <v>9</v>
      </c>
      <c r="S397" s="63"/>
      <c r="T397" s="72" t="s">
        <v>47</v>
      </c>
      <c r="U397" s="105">
        <f>IF($J$1="March","",Y396)</f>
        <v>0</v>
      </c>
      <c r="V397" s="74"/>
      <c r="W397" s="105">
        <f t="shared" si="83"/>
        <v>0</v>
      </c>
      <c r="X397" s="74"/>
      <c r="Y397" s="105">
        <f t="shared" si="84"/>
        <v>0</v>
      </c>
      <c r="Z397" s="76"/>
    </row>
    <row r="398" spans="1:26" s="29" customFormat="1" ht="21" customHeight="1" x14ac:dyDescent="0.2">
      <c r="A398" s="30"/>
      <c r="B398" s="389" t="s">
        <v>42</v>
      </c>
      <c r="C398" s="390"/>
      <c r="F398" s="48" t="s">
        <v>64</v>
      </c>
      <c r="G398" s="43">
        <f>IF($J$1="January",U394,IF($J$1="February",U395,IF($J$1="March",U396,IF($J$1="April",U397,IF($J$1="May",U398,IF($J$1="June",U399,IF($J$1="July",U400,IF($J$1="August",U401,IF($J$1="August",U401,IF($J$1="September",U402,IF($J$1="October",U403,IF($J$1="November",U404,IF($J$1="December",U405)))))))))))))</f>
        <v>0</v>
      </c>
      <c r="H398" s="47"/>
      <c r="I398" s="49">
        <f>IF(C402&gt;0,$K$2,C400)</f>
        <v>30</v>
      </c>
      <c r="J398" s="50" t="s">
        <v>61</v>
      </c>
      <c r="K398" s="51">
        <f>K394/$K$2*I398</f>
        <v>27000</v>
      </c>
      <c r="L398" s="52"/>
      <c r="N398" s="71"/>
      <c r="O398" s="72" t="s">
        <v>48</v>
      </c>
      <c r="P398" s="72">
        <v>30</v>
      </c>
      <c r="Q398" s="72">
        <v>1</v>
      </c>
      <c r="R398" s="72">
        <f t="shared" si="82"/>
        <v>8</v>
      </c>
      <c r="S398" s="63"/>
      <c r="T398" s="72" t="s">
        <v>48</v>
      </c>
      <c r="U398" s="105">
        <f>IF($J$1="April","",Y397)</f>
        <v>0</v>
      </c>
      <c r="V398" s="74"/>
      <c r="W398" s="105">
        <f t="shared" si="83"/>
        <v>0</v>
      </c>
      <c r="X398" s="74"/>
      <c r="Y398" s="105">
        <f t="shared" si="84"/>
        <v>0</v>
      </c>
      <c r="Z398" s="76"/>
    </row>
    <row r="399" spans="1:26" s="29" customFormat="1" ht="21" customHeight="1" x14ac:dyDescent="0.2">
      <c r="A399" s="30"/>
      <c r="B399" s="39"/>
      <c r="C399" s="39"/>
      <c r="F399" s="48" t="s">
        <v>20</v>
      </c>
      <c r="G399" s="43">
        <f>IF($J$1="January",V394,IF($J$1="February",V395,IF($J$1="March",V396,IF($J$1="April",V397,IF($J$1="May",V398,IF($J$1="June",V399,IF($J$1="July",V400,IF($J$1="August",V401,IF($J$1="August",V401,IF($J$1="September",V402,IF($J$1="October",V403,IF($J$1="November",V404,IF($J$1="December",V405)))))))))))))</f>
        <v>15000</v>
      </c>
      <c r="H399" s="47"/>
      <c r="I399" s="49">
        <v>28</v>
      </c>
      <c r="J399" s="50" t="s">
        <v>62</v>
      </c>
      <c r="K399" s="53">
        <f>K394/$K$2/8*I399</f>
        <v>3150</v>
      </c>
      <c r="L399" s="54"/>
      <c r="N399" s="71"/>
      <c r="O399" s="72" t="s">
        <v>49</v>
      </c>
      <c r="P399" s="72">
        <v>30</v>
      </c>
      <c r="Q399" s="72">
        <v>0</v>
      </c>
      <c r="R399" s="72">
        <f t="shared" si="82"/>
        <v>8</v>
      </c>
      <c r="S399" s="63"/>
      <c r="T399" s="72" t="s">
        <v>49</v>
      </c>
      <c r="U399" s="105">
        <f>Y398</f>
        <v>0</v>
      </c>
      <c r="V399" s="74">
        <v>15000</v>
      </c>
      <c r="W399" s="105">
        <f t="shared" si="83"/>
        <v>15000</v>
      </c>
      <c r="X399" s="74">
        <v>15000</v>
      </c>
      <c r="Y399" s="105">
        <f t="shared" si="84"/>
        <v>0</v>
      </c>
      <c r="Z399" s="76"/>
    </row>
    <row r="400" spans="1:26" s="29" customFormat="1" ht="21" customHeight="1" x14ac:dyDescent="0.2">
      <c r="A400" s="30"/>
      <c r="B400" s="48" t="s">
        <v>7</v>
      </c>
      <c r="C400" s="39">
        <f>IF($J$1="January",P394,IF($J$1="February",P395,IF($J$1="March",P396,IF($J$1="April",P397,IF($J$1="May",P398,IF($J$1="June",P399,IF($J$1="July",P400,IF($J$1="August",P401,IF($J$1="August",P401,IF($J$1="September",P402,IF($J$1="October",P403,IF($J$1="November",P404,IF($J$1="December",P405)))))))))))))</f>
        <v>30</v>
      </c>
      <c r="F400" s="48" t="s">
        <v>65</v>
      </c>
      <c r="G400" s="43">
        <f>IF($J$1="January",W394,IF($J$1="February",W395,IF($J$1="March",W396,IF($J$1="April",W397,IF($J$1="May",W398,IF($J$1="June",W399,IF($J$1="July",W400,IF($J$1="August",W401,IF($J$1="August",W401,IF($J$1="September",W402,IF($J$1="October",W403,IF($J$1="November",W404,IF($J$1="December",W405)))))))))))))</f>
        <v>15000</v>
      </c>
      <c r="H400" s="47"/>
      <c r="I400" s="392" t="s">
        <v>69</v>
      </c>
      <c r="J400" s="393"/>
      <c r="K400" s="53">
        <f>K398+K399</f>
        <v>30150</v>
      </c>
      <c r="L400" s="54"/>
      <c r="N400" s="71"/>
      <c r="O400" s="72" t="s">
        <v>50</v>
      </c>
      <c r="P400" s="72"/>
      <c r="Q400" s="72"/>
      <c r="R400" s="72" t="str">
        <f t="shared" si="82"/>
        <v/>
      </c>
      <c r="S400" s="63"/>
      <c r="T400" s="72" t="s">
        <v>50</v>
      </c>
      <c r="U400" s="105" t="str">
        <f>IF($J$1="June","",Y399)</f>
        <v/>
      </c>
      <c r="V400" s="74"/>
      <c r="W400" s="105" t="str">
        <f t="shared" ref="W400:W405" si="85">IF(U400="","",U400+V400)</f>
        <v/>
      </c>
      <c r="X400" s="74"/>
      <c r="Y400" s="105" t="str">
        <f t="shared" ref="Y400:Y405" si="86">IF(W400="","",W400-X400)</f>
        <v/>
      </c>
      <c r="Z400" s="76"/>
    </row>
    <row r="401" spans="1:26" s="29" customFormat="1" ht="21" customHeight="1" x14ac:dyDescent="0.2">
      <c r="A401" s="30"/>
      <c r="B401" s="48" t="s">
        <v>6</v>
      </c>
      <c r="C401" s="39">
        <f>IF($J$1="January",Q394,IF($J$1="February",Q395,IF($J$1="March",Q396,IF($J$1="April",Q397,IF($J$1="May",Q398,IF($J$1="June",Q399,IF($J$1="July",Q400,IF($J$1="August",Q401,IF($J$1="August",Q401,IF($J$1="September",Q402,IF($J$1="October",Q403,IF($J$1="November",Q404,IF($J$1="December",Q405)))))))))))))</f>
        <v>0</v>
      </c>
      <c r="F401" s="48" t="s">
        <v>21</v>
      </c>
      <c r="G401" s="43">
        <f>IF($J$1="January",X394,IF($J$1="February",X395,IF($J$1="March",X396,IF($J$1="April",X397,IF($J$1="May",X398,IF($J$1="June",X399,IF($J$1="July",X400,IF($J$1="August",X401,IF($J$1="August",X401,IF($J$1="September",X402,IF($J$1="October",X403,IF($J$1="November",X404,IF($J$1="December",X405)))))))))))))</f>
        <v>15000</v>
      </c>
      <c r="H401" s="47"/>
      <c r="I401" s="392" t="s">
        <v>70</v>
      </c>
      <c r="J401" s="393"/>
      <c r="K401" s="43">
        <f>G401</f>
        <v>15000</v>
      </c>
      <c r="L401" s="55"/>
      <c r="N401" s="71"/>
      <c r="O401" s="72" t="s">
        <v>51</v>
      </c>
      <c r="P401" s="72"/>
      <c r="Q401" s="72"/>
      <c r="R401" s="72" t="str">
        <f t="shared" si="82"/>
        <v/>
      </c>
      <c r="S401" s="63"/>
      <c r="T401" s="72" t="s">
        <v>51</v>
      </c>
      <c r="U401" s="105" t="str">
        <f>IF($J$1="July","",Y400)</f>
        <v/>
      </c>
      <c r="V401" s="74"/>
      <c r="W401" s="105" t="str">
        <f t="shared" si="85"/>
        <v/>
      </c>
      <c r="X401" s="74"/>
      <c r="Y401" s="105" t="str">
        <f t="shared" si="86"/>
        <v/>
      </c>
      <c r="Z401" s="76"/>
    </row>
    <row r="402" spans="1:26" s="29" customFormat="1" ht="21" customHeight="1" x14ac:dyDescent="0.2">
      <c r="A402" s="30"/>
      <c r="B402" s="56" t="s">
        <v>68</v>
      </c>
      <c r="C402" s="39">
        <f>IF($J$1="January",R394,IF($J$1="February",R395,IF($J$1="March",R396,IF($J$1="April",R397,IF($J$1="May",R398,IF($J$1="June",R399,IF($J$1="July",R400,IF($J$1="August",R401,IF($J$1="August",R401,IF($J$1="September",R402,IF($J$1="October",R403,IF($J$1="November",R404,IF($J$1="December",R405)))))))))))))</f>
        <v>8</v>
      </c>
      <c r="F402" s="48" t="s">
        <v>67</v>
      </c>
      <c r="G402" s="43">
        <f>IF($J$1="January",Y394,IF($J$1="February",Y395,IF($J$1="March",Y396,IF($J$1="April",Y397,IF($J$1="May",Y398,IF($J$1="June",Y399,IF($J$1="July",Y400,IF($J$1="August",Y401,IF($J$1="August",Y401,IF($J$1="September",Y402,IF($J$1="October",Y403,IF($J$1="November",Y404,IF($J$1="December",Y405)))))))))))))</f>
        <v>0</v>
      </c>
      <c r="I402" s="387" t="s">
        <v>63</v>
      </c>
      <c r="J402" s="388"/>
      <c r="K402" s="57">
        <f>K400-K401</f>
        <v>15150</v>
      </c>
      <c r="L402" s="58"/>
      <c r="N402" s="71"/>
      <c r="O402" s="72" t="s">
        <v>56</v>
      </c>
      <c r="P402" s="72"/>
      <c r="Q402" s="72"/>
      <c r="R402" s="72" t="str">
        <f t="shared" si="82"/>
        <v/>
      </c>
      <c r="S402" s="63"/>
      <c r="T402" s="72" t="s">
        <v>56</v>
      </c>
      <c r="U402" s="105" t="str">
        <f>IF($J$1="August","",Y401)</f>
        <v/>
      </c>
      <c r="V402" s="74"/>
      <c r="W402" s="105" t="str">
        <f t="shared" si="85"/>
        <v/>
      </c>
      <c r="X402" s="74"/>
      <c r="Y402" s="105" t="str">
        <f t="shared" si="86"/>
        <v/>
      </c>
      <c r="Z402" s="76"/>
    </row>
    <row r="403" spans="1:26" s="29" customFormat="1" ht="21" customHeight="1" x14ac:dyDescent="0.2">
      <c r="A403" s="30"/>
      <c r="L403" s="46"/>
      <c r="N403" s="71"/>
      <c r="O403" s="72" t="s">
        <v>52</v>
      </c>
      <c r="P403" s="72"/>
      <c r="Q403" s="72"/>
      <c r="R403" s="72" t="str">
        <f t="shared" si="82"/>
        <v/>
      </c>
      <c r="S403" s="63"/>
      <c r="T403" s="72" t="s">
        <v>52</v>
      </c>
      <c r="U403" s="105" t="str">
        <f>IF($J$1="September","",Y402)</f>
        <v/>
      </c>
      <c r="V403" s="74"/>
      <c r="W403" s="105" t="str">
        <f t="shared" si="85"/>
        <v/>
      </c>
      <c r="X403" s="74"/>
      <c r="Y403" s="105" t="str">
        <f t="shared" si="86"/>
        <v/>
      </c>
      <c r="Z403" s="76"/>
    </row>
    <row r="404" spans="1:26" s="29" customFormat="1" ht="21" customHeight="1" x14ac:dyDescent="0.2">
      <c r="A404" s="30"/>
      <c r="B404" s="394" t="s">
        <v>85</v>
      </c>
      <c r="C404" s="394"/>
      <c r="D404" s="394"/>
      <c r="E404" s="394"/>
      <c r="F404" s="394"/>
      <c r="G404" s="394"/>
      <c r="H404" s="394"/>
      <c r="I404" s="394"/>
      <c r="J404" s="394"/>
      <c r="K404" s="394"/>
      <c r="L404" s="46"/>
      <c r="N404" s="71"/>
      <c r="O404" s="72" t="s">
        <v>57</v>
      </c>
      <c r="P404" s="72"/>
      <c r="Q404" s="72"/>
      <c r="R404" s="72" t="str">
        <f t="shared" si="82"/>
        <v/>
      </c>
      <c r="S404" s="63"/>
      <c r="T404" s="72" t="s">
        <v>57</v>
      </c>
      <c r="U404" s="105" t="str">
        <f>IF($J$1="October","",Y403)</f>
        <v/>
      </c>
      <c r="V404" s="74"/>
      <c r="W404" s="105" t="str">
        <f t="shared" si="85"/>
        <v/>
      </c>
      <c r="X404" s="74"/>
      <c r="Y404" s="105" t="str">
        <f t="shared" si="86"/>
        <v/>
      </c>
      <c r="Z404" s="76"/>
    </row>
    <row r="405" spans="1:26" s="29" customFormat="1" ht="21" customHeight="1" x14ac:dyDescent="0.2">
      <c r="A405" s="30"/>
      <c r="B405" s="394"/>
      <c r="C405" s="394"/>
      <c r="D405" s="394"/>
      <c r="E405" s="394"/>
      <c r="F405" s="394"/>
      <c r="G405" s="394"/>
      <c r="H405" s="394"/>
      <c r="I405" s="394"/>
      <c r="J405" s="394"/>
      <c r="K405" s="394"/>
      <c r="L405" s="46"/>
      <c r="N405" s="71"/>
      <c r="O405" s="72" t="s">
        <v>58</v>
      </c>
      <c r="P405" s="72"/>
      <c r="Q405" s="72"/>
      <c r="R405" s="72" t="str">
        <f t="shared" si="82"/>
        <v/>
      </c>
      <c r="S405" s="63"/>
      <c r="T405" s="72" t="s">
        <v>58</v>
      </c>
      <c r="U405" s="105" t="str">
        <f>IF($J$1="November","",Y404)</f>
        <v/>
      </c>
      <c r="V405" s="74"/>
      <c r="W405" s="105" t="str">
        <f t="shared" si="85"/>
        <v/>
      </c>
      <c r="X405" s="74"/>
      <c r="Y405" s="105" t="str">
        <f t="shared" si="86"/>
        <v/>
      </c>
      <c r="Z405" s="76"/>
    </row>
    <row r="406" spans="1:26" s="29" customFormat="1" ht="21" customHeight="1" thickBot="1" x14ac:dyDescent="0.25">
      <c r="A406" s="59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1"/>
      <c r="N406" s="77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9"/>
    </row>
    <row r="407" spans="1:26" s="29" customFormat="1" ht="21" customHeight="1" thickBot="1" x14ac:dyDescent="0.25"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spans="1:26" s="29" customFormat="1" ht="21" customHeight="1" x14ac:dyDescent="0.2">
      <c r="A408" s="413" t="s">
        <v>40</v>
      </c>
      <c r="B408" s="414"/>
      <c r="C408" s="414"/>
      <c r="D408" s="414"/>
      <c r="E408" s="414"/>
      <c r="F408" s="414"/>
      <c r="G408" s="414"/>
      <c r="H408" s="414"/>
      <c r="I408" s="414"/>
      <c r="J408" s="414"/>
      <c r="K408" s="414"/>
      <c r="L408" s="415"/>
      <c r="M408" s="28"/>
      <c r="N408" s="64"/>
      <c r="O408" s="403" t="s">
        <v>42</v>
      </c>
      <c r="P408" s="404"/>
      <c r="Q408" s="404"/>
      <c r="R408" s="405"/>
      <c r="S408" s="65"/>
      <c r="T408" s="403" t="s">
        <v>43</v>
      </c>
      <c r="U408" s="404"/>
      <c r="V408" s="404"/>
      <c r="W408" s="404"/>
      <c r="X408" s="404"/>
      <c r="Y408" s="405"/>
      <c r="Z408" s="66"/>
    </row>
    <row r="409" spans="1:26" s="29" customFormat="1" ht="21" customHeight="1" x14ac:dyDescent="0.2">
      <c r="A409" s="30"/>
      <c r="C409" s="402" t="s">
        <v>83</v>
      </c>
      <c r="D409" s="402"/>
      <c r="E409" s="402"/>
      <c r="F409" s="402"/>
      <c r="G409" s="31" t="str">
        <f>$J$1</f>
        <v>June</v>
      </c>
      <c r="H409" s="409">
        <f>$K$1</f>
        <v>2023</v>
      </c>
      <c r="I409" s="409"/>
      <c r="K409" s="32"/>
      <c r="L409" s="33"/>
      <c r="M409" s="32"/>
      <c r="N409" s="67"/>
      <c r="O409" s="68" t="s">
        <v>53</v>
      </c>
      <c r="P409" s="68" t="s">
        <v>7</v>
      </c>
      <c r="Q409" s="68" t="s">
        <v>6</v>
      </c>
      <c r="R409" s="68" t="s">
        <v>54</v>
      </c>
      <c r="S409" s="69"/>
      <c r="T409" s="68" t="s">
        <v>53</v>
      </c>
      <c r="U409" s="68" t="s">
        <v>55</v>
      </c>
      <c r="V409" s="68" t="s">
        <v>20</v>
      </c>
      <c r="W409" s="68" t="s">
        <v>19</v>
      </c>
      <c r="X409" s="68" t="s">
        <v>21</v>
      </c>
      <c r="Y409" s="68" t="s">
        <v>59</v>
      </c>
      <c r="Z409" s="70"/>
    </row>
    <row r="410" spans="1:26" s="29" customFormat="1" ht="21" customHeight="1" x14ac:dyDescent="0.2">
      <c r="A410" s="30"/>
      <c r="D410" s="35"/>
      <c r="E410" s="35"/>
      <c r="F410" s="35"/>
      <c r="G410" s="35"/>
      <c r="H410" s="35"/>
      <c r="J410" s="36" t="s">
        <v>1</v>
      </c>
      <c r="K410" s="37">
        <v>21000</v>
      </c>
      <c r="L410" s="38"/>
      <c r="N410" s="71"/>
      <c r="O410" s="72" t="s">
        <v>45</v>
      </c>
      <c r="P410" s="72">
        <v>31</v>
      </c>
      <c r="Q410" s="72">
        <v>0</v>
      </c>
      <c r="R410" s="72">
        <f>15-Q410</f>
        <v>15</v>
      </c>
      <c r="S410" s="73"/>
      <c r="T410" s="72" t="s">
        <v>45</v>
      </c>
      <c r="U410" s="74"/>
      <c r="V410" s="74"/>
      <c r="W410" s="74">
        <f>V410+U410</f>
        <v>0</v>
      </c>
      <c r="X410" s="74"/>
      <c r="Y410" s="74">
        <f>W410-X410</f>
        <v>0</v>
      </c>
      <c r="Z410" s="70"/>
    </row>
    <row r="411" spans="1:26" s="29" customFormat="1" ht="21" customHeight="1" x14ac:dyDescent="0.2">
      <c r="A411" s="30"/>
      <c r="B411" s="29" t="s">
        <v>0</v>
      </c>
      <c r="C411" s="40" t="s">
        <v>104</v>
      </c>
      <c r="H411" s="41"/>
      <c r="I411" s="35"/>
      <c r="L411" s="42"/>
      <c r="M411" s="28"/>
      <c r="N411" s="75"/>
      <c r="O411" s="72" t="s">
        <v>71</v>
      </c>
      <c r="P411" s="72">
        <v>26</v>
      </c>
      <c r="Q411" s="72">
        <v>2</v>
      </c>
      <c r="R411" s="72">
        <f t="shared" ref="R411:R421" si="87">IF(Q411="","",R410-Q411)</f>
        <v>13</v>
      </c>
      <c r="S411" s="63"/>
      <c r="T411" s="72" t="s">
        <v>71</v>
      </c>
      <c r="U411" s="105">
        <f>IF($J$1="January","",Y410)</f>
        <v>0</v>
      </c>
      <c r="V411" s="74"/>
      <c r="W411" s="105">
        <f>IF(U411="","",U411+V411)</f>
        <v>0</v>
      </c>
      <c r="X411" s="74"/>
      <c r="Y411" s="105">
        <f>IF(W411="","",W411-X411)</f>
        <v>0</v>
      </c>
      <c r="Z411" s="76"/>
    </row>
    <row r="412" spans="1:26" s="29" customFormat="1" ht="21" customHeight="1" x14ac:dyDescent="0.2">
      <c r="A412" s="30"/>
      <c r="B412" s="44" t="s">
        <v>41</v>
      </c>
      <c r="C412" s="40"/>
      <c r="F412" s="391" t="s">
        <v>43</v>
      </c>
      <c r="G412" s="391"/>
      <c r="I412" s="391" t="s">
        <v>44</v>
      </c>
      <c r="J412" s="391"/>
      <c r="K412" s="391"/>
      <c r="L412" s="46"/>
      <c r="N412" s="71"/>
      <c r="O412" s="72" t="s">
        <v>46</v>
      </c>
      <c r="P412" s="72">
        <v>29</v>
      </c>
      <c r="Q412" s="72">
        <v>2</v>
      </c>
      <c r="R412" s="72">
        <f t="shared" si="87"/>
        <v>11</v>
      </c>
      <c r="S412" s="63"/>
      <c r="T412" s="72" t="s">
        <v>46</v>
      </c>
      <c r="U412" s="105">
        <f>IF($J$1="February","",Y411)</f>
        <v>0</v>
      </c>
      <c r="V412" s="74"/>
      <c r="W412" s="105">
        <f t="shared" ref="W412:W415" si="88">IF(U412="","",U412+V412)</f>
        <v>0</v>
      </c>
      <c r="X412" s="74"/>
      <c r="Y412" s="105">
        <f t="shared" ref="Y412:Y415" si="89">IF(W412="","",W412-X412)</f>
        <v>0</v>
      </c>
      <c r="Z412" s="76"/>
    </row>
    <row r="413" spans="1:26" s="29" customFormat="1" ht="21" customHeight="1" x14ac:dyDescent="0.2">
      <c r="A413" s="30"/>
      <c r="H413" s="47"/>
      <c r="L413" s="34"/>
      <c r="N413" s="71"/>
      <c r="O413" s="72" t="s">
        <v>47</v>
      </c>
      <c r="P413" s="72">
        <v>30</v>
      </c>
      <c r="Q413" s="72">
        <v>0</v>
      </c>
      <c r="R413" s="72">
        <f t="shared" si="87"/>
        <v>11</v>
      </c>
      <c r="S413" s="63"/>
      <c r="T413" s="72" t="s">
        <v>47</v>
      </c>
      <c r="U413" s="105">
        <f>IF($J$1="March","",Y412)</f>
        <v>0</v>
      </c>
      <c r="V413" s="74"/>
      <c r="W413" s="105">
        <f t="shared" si="88"/>
        <v>0</v>
      </c>
      <c r="X413" s="74"/>
      <c r="Y413" s="105">
        <f t="shared" si="89"/>
        <v>0</v>
      </c>
      <c r="Z413" s="76"/>
    </row>
    <row r="414" spans="1:26" s="29" customFormat="1" ht="21" customHeight="1" x14ac:dyDescent="0.2">
      <c r="A414" s="30"/>
      <c r="B414" s="389" t="s">
        <v>42</v>
      </c>
      <c r="C414" s="390"/>
      <c r="F414" s="48" t="s">
        <v>64</v>
      </c>
      <c r="G414" s="43">
        <f>IF($J$1="January",U410,IF($J$1="February",U411,IF($J$1="March",U412,IF($J$1="April",U413,IF($J$1="May",U414,IF($J$1="June",U415,IF($J$1="July",U416,IF($J$1="August",U417,IF($J$1="August",U417,IF($J$1="September",U418,IF($J$1="October",U419,IF($J$1="November",U420,IF($J$1="December",U421)))))))))))))</f>
        <v>0</v>
      </c>
      <c r="H414" s="47"/>
      <c r="I414" s="49">
        <f>IF(C418&gt;0,$K$2,C416)</f>
        <v>30</v>
      </c>
      <c r="J414" s="50" t="s">
        <v>61</v>
      </c>
      <c r="K414" s="51">
        <f>K410/$K$2*I414</f>
        <v>21000</v>
      </c>
      <c r="L414" s="52"/>
      <c r="N414" s="71"/>
      <c r="O414" s="72" t="s">
        <v>48</v>
      </c>
      <c r="P414" s="72">
        <v>31</v>
      </c>
      <c r="Q414" s="72">
        <v>0</v>
      </c>
      <c r="R414" s="72">
        <f t="shared" si="87"/>
        <v>11</v>
      </c>
      <c r="S414" s="63"/>
      <c r="T414" s="72" t="s">
        <v>48</v>
      </c>
      <c r="U414" s="105">
        <f>IF($J$1="April","",Y413)</f>
        <v>0</v>
      </c>
      <c r="V414" s="74"/>
      <c r="W414" s="105">
        <f t="shared" si="88"/>
        <v>0</v>
      </c>
      <c r="X414" s="74"/>
      <c r="Y414" s="105">
        <f t="shared" si="89"/>
        <v>0</v>
      </c>
      <c r="Z414" s="76"/>
    </row>
    <row r="415" spans="1:26" s="29" customFormat="1" ht="21" customHeight="1" x14ac:dyDescent="0.2">
      <c r="A415" s="30"/>
      <c r="B415" s="39"/>
      <c r="C415" s="39"/>
      <c r="F415" s="48" t="s">
        <v>20</v>
      </c>
      <c r="G415" s="43">
        <f>IF($J$1="January",V410,IF($J$1="February",V411,IF($J$1="March",V412,IF($J$1="April",V413,IF($J$1="May",V414,IF($J$1="June",V415,IF($J$1="July",V416,IF($J$1="August",V417,IF($J$1="August",V417,IF($J$1="September",V418,IF($J$1="October",V419,IF($J$1="November",V420,IF($J$1="December",V421)))))))))))))</f>
        <v>15000</v>
      </c>
      <c r="H415" s="47"/>
      <c r="I415" s="84">
        <v>5</v>
      </c>
      <c r="J415" s="50" t="s">
        <v>62</v>
      </c>
      <c r="K415" s="53">
        <f>K410/$K$2/8*I415</f>
        <v>437.5</v>
      </c>
      <c r="L415" s="54"/>
      <c r="N415" s="71"/>
      <c r="O415" s="72" t="s">
        <v>49</v>
      </c>
      <c r="P415" s="72">
        <v>30</v>
      </c>
      <c r="Q415" s="72">
        <v>0</v>
      </c>
      <c r="R415" s="72">
        <f t="shared" si="87"/>
        <v>11</v>
      </c>
      <c r="S415" s="63"/>
      <c r="T415" s="72" t="s">
        <v>49</v>
      </c>
      <c r="U415" s="105">
        <f>Y414</f>
        <v>0</v>
      </c>
      <c r="V415" s="74">
        <v>15000</v>
      </c>
      <c r="W415" s="105">
        <f t="shared" si="88"/>
        <v>15000</v>
      </c>
      <c r="X415" s="74">
        <v>15000</v>
      </c>
      <c r="Y415" s="105">
        <f t="shared" si="89"/>
        <v>0</v>
      </c>
      <c r="Z415" s="76"/>
    </row>
    <row r="416" spans="1:26" s="29" customFormat="1" ht="21" customHeight="1" x14ac:dyDescent="0.2">
      <c r="A416" s="30"/>
      <c r="B416" s="48" t="s">
        <v>7</v>
      </c>
      <c r="C416" s="39">
        <f>IF($J$1="January",P410,IF($J$1="February",P411,IF($J$1="March",P412,IF($J$1="April",P413,IF($J$1="May",P414,IF($J$1="June",P415,IF($J$1="July",P416,IF($J$1="August",P417,IF($J$1="August",P417,IF($J$1="September",P418,IF($J$1="October",P419,IF($J$1="November",P420,IF($J$1="December",P421)))))))))))))</f>
        <v>30</v>
      </c>
      <c r="F416" s="48" t="s">
        <v>65</v>
      </c>
      <c r="G416" s="43">
        <f>IF($J$1="January",W410,IF($J$1="February",W411,IF($J$1="March",W412,IF($J$1="April",W413,IF($J$1="May",W414,IF($J$1="June",W415,IF($J$1="July",W416,IF($J$1="August",W417,IF($J$1="August",W417,IF($J$1="September",W418,IF($J$1="October",W419,IF($J$1="November",W420,IF($J$1="December",W421)))))))))))))</f>
        <v>15000</v>
      </c>
      <c r="H416" s="47"/>
      <c r="I416" s="392" t="s">
        <v>69</v>
      </c>
      <c r="J416" s="393"/>
      <c r="K416" s="53">
        <f>K414+K415</f>
        <v>21437.5</v>
      </c>
      <c r="L416" s="54"/>
      <c r="N416" s="71"/>
      <c r="O416" s="72" t="s">
        <v>50</v>
      </c>
      <c r="P416" s="72"/>
      <c r="Q416" s="72"/>
      <c r="R416" s="72" t="str">
        <f t="shared" si="87"/>
        <v/>
      </c>
      <c r="S416" s="63"/>
      <c r="T416" s="72" t="s">
        <v>50</v>
      </c>
      <c r="U416" s="105">
        <f t="shared" ref="U416:U418" si="90">Y415</f>
        <v>0</v>
      </c>
      <c r="V416" s="74"/>
      <c r="W416" s="105">
        <f t="shared" ref="W416:W418" si="91">IF(U416="","",U416+V416)</f>
        <v>0</v>
      </c>
      <c r="X416" s="74"/>
      <c r="Y416" s="105">
        <f t="shared" ref="Y416:Y418" si="92">IF(W416="","",W416-X416)</f>
        <v>0</v>
      </c>
      <c r="Z416" s="76"/>
    </row>
    <row r="417" spans="1:26" s="29" customFormat="1" ht="21" customHeight="1" x14ac:dyDescent="0.2">
      <c r="A417" s="30"/>
      <c r="B417" s="48" t="s">
        <v>6</v>
      </c>
      <c r="C417" s="39">
        <f>IF($J$1="January",Q410,IF($J$1="February",Q411,IF($J$1="March",Q412,IF($J$1="April",Q413,IF($J$1="May",Q414,IF($J$1="June",Q415,IF($J$1="July",Q416,IF($J$1="August",Q417,IF($J$1="August",Q417,IF($J$1="September",Q418,IF($J$1="October",Q419,IF($J$1="November",Q420,IF($J$1="December",Q421)))))))))))))</f>
        <v>0</v>
      </c>
      <c r="F417" s="48" t="s">
        <v>21</v>
      </c>
      <c r="G417" s="43">
        <f>IF($J$1="January",X410,IF($J$1="February",X411,IF($J$1="March",X412,IF($J$1="April",X413,IF($J$1="May",X414,IF($J$1="June",X415,IF($J$1="July",X416,IF($J$1="August",X417,IF($J$1="August",X417,IF($J$1="September",X418,IF($J$1="October",X419,IF($J$1="November",X420,IF($J$1="December",X421)))))))))))))</f>
        <v>15000</v>
      </c>
      <c r="H417" s="47"/>
      <c r="I417" s="392" t="s">
        <v>70</v>
      </c>
      <c r="J417" s="393"/>
      <c r="K417" s="43">
        <f>G417</f>
        <v>15000</v>
      </c>
      <c r="L417" s="55"/>
      <c r="N417" s="71"/>
      <c r="O417" s="72" t="s">
        <v>51</v>
      </c>
      <c r="P417" s="72"/>
      <c r="Q417" s="72"/>
      <c r="R417" s="72" t="str">
        <f t="shared" si="87"/>
        <v/>
      </c>
      <c r="S417" s="63"/>
      <c r="T417" s="72" t="s">
        <v>51</v>
      </c>
      <c r="U417" s="105">
        <f t="shared" si="90"/>
        <v>0</v>
      </c>
      <c r="V417" s="74"/>
      <c r="W417" s="105">
        <f t="shared" si="91"/>
        <v>0</v>
      </c>
      <c r="X417" s="74"/>
      <c r="Y417" s="105">
        <f t="shared" si="92"/>
        <v>0</v>
      </c>
      <c r="Z417" s="76"/>
    </row>
    <row r="418" spans="1:26" s="29" customFormat="1" ht="21" customHeight="1" x14ac:dyDescent="0.2">
      <c r="A418" s="30"/>
      <c r="B418" s="56" t="s">
        <v>68</v>
      </c>
      <c r="C418" s="39">
        <f>IF($J$1="January",R410,IF($J$1="February",R411,IF($J$1="March",R412,IF($J$1="April",R413,IF($J$1="May",R414,IF($J$1="June",R415,IF($J$1="July",R416,IF($J$1="August",R417,IF($J$1="August",R417,IF($J$1="September",R418,IF($J$1="October",R419,IF($J$1="November",R420,IF($J$1="December",R421)))))))))))))</f>
        <v>11</v>
      </c>
      <c r="F418" s="48" t="s">
        <v>67</v>
      </c>
      <c r="G418" s="43">
        <f>IF($J$1="January",Y410,IF($J$1="February",Y411,IF($J$1="March",Y412,IF($J$1="April",Y413,IF($J$1="May",Y414,IF($J$1="June",Y415,IF($J$1="July",Y416,IF($J$1="August",Y417,IF($J$1="August",Y417,IF($J$1="September",Y418,IF($J$1="October",Y419,IF($J$1="November",Y420,IF($J$1="December",Y421)))))))))))))</f>
        <v>0</v>
      </c>
      <c r="I418" s="387" t="s">
        <v>63</v>
      </c>
      <c r="J418" s="388"/>
      <c r="K418" s="57">
        <f>K416-K417</f>
        <v>6437.5</v>
      </c>
      <c r="L418" s="58"/>
      <c r="N418" s="71"/>
      <c r="O418" s="72" t="s">
        <v>56</v>
      </c>
      <c r="P418" s="72"/>
      <c r="Q418" s="72"/>
      <c r="R418" s="72" t="str">
        <f t="shared" si="87"/>
        <v/>
      </c>
      <c r="S418" s="63"/>
      <c r="T418" s="72" t="s">
        <v>56</v>
      </c>
      <c r="U418" s="105">
        <f t="shared" si="90"/>
        <v>0</v>
      </c>
      <c r="V418" s="74"/>
      <c r="W418" s="105">
        <f t="shared" si="91"/>
        <v>0</v>
      </c>
      <c r="X418" s="74"/>
      <c r="Y418" s="105">
        <f t="shared" si="92"/>
        <v>0</v>
      </c>
      <c r="Z418" s="76"/>
    </row>
    <row r="419" spans="1:26" s="29" customFormat="1" ht="21" customHeight="1" x14ac:dyDescent="0.2">
      <c r="A419" s="30"/>
      <c r="K419" s="107"/>
      <c r="L419" s="46"/>
      <c r="N419" s="71"/>
      <c r="O419" s="72" t="s">
        <v>52</v>
      </c>
      <c r="P419" s="72"/>
      <c r="Q419" s="72"/>
      <c r="R419" s="72" t="str">
        <f t="shared" si="87"/>
        <v/>
      </c>
      <c r="S419" s="63"/>
      <c r="T419" s="72" t="s">
        <v>52</v>
      </c>
      <c r="U419" s="105">
        <f>Y418</f>
        <v>0</v>
      </c>
      <c r="V419" s="74"/>
      <c r="W419" s="105">
        <f t="shared" ref="W419:W421" si="93">IF(U419="","",U419+V419)</f>
        <v>0</v>
      </c>
      <c r="X419" s="74"/>
      <c r="Y419" s="105">
        <f t="shared" ref="Y419:Y421" si="94">IF(W419="","",W419-X419)</f>
        <v>0</v>
      </c>
      <c r="Z419" s="76"/>
    </row>
    <row r="420" spans="1:26" s="29" customFormat="1" ht="21" customHeight="1" x14ac:dyDescent="0.2">
      <c r="A420" s="30"/>
      <c r="B420" s="394" t="s">
        <v>85</v>
      </c>
      <c r="C420" s="394"/>
      <c r="D420" s="394"/>
      <c r="E420" s="394"/>
      <c r="F420" s="394"/>
      <c r="G420" s="394"/>
      <c r="H420" s="394"/>
      <c r="I420" s="394"/>
      <c r="J420" s="394"/>
      <c r="K420" s="394"/>
      <c r="L420" s="46"/>
      <c r="N420" s="71"/>
      <c r="O420" s="72" t="s">
        <v>57</v>
      </c>
      <c r="P420" s="72"/>
      <c r="Q420" s="72"/>
      <c r="R420" s="72" t="str">
        <f t="shared" si="87"/>
        <v/>
      </c>
      <c r="S420" s="63"/>
      <c r="T420" s="72" t="s">
        <v>57</v>
      </c>
      <c r="U420" s="105"/>
      <c r="V420" s="74"/>
      <c r="W420" s="105" t="str">
        <f t="shared" si="93"/>
        <v/>
      </c>
      <c r="X420" s="74"/>
      <c r="Y420" s="105" t="str">
        <f t="shared" si="94"/>
        <v/>
      </c>
      <c r="Z420" s="76"/>
    </row>
    <row r="421" spans="1:26" s="29" customFormat="1" ht="21" customHeight="1" x14ac:dyDescent="0.2">
      <c r="A421" s="30"/>
      <c r="B421" s="394"/>
      <c r="C421" s="394"/>
      <c r="D421" s="394"/>
      <c r="E421" s="394"/>
      <c r="F421" s="394"/>
      <c r="G421" s="394"/>
      <c r="H421" s="394"/>
      <c r="I421" s="394"/>
      <c r="J421" s="394"/>
      <c r="K421" s="394"/>
      <c r="L421" s="46"/>
      <c r="N421" s="71"/>
      <c r="O421" s="72" t="s">
        <v>58</v>
      </c>
      <c r="P421" s="72"/>
      <c r="Q421" s="72"/>
      <c r="R421" s="72" t="str">
        <f t="shared" si="87"/>
        <v/>
      </c>
      <c r="S421" s="63"/>
      <c r="T421" s="72" t="s">
        <v>58</v>
      </c>
      <c r="U421" s="105"/>
      <c r="V421" s="74"/>
      <c r="W421" s="105" t="str">
        <f t="shared" si="93"/>
        <v/>
      </c>
      <c r="X421" s="74"/>
      <c r="Y421" s="105" t="str">
        <f t="shared" si="94"/>
        <v/>
      </c>
      <c r="Z421" s="76"/>
    </row>
    <row r="422" spans="1:26" s="29" customFormat="1" ht="21" customHeight="1" thickBot="1" x14ac:dyDescent="0.25">
      <c r="A422" s="59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1"/>
      <c r="N422" s="77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9"/>
    </row>
    <row r="423" spans="1:26" s="29" customFormat="1" ht="21" customHeight="1" thickBot="1" x14ac:dyDescent="0.25"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spans="1:26" s="29" customFormat="1" ht="21" customHeight="1" x14ac:dyDescent="0.2">
      <c r="A424" s="406" t="s">
        <v>40</v>
      </c>
      <c r="B424" s="407"/>
      <c r="C424" s="407"/>
      <c r="D424" s="407"/>
      <c r="E424" s="407"/>
      <c r="F424" s="407"/>
      <c r="G424" s="407"/>
      <c r="H424" s="407"/>
      <c r="I424" s="407"/>
      <c r="J424" s="407"/>
      <c r="K424" s="407"/>
      <c r="L424" s="408"/>
      <c r="M424" s="28"/>
      <c r="N424" s="64"/>
      <c r="O424" s="403" t="s">
        <v>42</v>
      </c>
      <c r="P424" s="404"/>
      <c r="Q424" s="404"/>
      <c r="R424" s="405"/>
      <c r="S424" s="65"/>
      <c r="T424" s="403" t="s">
        <v>43</v>
      </c>
      <c r="U424" s="404"/>
      <c r="V424" s="404"/>
      <c r="W424" s="404"/>
      <c r="X424" s="404"/>
      <c r="Y424" s="405"/>
      <c r="Z424" s="66"/>
    </row>
    <row r="425" spans="1:26" s="29" customFormat="1" ht="21" customHeight="1" x14ac:dyDescent="0.2">
      <c r="A425" s="30"/>
      <c r="C425" s="402" t="s">
        <v>83</v>
      </c>
      <c r="D425" s="402"/>
      <c r="E425" s="402"/>
      <c r="F425" s="402"/>
      <c r="G425" s="31" t="str">
        <f>$J$1</f>
        <v>June</v>
      </c>
      <c r="H425" s="409">
        <f>$K$1</f>
        <v>2023</v>
      </c>
      <c r="I425" s="409"/>
      <c r="K425" s="32"/>
      <c r="L425" s="33"/>
      <c r="M425" s="32"/>
      <c r="N425" s="67"/>
      <c r="O425" s="68" t="s">
        <v>53</v>
      </c>
      <c r="P425" s="68" t="s">
        <v>7</v>
      </c>
      <c r="Q425" s="68" t="s">
        <v>6</v>
      </c>
      <c r="R425" s="68" t="s">
        <v>54</v>
      </c>
      <c r="S425" s="69"/>
      <c r="T425" s="68" t="s">
        <v>53</v>
      </c>
      <c r="U425" s="68" t="s">
        <v>55</v>
      </c>
      <c r="V425" s="68" t="s">
        <v>20</v>
      </c>
      <c r="W425" s="68" t="s">
        <v>19</v>
      </c>
      <c r="X425" s="68" t="s">
        <v>21</v>
      </c>
      <c r="Y425" s="68" t="s">
        <v>59</v>
      </c>
      <c r="Z425" s="70"/>
    </row>
    <row r="426" spans="1:26" s="29" customFormat="1" ht="21" customHeight="1" x14ac:dyDescent="0.2">
      <c r="A426" s="30"/>
      <c r="D426" s="35"/>
      <c r="E426" s="35"/>
      <c r="F426" s="35"/>
      <c r="G426" s="35"/>
      <c r="H426" s="35"/>
      <c r="J426" s="36" t="s">
        <v>1</v>
      </c>
      <c r="K426" s="37">
        <v>28000</v>
      </c>
      <c r="L426" s="38"/>
      <c r="N426" s="71"/>
      <c r="O426" s="72" t="s">
        <v>45</v>
      </c>
      <c r="P426" s="72">
        <v>31</v>
      </c>
      <c r="Q426" s="72">
        <v>0</v>
      </c>
      <c r="R426" s="72">
        <v>0</v>
      </c>
      <c r="S426" s="73"/>
      <c r="T426" s="72" t="s">
        <v>45</v>
      </c>
      <c r="U426" s="74"/>
      <c r="V426" s="74"/>
      <c r="W426" s="74">
        <f>V426+U426</f>
        <v>0</v>
      </c>
      <c r="X426" s="74"/>
      <c r="Y426" s="74">
        <f>W426-X426</f>
        <v>0</v>
      </c>
      <c r="Z426" s="70"/>
    </row>
    <row r="427" spans="1:26" s="29" customFormat="1" ht="21" customHeight="1" x14ac:dyDescent="0.2">
      <c r="A427" s="30"/>
      <c r="B427" s="29" t="s">
        <v>0</v>
      </c>
      <c r="C427" s="40" t="s">
        <v>182</v>
      </c>
      <c r="H427" s="41"/>
      <c r="I427" s="35"/>
      <c r="L427" s="42"/>
      <c r="M427" s="28"/>
      <c r="N427" s="75"/>
      <c r="O427" s="72" t="s">
        <v>71</v>
      </c>
      <c r="P427" s="72">
        <v>28</v>
      </c>
      <c r="Q427" s="72">
        <v>0</v>
      </c>
      <c r="R427" s="72">
        <v>0</v>
      </c>
      <c r="S427" s="63"/>
      <c r="T427" s="72" t="s">
        <v>71</v>
      </c>
      <c r="U427" s="105">
        <f>IF($J$1="January","",Y426)</f>
        <v>0</v>
      </c>
      <c r="V427" s="74"/>
      <c r="W427" s="105">
        <f>IF(U427="","",U427+V427)</f>
        <v>0</v>
      </c>
      <c r="X427" s="74"/>
      <c r="Y427" s="105">
        <f>IF(W427="","",W427-X427)</f>
        <v>0</v>
      </c>
      <c r="Z427" s="76"/>
    </row>
    <row r="428" spans="1:26" s="29" customFormat="1" ht="21" customHeight="1" x14ac:dyDescent="0.2">
      <c r="A428" s="30"/>
      <c r="B428" s="44" t="s">
        <v>41</v>
      </c>
      <c r="C428" s="40"/>
      <c r="F428" s="391" t="s">
        <v>43</v>
      </c>
      <c r="G428" s="391"/>
      <c r="I428" s="391" t="s">
        <v>44</v>
      </c>
      <c r="J428" s="391"/>
      <c r="K428" s="391"/>
      <c r="L428" s="46"/>
      <c r="N428" s="71"/>
      <c r="O428" s="72" t="s">
        <v>46</v>
      </c>
      <c r="P428" s="72">
        <v>31</v>
      </c>
      <c r="Q428" s="72">
        <v>0</v>
      </c>
      <c r="R428" s="72">
        <v>0</v>
      </c>
      <c r="S428" s="63"/>
      <c r="T428" s="72" t="s">
        <v>46</v>
      </c>
      <c r="U428" s="105">
        <f>IF($J$1="February","",Y427)</f>
        <v>0</v>
      </c>
      <c r="V428" s="74"/>
      <c r="W428" s="105">
        <f t="shared" ref="W428:W431" si="95">IF(U428="","",U428+V428)</f>
        <v>0</v>
      </c>
      <c r="X428" s="74"/>
      <c r="Y428" s="105">
        <f t="shared" ref="Y428:Y431" si="96">IF(W428="","",W428-X428)</f>
        <v>0</v>
      </c>
      <c r="Z428" s="76"/>
    </row>
    <row r="429" spans="1:26" s="29" customFormat="1" ht="21" customHeight="1" x14ac:dyDescent="0.2">
      <c r="A429" s="30"/>
      <c r="H429" s="47"/>
      <c r="L429" s="34"/>
      <c r="N429" s="71"/>
      <c r="O429" s="72" t="s">
        <v>47</v>
      </c>
      <c r="P429" s="72">
        <v>30</v>
      </c>
      <c r="Q429" s="72">
        <v>0</v>
      </c>
      <c r="R429" s="72">
        <v>0</v>
      </c>
      <c r="S429" s="63"/>
      <c r="T429" s="72" t="s">
        <v>47</v>
      </c>
      <c r="U429" s="105">
        <f>IF($J$1="March","",Y428)</f>
        <v>0</v>
      </c>
      <c r="V429" s="74"/>
      <c r="W429" s="105">
        <f t="shared" si="95"/>
        <v>0</v>
      </c>
      <c r="X429" s="74"/>
      <c r="Y429" s="105">
        <f t="shared" si="96"/>
        <v>0</v>
      </c>
      <c r="Z429" s="76"/>
    </row>
    <row r="430" spans="1:26" s="29" customFormat="1" ht="21" customHeight="1" x14ac:dyDescent="0.2">
      <c r="A430" s="30"/>
      <c r="B430" s="389" t="s">
        <v>42</v>
      </c>
      <c r="C430" s="390"/>
      <c r="F430" s="48" t="s">
        <v>64</v>
      </c>
      <c r="G430" s="43">
        <f>IF($J$1="January",U426,IF($J$1="February",U427,IF($J$1="March",U428,IF($J$1="April",U429,IF($J$1="May",U430,IF($J$1="June",U431,IF($J$1="July",U432,IF($J$1="August",U433,IF($J$1="August",U433,IF($J$1="September",U434,IF($J$1="October",U435,IF($J$1="November",U436,IF($J$1="December",U437)))))))))))))</f>
        <v>0</v>
      </c>
      <c r="H430" s="47"/>
      <c r="I430" s="49">
        <f>IF(C434&gt;0,$K$2,C432)</f>
        <v>30</v>
      </c>
      <c r="J430" s="50" t="s">
        <v>61</v>
      </c>
      <c r="K430" s="51">
        <f>K426/$K$2*I430</f>
        <v>28000</v>
      </c>
      <c r="L430" s="52"/>
      <c r="N430" s="71"/>
      <c r="O430" s="72" t="s">
        <v>48</v>
      </c>
      <c r="P430" s="72">
        <v>31</v>
      </c>
      <c r="Q430" s="72">
        <v>0</v>
      </c>
      <c r="R430" s="72">
        <v>0</v>
      </c>
      <c r="S430" s="63"/>
      <c r="T430" s="72" t="s">
        <v>48</v>
      </c>
      <c r="U430" s="105">
        <f>IF($J$1="April","",Y429)</f>
        <v>0</v>
      </c>
      <c r="V430" s="74"/>
      <c r="W430" s="105">
        <f t="shared" si="95"/>
        <v>0</v>
      </c>
      <c r="X430" s="74"/>
      <c r="Y430" s="105">
        <f t="shared" si="96"/>
        <v>0</v>
      </c>
      <c r="Z430" s="76"/>
    </row>
    <row r="431" spans="1:26" s="29" customFormat="1" ht="21" customHeight="1" x14ac:dyDescent="0.2">
      <c r="A431" s="30"/>
      <c r="B431" s="39"/>
      <c r="C431" s="39"/>
      <c r="F431" s="48" t="s">
        <v>20</v>
      </c>
      <c r="G431" s="43">
        <f>IF($J$1="January",V426,IF($J$1="February",V427,IF($J$1="March",V428,IF($J$1="April",V429,IF($J$1="May",V430,IF($J$1="June",V431,IF($J$1="July",V432,IF($J$1="August",V433,IF($J$1="August",V433,IF($J$1="September",V434,IF($J$1="October",V435,IF($J$1="November",V436,IF($J$1="December",V437)))))))))))))</f>
        <v>15000</v>
      </c>
      <c r="H431" s="47"/>
      <c r="I431" s="84"/>
      <c r="J431" s="50" t="s">
        <v>62</v>
      </c>
      <c r="K431" s="53">
        <f>K426/$K$2/8*I431</f>
        <v>0</v>
      </c>
      <c r="L431" s="54"/>
      <c r="N431" s="71"/>
      <c r="O431" s="72" t="s">
        <v>49</v>
      </c>
      <c r="P431" s="72">
        <v>30</v>
      </c>
      <c r="Q431" s="72">
        <v>0</v>
      </c>
      <c r="R431" s="72">
        <v>0</v>
      </c>
      <c r="S431" s="63"/>
      <c r="T431" s="72" t="s">
        <v>49</v>
      </c>
      <c r="U431" s="105">
        <f>Y430</f>
        <v>0</v>
      </c>
      <c r="V431" s="74">
        <v>15000</v>
      </c>
      <c r="W431" s="105">
        <f t="shared" si="95"/>
        <v>15000</v>
      </c>
      <c r="X431" s="74">
        <v>15000</v>
      </c>
      <c r="Y431" s="105">
        <f t="shared" si="96"/>
        <v>0</v>
      </c>
      <c r="Z431" s="76"/>
    </row>
    <row r="432" spans="1:26" s="29" customFormat="1" ht="21" customHeight="1" x14ac:dyDescent="0.2">
      <c r="A432" s="30"/>
      <c r="B432" s="48" t="s">
        <v>7</v>
      </c>
      <c r="C432" s="39">
        <f>IF($J$1="January",P426,IF($J$1="February",P427,IF($J$1="March",P428,IF($J$1="April",P429,IF($J$1="May",P430,IF($J$1="June",P431,IF($J$1="July",P432,IF($J$1="August",P433,IF($J$1="August",P433,IF($J$1="September",P434,IF($J$1="October",P435,IF($J$1="November",P436,IF($J$1="December",P437)))))))))))))</f>
        <v>30</v>
      </c>
      <c r="F432" s="48" t="s">
        <v>65</v>
      </c>
      <c r="G432" s="43">
        <f>IF($J$1="January",W426,IF($J$1="February",W427,IF($J$1="March",W428,IF($J$1="April",W429,IF($J$1="May",W430,IF($J$1="June",W431,IF($J$1="July",W432,IF($J$1="August",W433,IF($J$1="August",W433,IF($J$1="September",W434,IF($J$1="October",W435,IF($J$1="November",W436,IF($J$1="December",W437)))))))))))))</f>
        <v>15000</v>
      </c>
      <c r="H432" s="47"/>
      <c r="I432" s="392" t="s">
        <v>69</v>
      </c>
      <c r="J432" s="393"/>
      <c r="K432" s="53">
        <f>K430+K431</f>
        <v>28000</v>
      </c>
      <c r="L432" s="54"/>
      <c r="N432" s="71"/>
      <c r="O432" s="72" t="s">
        <v>50</v>
      </c>
      <c r="P432" s="72"/>
      <c r="Q432" s="72"/>
      <c r="R432" s="72">
        <v>0</v>
      </c>
      <c r="S432" s="63"/>
      <c r="T432" s="72" t="s">
        <v>50</v>
      </c>
      <c r="U432" s="105"/>
      <c r="V432" s="74"/>
      <c r="W432" s="105" t="str">
        <f t="shared" ref="W432:W437" si="97">IF(U432="","",U432+V432)</f>
        <v/>
      </c>
      <c r="X432" s="74"/>
      <c r="Y432" s="105" t="str">
        <f t="shared" ref="Y432:Y437" si="98">IF(W432="","",W432-X432)</f>
        <v/>
      </c>
      <c r="Z432" s="76"/>
    </row>
    <row r="433" spans="1:27" s="29" customFormat="1" ht="21" customHeight="1" x14ac:dyDescent="0.2">
      <c r="A433" s="30"/>
      <c r="B433" s="48" t="s">
        <v>6</v>
      </c>
      <c r="C433" s="39">
        <f>IF($J$1="January",Q426,IF($J$1="February",Q427,IF($J$1="March",Q428,IF($J$1="April",Q429,IF($J$1="May",Q430,IF($J$1="June",Q431,IF($J$1="July",Q432,IF($J$1="August",Q433,IF($J$1="August",Q433,IF($J$1="September",Q434,IF($J$1="October",Q435,IF($J$1="November",Q436,IF($J$1="December",Q437)))))))))))))</f>
        <v>0</v>
      </c>
      <c r="F433" s="48" t="s">
        <v>21</v>
      </c>
      <c r="G433" s="43">
        <f>IF($J$1="January",X426,IF($J$1="February",X427,IF($J$1="March",X428,IF($J$1="April",X429,IF($J$1="May",X430,IF($J$1="June",X431,IF($J$1="July",X432,IF($J$1="August",X433,IF($J$1="August",X433,IF($J$1="September",X434,IF($J$1="October",X435,IF($J$1="November",X436,IF($J$1="December",X437)))))))))))))</f>
        <v>15000</v>
      </c>
      <c r="H433" s="47"/>
      <c r="I433" s="392" t="s">
        <v>70</v>
      </c>
      <c r="J433" s="393"/>
      <c r="K433" s="43">
        <f>G433</f>
        <v>15000</v>
      </c>
      <c r="L433" s="55"/>
      <c r="N433" s="71"/>
      <c r="O433" s="72" t="s">
        <v>51</v>
      </c>
      <c r="P433" s="72"/>
      <c r="Q433" s="72"/>
      <c r="R433" s="72">
        <v>0</v>
      </c>
      <c r="S433" s="63"/>
      <c r="T433" s="72" t="s">
        <v>51</v>
      </c>
      <c r="U433" s="105"/>
      <c r="V433" s="74"/>
      <c r="W433" s="105" t="str">
        <f t="shared" si="97"/>
        <v/>
      </c>
      <c r="X433" s="74"/>
      <c r="Y433" s="105" t="str">
        <f t="shared" si="98"/>
        <v/>
      </c>
      <c r="Z433" s="76"/>
    </row>
    <row r="434" spans="1:27" s="29" customFormat="1" ht="21" customHeight="1" x14ac:dyDescent="0.2">
      <c r="A434" s="30"/>
      <c r="B434" s="56" t="s">
        <v>68</v>
      </c>
      <c r="C434" s="39">
        <f>IF($J$1="January",R426,IF($J$1="February",R427,IF($J$1="March",R428,IF($J$1="April",R429,IF($J$1="May",R430,IF($J$1="June",R431,IF($J$1="July",R432,IF($J$1="August",R433,IF($J$1="August",R433,IF($J$1="September",R434,IF($J$1="October",R435,IF($J$1="November",R436,IF($J$1="December",R437)))))))))))))</f>
        <v>0</v>
      </c>
      <c r="F434" s="48" t="s">
        <v>137</v>
      </c>
      <c r="G434" s="43">
        <f>IF($J$1="January",Y426,IF($J$1="February",Y427,IF($J$1="March",Y428,IF($J$1="April",Y429,IF($J$1="May",Y430,IF($J$1="June",Y431,IF($J$1="July",Y432,IF($J$1="August",Y433,IF($J$1="August",Y433,IF($J$1="September",Y434,IF($J$1="October",Y435,IF($J$1="November",Y436,IF($J$1="December",Y437)))))))))))))</f>
        <v>0</v>
      </c>
      <c r="I434" s="387" t="s">
        <v>63</v>
      </c>
      <c r="J434" s="388"/>
      <c r="K434" s="57">
        <f>K432-K433</f>
        <v>13000</v>
      </c>
      <c r="L434" s="58"/>
      <c r="N434" s="71"/>
      <c r="O434" s="72" t="s">
        <v>56</v>
      </c>
      <c r="P434" s="72"/>
      <c r="Q434" s="72"/>
      <c r="R434" s="72">
        <v>0</v>
      </c>
      <c r="S434" s="63"/>
      <c r="T434" s="72" t="s">
        <v>56</v>
      </c>
      <c r="U434" s="105"/>
      <c r="V434" s="74"/>
      <c r="W434" s="105" t="str">
        <f t="shared" si="97"/>
        <v/>
      </c>
      <c r="X434" s="74"/>
      <c r="Y434" s="105" t="str">
        <f t="shared" si="98"/>
        <v/>
      </c>
      <c r="Z434" s="76"/>
    </row>
    <row r="435" spans="1:27" s="29" customFormat="1" ht="21" customHeight="1" x14ac:dyDescent="0.2">
      <c r="A435" s="30"/>
      <c r="L435" s="46"/>
      <c r="N435" s="71"/>
      <c r="O435" s="72" t="s">
        <v>52</v>
      </c>
      <c r="P435" s="72"/>
      <c r="Q435" s="72"/>
      <c r="R435" s="72" t="str">
        <f>IF(Q435="","",R434-Q435)</f>
        <v/>
      </c>
      <c r="S435" s="63"/>
      <c r="T435" s="72" t="s">
        <v>52</v>
      </c>
      <c r="U435" s="105"/>
      <c r="V435" s="74"/>
      <c r="W435" s="105" t="str">
        <f t="shared" si="97"/>
        <v/>
      </c>
      <c r="X435" s="74"/>
      <c r="Y435" s="105" t="str">
        <f t="shared" si="98"/>
        <v/>
      </c>
      <c r="Z435" s="76"/>
    </row>
    <row r="436" spans="1:27" s="29" customFormat="1" ht="21" customHeight="1" x14ac:dyDescent="0.2">
      <c r="A436" s="30"/>
      <c r="B436" s="394" t="s">
        <v>85</v>
      </c>
      <c r="C436" s="394"/>
      <c r="D436" s="394"/>
      <c r="E436" s="394"/>
      <c r="F436" s="394"/>
      <c r="G436" s="394"/>
      <c r="H436" s="394"/>
      <c r="I436" s="394"/>
      <c r="J436" s="394"/>
      <c r="K436" s="394"/>
      <c r="L436" s="46"/>
      <c r="N436" s="71"/>
      <c r="O436" s="72" t="s">
        <v>57</v>
      </c>
      <c r="P436" s="72"/>
      <c r="Q436" s="72"/>
      <c r="R436" s="72">
        <v>0</v>
      </c>
      <c r="S436" s="63"/>
      <c r="T436" s="72" t="s">
        <v>57</v>
      </c>
      <c r="U436" s="105"/>
      <c r="V436" s="74"/>
      <c r="W436" s="105" t="str">
        <f t="shared" si="97"/>
        <v/>
      </c>
      <c r="X436" s="74"/>
      <c r="Y436" s="105" t="str">
        <f t="shared" si="98"/>
        <v/>
      </c>
      <c r="Z436" s="76"/>
    </row>
    <row r="437" spans="1:27" s="29" customFormat="1" ht="21" customHeight="1" x14ac:dyDescent="0.2">
      <c r="A437" s="30"/>
      <c r="B437" s="394"/>
      <c r="C437" s="394"/>
      <c r="D437" s="394"/>
      <c r="E437" s="394"/>
      <c r="F437" s="394"/>
      <c r="G437" s="394"/>
      <c r="H437" s="394"/>
      <c r="I437" s="394"/>
      <c r="J437" s="394"/>
      <c r="K437" s="394"/>
      <c r="L437" s="46"/>
      <c r="N437" s="71"/>
      <c r="O437" s="72" t="s">
        <v>58</v>
      </c>
      <c r="P437" s="72"/>
      <c r="Q437" s="72"/>
      <c r="R437" s="72" t="str">
        <f>IF(Q437="","",R436-Q437)</f>
        <v/>
      </c>
      <c r="S437" s="63"/>
      <c r="T437" s="72" t="s">
        <v>58</v>
      </c>
      <c r="U437" s="105" t="str">
        <f>IF($J$1="Dec",Y436,"")</f>
        <v/>
      </c>
      <c r="V437" s="74"/>
      <c r="W437" s="105" t="str">
        <f t="shared" si="97"/>
        <v/>
      </c>
      <c r="X437" s="74"/>
      <c r="Y437" s="105" t="str">
        <f t="shared" si="98"/>
        <v/>
      </c>
      <c r="Z437" s="76"/>
    </row>
    <row r="438" spans="1:27" s="29" customFormat="1" ht="22.15" customHeight="1" thickBot="1" x14ac:dyDescent="0.25">
      <c r="A438" s="59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1"/>
      <c r="N438" s="77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9"/>
    </row>
    <row r="439" spans="1:27" s="29" customFormat="1" ht="21" customHeight="1" thickBot="1" x14ac:dyDescent="0.25"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spans="1:27" s="29" customFormat="1" ht="21" customHeight="1" x14ac:dyDescent="0.2">
      <c r="A440" s="433" t="s">
        <v>40</v>
      </c>
      <c r="B440" s="434"/>
      <c r="C440" s="434"/>
      <c r="D440" s="434"/>
      <c r="E440" s="434"/>
      <c r="F440" s="434"/>
      <c r="G440" s="434"/>
      <c r="H440" s="434"/>
      <c r="I440" s="434"/>
      <c r="J440" s="434"/>
      <c r="K440" s="434"/>
      <c r="L440" s="435"/>
      <c r="M440" s="28"/>
      <c r="N440" s="64"/>
      <c r="O440" s="403" t="s">
        <v>42</v>
      </c>
      <c r="P440" s="404"/>
      <c r="Q440" s="404"/>
      <c r="R440" s="405"/>
      <c r="S440" s="65"/>
      <c r="T440" s="403" t="s">
        <v>43</v>
      </c>
      <c r="U440" s="404"/>
      <c r="V440" s="404"/>
      <c r="W440" s="404"/>
      <c r="X440" s="404"/>
      <c r="Y440" s="405"/>
      <c r="Z440" s="66"/>
      <c r="AA440" s="28"/>
    </row>
    <row r="441" spans="1:27" s="29" customFormat="1" ht="21" customHeight="1" x14ac:dyDescent="0.2">
      <c r="A441" s="30"/>
      <c r="C441" s="402" t="s">
        <v>83</v>
      </c>
      <c r="D441" s="402"/>
      <c r="E441" s="402"/>
      <c r="F441" s="402"/>
      <c r="G441" s="31" t="str">
        <f>$J$1</f>
        <v>June</v>
      </c>
      <c r="H441" s="409">
        <f>$K$1</f>
        <v>2023</v>
      </c>
      <c r="I441" s="409"/>
      <c r="K441" s="32"/>
      <c r="L441" s="33"/>
      <c r="M441" s="32"/>
      <c r="N441" s="67"/>
      <c r="O441" s="68" t="s">
        <v>53</v>
      </c>
      <c r="P441" s="68" t="s">
        <v>7</v>
      </c>
      <c r="Q441" s="68" t="s">
        <v>6</v>
      </c>
      <c r="R441" s="68" t="s">
        <v>54</v>
      </c>
      <c r="S441" s="69"/>
      <c r="T441" s="68" t="s">
        <v>53</v>
      </c>
      <c r="U441" s="68" t="s">
        <v>55</v>
      </c>
      <c r="V441" s="68" t="s">
        <v>20</v>
      </c>
      <c r="W441" s="68" t="s">
        <v>19</v>
      </c>
      <c r="X441" s="68" t="s">
        <v>21</v>
      </c>
      <c r="Y441" s="68" t="s">
        <v>59</v>
      </c>
      <c r="Z441" s="70"/>
      <c r="AA441" s="32"/>
    </row>
    <row r="442" spans="1:27" s="29" customFormat="1" ht="21" customHeight="1" x14ac:dyDescent="0.2">
      <c r="A442" s="30"/>
      <c r="D442" s="35"/>
      <c r="E442" s="35"/>
      <c r="F442" s="35"/>
      <c r="G442" s="35"/>
      <c r="H442" s="35"/>
      <c r="J442" s="36" t="s">
        <v>1</v>
      </c>
      <c r="K442" s="37">
        <v>20000</v>
      </c>
      <c r="L442" s="38"/>
      <c r="N442" s="71"/>
      <c r="O442" s="72" t="s">
        <v>45</v>
      </c>
      <c r="P442" s="72">
        <v>31</v>
      </c>
      <c r="Q442" s="72">
        <v>0</v>
      </c>
      <c r="R442" s="72">
        <f>15-Q442</f>
        <v>15</v>
      </c>
      <c r="S442" s="73"/>
      <c r="T442" s="72" t="s">
        <v>45</v>
      </c>
      <c r="U442" s="74">
        <v>14000</v>
      </c>
      <c r="V442" s="74"/>
      <c r="W442" s="74">
        <f>V442+U442</f>
        <v>14000</v>
      </c>
      <c r="X442" s="74">
        <v>2000</v>
      </c>
      <c r="Y442" s="74">
        <f>W442-X442</f>
        <v>12000</v>
      </c>
      <c r="Z442" s="70"/>
    </row>
    <row r="443" spans="1:27" s="29" customFormat="1" ht="21" customHeight="1" x14ac:dyDescent="0.2">
      <c r="A443" s="30"/>
      <c r="B443" s="29" t="s">
        <v>0</v>
      </c>
      <c r="C443" s="40" t="s">
        <v>76</v>
      </c>
      <c r="H443" s="41"/>
      <c r="I443" s="35"/>
      <c r="L443" s="42"/>
      <c r="M443" s="28"/>
      <c r="N443" s="75"/>
      <c r="O443" s="72" t="s">
        <v>71</v>
      </c>
      <c r="P443" s="72">
        <v>28</v>
      </c>
      <c r="Q443" s="72">
        <v>0</v>
      </c>
      <c r="R443" s="72">
        <f t="shared" ref="R443:R453" si="99">IF(Q443="","",R442-Q443)</f>
        <v>15</v>
      </c>
      <c r="S443" s="63"/>
      <c r="T443" s="72" t="s">
        <v>71</v>
      </c>
      <c r="U443" s="105">
        <f>IF($J$1="January","",Y442)</f>
        <v>12000</v>
      </c>
      <c r="V443" s="74"/>
      <c r="W443" s="105">
        <f>IF(U443="","",U443+V443)</f>
        <v>12000</v>
      </c>
      <c r="X443" s="74">
        <v>2000</v>
      </c>
      <c r="Y443" s="74">
        <f>W443-X443</f>
        <v>10000</v>
      </c>
      <c r="Z443" s="76"/>
      <c r="AA443" s="28"/>
    </row>
    <row r="444" spans="1:27" s="29" customFormat="1" ht="21" customHeight="1" x14ac:dyDescent="0.2">
      <c r="A444" s="30"/>
      <c r="B444" s="44" t="s">
        <v>41</v>
      </c>
      <c r="C444" s="45"/>
      <c r="F444" s="391" t="s">
        <v>43</v>
      </c>
      <c r="G444" s="391"/>
      <c r="I444" s="391" t="s">
        <v>44</v>
      </c>
      <c r="J444" s="391"/>
      <c r="K444" s="391"/>
      <c r="L444" s="46"/>
      <c r="N444" s="71"/>
      <c r="O444" s="72" t="s">
        <v>46</v>
      </c>
      <c r="P444" s="72">
        <v>29</v>
      </c>
      <c r="Q444" s="72">
        <v>2</v>
      </c>
      <c r="R444" s="72">
        <f t="shared" si="99"/>
        <v>13</v>
      </c>
      <c r="S444" s="63"/>
      <c r="T444" s="72" t="s">
        <v>46</v>
      </c>
      <c r="U444" s="105">
        <f>Y443</f>
        <v>10000</v>
      </c>
      <c r="V444" s="74"/>
      <c r="W444" s="105">
        <f t="shared" ref="W444:W453" si="100">IF(U444="","",U444+V444)</f>
        <v>10000</v>
      </c>
      <c r="X444" s="74">
        <v>2000</v>
      </c>
      <c r="Y444" s="105">
        <f t="shared" ref="Y444:Y453" si="101">IF(W444="","",W444-X444)</f>
        <v>8000</v>
      </c>
      <c r="Z444" s="76"/>
    </row>
    <row r="445" spans="1:27" s="29" customFormat="1" ht="21" customHeight="1" x14ac:dyDescent="0.2">
      <c r="A445" s="30"/>
      <c r="H445" s="47"/>
      <c r="L445" s="34"/>
      <c r="N445" s="71"/>
      <c r="O445" s="72" t="s">
        <v>47</v>
      </c>
      <c r="P445" s="72">
        <v>30</v>
      </c>
      <c r="Q445" s="72">
        <v>0</v>
      </c>
      <c r="R445" s="72">
        <f t="shared" si="99"/>
        <v>13</v>
      </c>
      <c r="S445" s="63"/>
      <c r="T445" s="72" t="s">
        <v>47</v>
      </c>
      <c r="U445" s="105">
        <f>IF($J$1="March","",Y444)</f>
        <v>8000</v>
      </c>
      <c r="V445" s="74"/>
      <c r="W445" s="105">
        <f t="shared" si="100"/>
        <v>8000</v>
      </c>
      <c r="X445" s="74">
        <v>2000</v>
      </c>
      <c r="Y445" s="105">
        <f t="shared" si="101"/>
        <v>6000</v>
      </c>
      <c r="Z445" s="76"/>
    </row>
    <row r="446" spans="1:27" s="29" customFormat="1" ht="21" customHeight="1" x14ac:dyDescent="0.2">
      <c r="A446" s="30"/>
      <c r="B446" s="389" t="s">
        <v>42</v>
      </c>
      <c r="C446" s="390"/>
      <c r="F446" s="48" t="s">
        <v>64</v>
      </c>
      <c r="G446" s="109">
        <f>IF($J$1="January",U442,IF($J$1="February",U443,IF($J$1="March",U444,IF($J$1="April",U445,IF($J$1="May",U446,IF($J$1="June",U447,IF($J$1="July",U448,IF($J$1="August",U449,IF($J$1="August",U449,IF($J$1="September",U450,IF($J$1="October",U451,IF($J$1="November",U452,IF($J$1="December",U453)))))))))))))</f>
        <v>19000</v>
      </c>
      <c r="H446" s="47"/>
      <c r="I446" s="49">
        <f>IF(C450&gt;0,$K$2,C448)</f>
        <v>30</v>
      </c>
      <c r="J446" s="50" t="s">
        <v>61</v>
      </c>
      <c r="K446" s="51">
        <f>K442/$K$2*I446</f>
        <v>20000</v>
      </c>
      <c r="L446" s="52"/>
      <c r="N446" s="71"/>
      <c r="O446" s="72" t="s">
        <v>48</v>
      </c>
      <c r="P446" s="72">
        <v>30</v>
      </c>
      <c r="Q446" s="72">
        <v>1</v>
      </c>
      <c r="R446" s="72">
        <f t="shared" si="99"/>
        <v>12</v>
      </c>
      <c r="S446" s="63"/>
      <c r="T446" s="72" t="s">
        <v>48</v>
      </c>
      <c r="U446" s="105">
        <f>Y445</f>
        <v>6000</v>
      </c>
      <c r="V446" s="74">
        <v>15000</v>
      </c>
      <c r="W446" s="105">
        <f t="shared" si="100"/>
        <v>21000</v>
      </c>
      <c r="X446" s="74">
        <v>2000</v>
      </c>
      <c r="Y446" s="105">
        <f t="shared" si="101"/>
        <v>19000</v>
      </c>
      <c r="Z446" s="76"/>
    </row>
    <row r="447" spans="1:27" s="29" customFormat="1" ht="21" customHeight="1" x14ac:dyDescent="0.2">
      <c r="A447" s="30"/>
      <c r="B447" s="39"/>
      <c r="C447" s="39"/>
      <c r="F447" s="48" t="s">
        <v>20</v>
      </c>
      <c r="G447" s="109">
        <f>IF($J$1="January",V442,IF($J$1="February",V443,IF($J$1="March",V444,IF($J$1="April",V445,IF($J$1="May",V446,IF($J$1="June",V447,IF($J$1="July",V448,IF($J$1="August",V449,IF($J$1="August",V449,IF($J$1="September",V450,IF($J$1="October",V451,IF($J$1="November",V452,IF($J$1="December",V453)))))))))))))</f>
        <v>15000</v>
      </c>
      <c r="H447" s="47"/>
      <c r="I447" s="84">
        <v>3</v>
      </c>
      <c r="J447" s="50" t="s">
        <v>62</v>
      </c>
      <c r="K447" s="53">
        <f>K442/$K$2/8*I447</f>
        <v>250</v>
      </c>
      <c r="L447" s="54"/>
      <c r="N447" s="71"/>
      <c r="O447" s="72" t="s">
        <v>49</v>
      </c>
      <c r="P447" s="72">
        <v>30</v>
      </c>
      <c r="Q447" s="72">
        <v>0</v>
      </c>
      <c r="R447" s="72">
        <f t="shared" si="99"/>
        <v>12</v>
      </c>
      <c r="S447" s="63"/>
      <c r="T447" s="72" t="s">
        <v>49</v>
      </c>
      <c r="U447" s="105">
        <f>Y446</f>
        <v>19000</v>
      </c>
      <c r="V447" s="74">
        <v>15000</v>
      </c>
      <c r="W447" s="105">
        <f t="shared" si="100"/>
        <v>34000</v>
      </c>
      <c r="X447" s="74">
        <v>17000</v>
      </c>
      <c r="Y447" s="105">
        <f t="shared" si="101"/>
        <v>17000</v>
      </c>
      <c r="Z447" s="76"/>
    </row>
    <row r="448" spans="1:27" s="29" customFormat="1" ht="21" customHeight="1" x14ac:dyDescent="0.2">
      <c r="A448" s="30"/>
      <c r="B448" s="48" t="s">
        <v>7</v>
      </c>
      <c r="C448" s="39">
        <f>IF($J$1="January",P442,IF($J$1="February",P443,IF($J$1="March",P444,IF($J$1="April",P445,IF($J$1="May",P446,IF($J$1="June",P447,IF($J$1="July",P448,IF($J$1="August",P449,IF($J$1="August",P449,IF($J$1="September",P450,IF($J$1="October",P451,IF($J$1="November",P452,IF($J$1="December",P453)))))))))))))</f>
        <v>30</v>
      </c>
      <c r="F448" s="48" t="s">
        <v>65</v>
      </c>
      <c r="G448" s="109">
        <f>IF($J$1="January",W442,IF($J$1="February",W443,IF($J$1="March",W444,IF($J$1="April",W445,IF($J$1="May",W446,IF($J$1="June",W447,IF($J$1="July",W448,IF($J$1="August",W449,IF($J$1="August",W449,IF($J$1="September",W450,IF($J$1="October",W451,IF($J$1="November",W452,IF($J$1="December",W453)))))))))))))</f>
        <v>34000</v>
      </c>
      <c r="H448" s="47"/>
      <c r="I448" s="392" t="s">
        <v>69</v>
      </c>
      <c r="J448" s="393"/>
      <c r="K448" s="53">
        <f>K446+K447</f>
        <v>20250</v>
      </c>
      <c r="L448" s="54"/>
      <c r="N448" s="71"/>
      <c r="O448" s="72" t="s">
        <v>50</v>
      </c>
      <c r="P448" s="72"/>
      <c r="Q448" s="72"/>
      <c r="R448" s="72" t="str">
        <f t="shared" si="99"/>
        <v/>
      </c>
      <c r="S448" s="63"/>
      <c r="T448" s="72" t="s">
        <v>50</v>
      </c>
      <c r="U448" s="105"/>
      <c r="V448" s="74"/>
      <c r="W448" s="105" t="str">
        <f t="shared" si="100"/>
        <v/>
      </c>
      <c r="X448" s="74"/>
      <c r="Y448" s="105" t="str">
        <f t="shared" si="101"/>
        <v/>
      </c>
      <c r="Z448" s="76"/>
    </row>
    <row r="449" spans="1:27" s="29" customFormat="1" ht="21" customHeight="1" x14ac:dyDescent="0.2">
      <c r="A449" s="30"/>
      <c r="B449" s="48" t="s">
        <v>6</v>
      </c>
      <c r="C449" s="39">
        <f>IF($J$1="January",Q442,IF($J$1="February",Q443,IF($J$1="March",Q444,IF($J$1="April",Q445,IF($J$1="May",Q446,IF($J$1="June",Q447,IF($J$1="July",Q448,IF($J$1="August",Q449,IF($J$1="August",Q449,IF($J$1="September",Q450,IF($J$1="October",Q451,IF($J$1="November",Q452,IF($J$1="December",Q453)))))))))))))</f>
        <v>0</v>
      </c>
      <c r="F449" s="48" t="s">
        <v>21</v>
      </c>
      <c r="G449" s="109">
        <f>IF($J$1="January",X442,IF($J$1="February",X443,IF($J$1="March",X444,IF($J$1="April",X445,IF($J$1="May",X446,IF($J$1="June",X447,IF($J$1="July",X448,IF($J$1="August",X449,IF($J$1="August",X449,IF($J$1="September",X450,IF($J$1="October",X451,IF($J$1="November",X452,IF($J$1="December",X453)))))))))))))</f>
        <v>17000</v>
      </c>
      <c r="H449" s="47"/>
      <c r="I449" s="392" t="s">
        <v>70</v>
      </c>
      <c r="J449" s="393"/>
      <c r="K449" s="43">
        <f>G449</f>
        <v>17000</v>
      </c>
      <c r="L449" s="55"/>
      <c r="N449" s="71"/>
      <c r="O449" s="72" t="s">
        <v>51</v>
      </c>
      <c r="P449" s="72"/>
      <c r="Q449" s="72"/>
      <c r="R449" s="72" t="str">
        <f t="shared" si="99"/>
        <v/>
      </c>
      <c r="S449" s="63"/>
      <c r="T449" s="72" t="s">
        <v>51</v>
      </c>
      <c r="U449" s="105"/>
      <c r="V449" s="74"/>
      <c r="W449" s="105" t="str">
        <f t="shared" si="100"/>
        <v/>
      </c>
      <c r="X449" s="74"/>
      <c r="Y449" s="105" t="str">
        <f t="shared" si="101"/>
        <v/>
      </c>
      <c r="Z449" s="76"/>
    </row>
    <row r="450" spans="1:27" s="29" customFormat="1" ht="21" customHeight="1" x14ac:dyDescent="0.2">
      <c r="A450" s="30"/>
      <c r="B450" s="56" t="s">
        <v>68</v>
      </c>
      <c r="C450" s="39">
        <f>IF($J$1="January",R442,IF($J$1="February",R443,IF($J$1="March",R444,IF($J$1="April",R445,IF($J$1="May",R446,IF($J$1="June",R447,IF($J$1="July",R448,IF($J$1="August",R449,IF($J$1="August",R449,IF($J$1="September",R450,IF($J$1="October",R451,IF($J$1="November",R452,IF($J$1="December",R453)))))))))))))</f>
        <v>12</v>
      </c>
      <c r="F450" s="48" t="s">
        <v>67</v>
      </c>
      <c r="G450" s="109">
        <f>IF($J$1="January",Y442,IF($J$1="February",Y443,IF($J$1="March",Y444,IF($J$1="April",Y445,IF($J$1="May",Y446,IF($J$1="June",Y447,IF($J$1="July",Y448,IF($J$1="August",Y449,IF($J$1="August",Y449,IF($J$1="September",Y450,IF($J$1="October",Y451,IF($J$1="November",Y452,IF($J$1="December",Y453)))))))))))))</f>
        <v>17000</v>
      </c>
      <c r="I450" s="387" t="s">
        <v>63</v>
      </c>
      <c r="J450" s="388"/>
      <c r="K450" s="57">
        <f>K448-K449</f>
        <v>3250</v>
      </c>
      <c r="L450" s="58"/>
      <c r="N450" s="71"/>
      <c r="O450" s="72" t="s">
        <v>56</v>
      </c>
      <c r="P450" s="72"/>
      <c r="Q450" s="72"/>
      <c r="R450" s="72" t="str">
        <f t="shared" si="99"/>
        <v/>
      </c>
      <c r="S450" s="63"/>
      <c r="T450" s="72" t="s">
        <v>56</v>
      </c>
      <c r="U450" s="105"/>
      <c r="V450" s="74"/>
      <c r="W450" s="105" t="str">
        <f t="shared" si="100"/>
        <v/>
      </c>
      <c r="X450" s="74"/>
      <c r="Y450" s="105" t="str">
        <f t="shared" si="101"/>
        <v/>
      </c>
      <c r="Z450" s="76"/>
    </row>
    <row r="451" spans="1:27" s="29" customFormat="1" ht="21" customHeight="1" x14ac:dyDescent="0.2">
      <c r="A451" s="30"/>
      <c r="L451" s="46"/>
      <c r="N451" s="71"/>
      <c r="O451" s="72" t="s">
        <v>52</v>
      </c>
      <c r="P451" s="72"/>
      <c r="Q451" s="72"/>
      <c r="R451" s="72" t="str">
        <f t="shared" si="99"/>
        <v/>
      </c>
      <c r="S451" s="63"/>
      <c r="T451" s="72" t="s">
        <v>52</v>
      </c>
      <c r="U451" s="105"/>
      <c r="V451" s="74"/>
      <c r="W451" s="105" t="str">
        <f t="shared" si="100"/>
        <v/>
      </c>
      <c r="X451" s="74"/>
      <c r="Y451" s="105" t="str">
        <f t="shared" si="101"/>
        <v/>
      </c>
      <c r="Z451" s="76"/>
    </row>
    <row r="452" spans="1:27" s="29" customFormat="1" ht="21" customHeight="1" x14ac:dyDescent="0.2">
      <c r="A452" s="30"/>
      <c r="B452" s="394" t="s">
        <v>85</v>
      </c>
      <c r="C452" s="394"/>
      <c r="D452" s="394"/>
      <c r="E452" s="394"/>
      <c r="F452" s="394"/>
      <c r="G452" s="394"/>
      <c r="H452" s="394"/>
      <c r="I452" s="394"/>
      <c r="J452" s="394"/>
      <c r="K452" s="394"/>
      <c r="L452" s="46"/>
      <c r="N452" s="71"/>
      <c r="O452" s="72" t="s">
        <v>57</v>
      </c>
      <c r="P452" s="72"/>
      <c r="Q452" s="72"/>
      <c r="R452" s="72" t="str">
        <f t="shared" si="99"/>
        <v/>
      </c>
      <c r="S452" s="63"/>
      <c r="T452" s="72" t="s">
        <v>57</v>
      </c>
      <c r="U452" s="105"/>
      <c r="V452" s="74"/>
      <c r="W452" s="105" t="str">
        <f t="shared" si="100"/>
        <v/>
      </c>
      <c r="X452" s="74"/>
      <c r="Y452" s="105" t="str">
        <f t="shared" si="101"/>
        <v/>
      </c>
      <c r="Z452" s="76"/>
    </row>
    <row r="453" spans="1:27" s="29" customFormat="1" ht="21" customHeight="1" x14ac:dyDescent="0.2">
      <c r="A453" s="30"/>
      <c r="B453" s="394"/>
      <c r="C453" s="394"/>
      <c r="D453" s="394"/>
      <c r="E453" s="394"/>
      <c r="F453" s="394"/>
      <c r="G453" s="394"/>
      <c r="H453" s="394"/>
      <c r="I453" s="394"/>
      <c r="J453" s="394"/>
      <c r="K453" s="394"/>
      <c r="L453" s="46"/>
      <c r="N453" s="71"/>
      <c r="O453" s="72" t="s">
        <v>58</v>
      </c>
      <c r="P453" s="72"/>
      <c r="Q453" s="72"/>
      <c r="R453" s="72" t="str">
        <f t="shared" si="99"/>
        <v/>
      </c>
      <c r="S453" s="63"/>
      <c r="T453" s="72" t="s">
        <v>58</v>
      </c>
      <c r="U453" s="105"/>
      <c r="V453" s="74"/>
      <c r="W453" s="105" t="str">
        <f t="shared" si="100"/>
        <v/>
      </c>
      <c r="X453" s="74"/>
      <c r="Y453" s="105" t="str">
        <f t="shared" si="101"/>
        <v/>
      </c>
      <c r="Z453" s="76"/>
    </row>
    <row r="454" spans="1:27" s="29" customFormat="1" ht="21" customHeight="1" thickBot="1" x14ac:dyDescent="0.25">
      <c r="A454" s="59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1"/>
      <c r="N454" s="77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9"/>
    </row>
    <row r="455" spans="1:27" s="29" customFormat="1" ht="21" customHeight="1" thickBot="1" x14ac:dyDescent="0.25"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spans="1:27" s="29" customFormat="1" ht="21.4" customHeight="1" x14ac:dyDescent="0.2">
      <c r="A456" s="427" t="s">
        <v>40</v>
      </c>
      <c r="B456" s="428"/>
      <c r="C456" s="428"/>
      <c r="D456" s="428"/>
      <c r="E456" s="428"/>
      <c r="F456" s="428"/>
      <c r="G456" s="428"/>
      <c r="H456" s="428"/>
      <c r="I456" s="428"/>
      <c r="J456" s="428"/>
      <c r="K456" s="428"/>
      <c r="L456" s="429"/>
      <c r="M456" s="28"/>
      <c r="N456" s="64"/>
      <c r="O456" s="403" t="s">
        <v>42</v>
      </c>
      <c r="P456" s="404"/>
      <c r="Q456" s="404"/>
      <c r="R456" s="405"/>
      <c r="S456" s="65"/>
      <c r="T456" s="403" t="s">
        <v>43</v>
      </c>
      <c r="U456" s="404"/>
      <c r="V456" s="404"/>
      <c r="W456" s="404"/>
      <c r="X456" s="404"/>
      <c r="Y456" s="405"/>
      <c r="Z456" s="66"/>
      <c r="AA456" s="28"/>
    </row>
    <row r="457" spans="1:27" s="29" customFormat="1" ht="21.4" customHeight="1" x14ac:dyDescent="0.2">
      <c r="A457" s="30"/>
      <c r="C457" s="402" t="s">
        <v>83</v>
      </c>
      <c r="D457" s="402"/>
      <c r="E457" s="402"/>
      <c r="F457" s="402"/>
      <c r="G457" s="31" t="str">
        <f>$J$1</f>
        <v>June</v>
      </c>
      <c r="H457" s="409">
        <f>$K$1</f>
        <v>2023</v>
      </c>
      <c r="I457" s="409"/>
      <c r="K457" s="32"/>
      <c r="L457" s="33"/>
      <c r="M457" s="32"/>
      <c r="N457" s="67"/>
      <c r="O457" s="68" t="s">
        <v>53</v>
      </c>
      <c r="P457" s="68" t="s">
        <v>7</v>
      </c>
      <c r="Q457" s="68" t="s">
        <v>6</v>
      </c>
      <c r="R457" s="68" t="s">
        <v>54</v>
      </c>
      <c r="S457" s="69"/>
      <c r="T457" s="68" t="s">
        <v>53</v>
      </c>
      <c r="U457" s="68" t="s">
        <v>55</v>
      </c>
      <c r="V457" s="68" t="s">
        <v>20</v>
      </c>
      <c r="W457" s="68" t="s">
        <v>19</v>
      </c>
      <c r="X457" s="68" t="s">
        <v>21</v>
      </c>
      <c r="Y457" s="68" t="s">
        <v>59</v>
      </c>
      <c r="Z457" s="70"/>
      <c r="AA457" s="32"/>
    </row>
    <row r="458" spans="1:27" s="29" customFormat="1" ht="21.4" customHeight="1" x14ac:dyDescent="0.2">
      <c r="A458" s="30"/>
      <c r="D458" s="35"/>
      <c r="E458" s="35"/>
      <c r="F458" s="35"/>
      <c r="G458" s="35"/>
      <c r="H458" s="35"/>
      <c r="J458" s="36" t="s">
        <v>1</v>
      </c>
      <c r="K458" s="37">
        <v>70000</v>
      </c>
      <c r="L458" s="38"/>
      <c r="N458" s="71"/>
      <c r="O458" s="72" t="s">
        <v>45</v>
      </c>
      <c r="P458" s="72"/>
      <c r="Q458" s="72"/>
      <c r="R458" s="72"/>
      <c r="S458" s="73"/>
      <c r="T458" s="72" t="s">
        <v>45</v>
      </c>
      <c r="U458" s="74"/>
      <c r="V458" s="74"/>
      <c r="W458" s="74">
        <f>V458+U458</f>
        <v>0</v>
      </c>
      <c r="X458" s="74"/>
      <c r="Y458" s="74">
        <f>W458-X458</f>
        <v>0</v>
      </c>
      <c r="Z458" s="70"/>
    </row>
    <row r="459" spans="1:27" s="29" customFormat="1" ht="21.4" customHeight="1" x14ac:dyDescent="0.2">
      <c r="A459" s="30"/>
      <c r="B459" s="29" t="s">
        <v>0</v>
      </c>
      <c r="C459" s="40" t="s">
        <v>231</v>
      </c>
      <c r="H459" s="41"/>
      <c r="I459" s="35"/>
      <c r="L459" s="42"/>
      <c r="M459" s="28"/>
      <c r="N459" s="75"/>
      <c r="O459" s="72" t="s">
        <v>71</v>
      </c>
      <c r="P459" s="72"/>
      <c r="Q459" s="72"/>
      <c r="R459" s="72" t="str">
        <f>IF(Q459="","",R458-Q459)</f>
        <v/>
      </c>
      <c r="S459" s="63"/>
      <c r="T459" s="72" t="s">
        <v>71</v>
      </c>
      <c r="U459" s="105">
        <f>Y458</f>
        <v>0</v>
      </c>
      <c r="V459" s="74"/>
      <c r="W459" s="105">
        <f>IF(U459="","",U459+V459)</f>
        <v>0</v>
      </c>
      <c r="X459" s="74"/>
      <c r="Y459" s="105">
        <f>IF(W459="","",W459-X459)</f>
        <v>0</v>
      </c>
      <c r="Z459" s="76"/>
      <c r="AA459" s="28"/>
    </row>
    <row r="460" spans="1:27" s="29" customFormat="1" ht="21.4" customHeight="1" x14ac:dyDescent="0.2">
      <c r="A460" s="30"/>
      <c r="B460" s="44" t="s">
        <v>41</v>
      </c>
      <c r="C460" s="45"/>
      <c r="F460" s="391" t="s">
        <v>43</v>
      </c>
      <c r="G460" s="391"/>
      <c r="I460" s="391" t="s">
        <v>44</v>
      </c>
      <c r="J460" s="391"/>
      <c r="K460" s="391"/>
      <c r="L460" s="46"/>
      <c r="N460" s="71"/>
      <c r="O460" s="72" t="s">
        <v>46</v>
      </c>
      <c r="P460" s="72"/>
      <c r="Q460" s="72"/>
      <c r="R460" s="72" t="str">
        <f t="shared" ref="R460:R469" si="102">IF(Q460="","",R459-Q460)</f>
        <v/>
      </c>
      <c r="S460" s="63"/>
      <c r="T460" s="72" t="s">
        <v>46</v>
      </c>
      <c r="U460" s="105">
        <f>IF($J$1="April",Y459,Y459)</f>
        <v>0</v>
      </c>
      <c r="V460" s="74"/>
      <c r="W460" s="105">
        <f t="shared" ref="W460:W469" si="103">IF(U460="","",U460+V460)</f>
        <v>0</v>
      </c>
      <c r="X460" s="74"/>
      <c r="Y460" s="105">
        <f t="shared" ref="Y460:Y469" si="104">IF(W460="","",W460-X460)</f>
        <v>0</v>
      </c>
      <c r="Z460" s="76"/>
    </row>
    <row r="461" spans="1:27" s="29" customFormat="1" ht="21.4" customHeight="1" x14ac:dyDescent="0.2">
      <c r="A461" s="30"/>
      <c r="H461" s="47"/>
      <c r="L461" s="34"/>
      <c r="N461" s="71"/>
      <c r="O461" s="72" t="s">
        <v>47</v>
      </c>
      <c r="P461" s="72"/>
      <c r="Q461" s="72"/>
      <c r="R461" s="72" t="str">
        <f t="shared" si="102"/>
        <v/>
      </c>
      <c r="S461" s="63"/>
      <c r="T461" s="72" t="s">
        <v>47</v>
      </c>
      <c r="U461" s="105">
        <f>IF($J$1="April",Y460,Y460)</f>
        <v>0</v>
      </c>
      <c r="V461" s="74"/>
      <c r="W461" s="105">
        <f t="shared" si="103"/>
        <v>0</v>
      </c>
      <c r="X461" s="74"/>
      <c r="Y461" s="105">
        <f t="shared" si="104"/>
        <v>0</v>
      </c>
      <c r="Z461" s="76"/>
    </row>
    <row r="462" spans="1:27" s="29" customFormat="1" ht="21.4" customHeight="1" x14ac:dyDescent="0.2">
      <c r="A462" s="30"/>
      <c r="B462" s="389" t="s">
        <v>42</v>
      </c>
      <c r="C462" s="390"/>
      <c r="F462" s="48" t="s">
        <v>64</v>
      </c>
      <c r="G462" s="109">
        <f>IF($J$1="January",U458,IF($J$1="February",U459,IF($J$1="March",U460,IF($J$1="April",U461,IF($J$1="May",U462,IF($J$1="June",U463,IF($J$1="July",U464,IF($J$1="August",U465,IF($J$1="August",U465,IF($J$1="September",U466,IF($J$1="October",U467,IF($J$1="November",U468,IF($J$1="December",U469)))))))))))))</f>
        <v>0</v>
      </c>
      <c r="H462" s="47"/>
      <c r="I462" s="49"/>
      <c r="J462" s="50" t="s">
        <v>61</v>
      </c>
      <c r="K462" s="51">
        <f>K458/$K$2*I462</f>
        <v>0</v>
      </c>
      <c r="L462" s="52"/>
      <c r="N462" s="71"/>
      <c r="O462" s="72" t="s">
        <v>48</v>
      </c>
      <c r="P462" s="72"/>
      <c r="Q462" s="72"/>
      <c r="R462" s="72" t="str">
        <f t="shared" si="102"/>
        <v/>
      </c>
      <c r="S462" s="63"/>
      <c r="T462" s="72" t="s">
        <v>48</v>
      </c>
      <c r="U462" s="105">
        <f>IF($J$1="May",Y461,Y461)</f>
        <v>0</v>
      </c>
      <c r="V462" s="74"/>
      <c r="W462" s="105">
        <f t="shared" si="103"/>
        <v>0</v>
      </c>
      <c r="X462" s="74"/>
      <c r="Y462" s="105">
        <f t="shared" si="104"/>
        <v>0</v>
      </c>
      <c r="Z462" s="76"/>
    </row>
    <row r="463" spans="1:27" s="29" customFormat="1" ht="21.4" customHeight="1" x14ac:dyDescent="0.2">
      <c r="A463" s="30"/>
      <c r="B463" s="39"/>
      <c r="C463" s="39"/>
      <c r="F463" s="48" t="s">
        <v>20</v>
      </c>
      <c r="G463" s="109">
        <f>IF($J$1="January",V458,IF($J$1="February",V459,IF($J$1="March",V460,IF($J$1="April",V461,IF($J$1="May",V462,IF($J$1="June",V463,IF($J$1="July",V464,IF($J$1="August",V465,IF($J$1="August",V465,IF($J$1="September",V466,IF($J$1="October",V467,IF($J$1="November",V468,IF($J$1="December",V469)))))))))))))</f>
        <v>0</v>
      </c>
      <c r="H463" s="47"/>
      <c r="I463" s="84"/>
      <c r="J463" s="50" t="s">
        <v>62</v>
      </c>
      <c r="K463" s="53">
        <f>K458/$K$2/8*I463</f>
        <v>0</v>
      </c>
      <c r="L463" s="54"/>
      <c r="N463" s="71"/>
      <c r="O463" s="72" t="s">
        <v>49</v>
      </c>
      <c r="P463" s="72"/>
      <c r="Q463" s="72"/>
      <c r="R463" s="72" t="str">
        <f t="shared" si="102"/>
        <v/>
      </c>
      <c r="S463" s="63"/>
      <c r="T463" s="72" t="s">
        <v>49</v>
      </c>
      <c r="U463" s="105">
        <f>IF($J$1="May",Y462,Y462)</f>
        <v>0</v>
      </c>
      <c r="V463" s="74"/>
      <c r="W463" s="105">
        <f t="shared" si="103"/>
        <v>0</v>
      </c>
      <c r="X463" s="74"/>
      <c r="Y463" s="105">
        <f t="shared" si="104"/>
        <v>0</v>
      </c>
      <c r="Z463" s="76"/>
    </row>
    <row r="464" spans="1:27" s="29" customFormat="1" ht="21.4" customHeight="1" x14ac:dyDescent="0.2">
      <c r="A464" s="30"/>
      <c r="B464" s="48" t="s">
        <v>7</v>
      </c>
      <c r="C464" s="39">
        <f>IF($J$1="January",P458,IF($J$1="February",P459,IF($J$1="March",P460,IF($J$1="April",P461,IF($J$1="May",P462,IF($J$1="June",P463,IF($J$1="July",P464,IF($J$1="August",P465,IF($J$1="August",P465,IF($J$1="September",P466,IF($J$1="October",P467,IF($J$1="November",P468,IF($J$1="December",P469)))))))))))))</f>
        <v>0</v>
      </c>
      <c r="F464" s="48" t="s">
        <v>65</v>
      </c>
      <c r="G464" s="109">
        <f>IF($J$1="January",W458,IF($J$1="February",W459,IF($J$1="March",W460,IF($J$1="April",W461,IF($J$1="May",W462,IF($J$1="June",W463,IF($J$1="July",W464,IF($J$1="August",W465,IF($J$1="August",W465,IF($J$1="September",W466,IF($J$1="October",W467,IF($J$1="November",W468,IF($J$1="December",W469)))))))))))))</f>
        <v>0</v>
      </c>
      <c r="H464" s="47"/>
      <c r="I464" s="392" t="s">
        <v>69</v>
      </c>
      <c r="J464" s="393"/>
      <c r="K464" s="53">
        <f>K462+K463</f>
        <v>0</v>
      </c>
      <c r="L464" s="54"/>
      <c r="N464" s="71"/>
      <c r="O464" s="72" t="s">
        <v>50</v>
      </c>
      <c r="P464" s="72"/>
      <c r="Q464" s="72"/>
      <c r="R464" s="72" t="str">
        <f t="shared" si="102"/>
        <v/>
      </c>
      <c r="S464" s="63"/>
      <c r="T464" s="72" t="s">
        <v>50</v>
      </c>
      <c r="U464" s="105">
        <f>Y463</f>
        <v>0</v>
      </c>
      <c r="V464" s="74"/>
      <c r="W464" s="105">
        <f t="shared" si="103"/>
        <v>0</v>
      </c>
      <c r="X464" s="74"/>
      <c r="Y464" s="105">
        <f t="shared" si="104"/>
        <v>0</v>
      </c>
      <c r="Z464" s="76"/>
    </row>
    <row r="465" spans="1:27" s="29" customFormat="1" ht="21.4" customHeight="1" x14ac:dyDescent="0.2">
      <c r="A465" s="30"/>
      <c r="B465" s="48" t="s">
        <v>6</v>
      </c>
      <c r="C465" s="39">
        <f>IF($J$1="January",Q458,IF($J$1="February",Q459,IF($J$1="March",Q460,IF($J$1="April",Q461,IF($J$1="May",Q462,IF($J$1="June",Q463,IF($J$1="July",Q464,IF($J$1="August",Q465,IF($J$1="August",Q465,IF($J$1="September",Q466,IF($J$1="October",Q467,IF($J$1="November",Q468,IF($J$1="December",Q469)))))))))))))</f>
        <v>0</v>
      </c>
      <c r="F465" s="48" t="s">
        <v>21</v>
      </c>
      <c r="G465" s="109">
        <f>IF($J$1="January",X458,IF($J$1="February",X459,IF($J$1="March",X460,IF($J$1="April",X461,IF($J$1="May",X462,IF($J$1="June",X463,IF($J$1="July",X464,IF($J$1="August",X465,IF($J$1="August",X465,IF($J$1="September",X466,IF($J$1="October",X467,IF($J$1="November",X468,IF($J$1="December",X469)))))))))))))</f>
        <v>0</v>
      </c>
      <c r="H465" s="47"/>
      <c r="I465" s="392" t="s">
        <v>70</v>
      </c>
      <c r="J465" s="393"/>
      <c r="K465" s="43">
        <f>G465</f>
        <v>0</v>
      </c>
      <c r="L465" s="55"/>
      <c r="N465" s="71"/>
      <c r="O465" s="72" t="s">
        <v>51</v>
      </c>
      <c r="P465" s="72"/>
      <c r="Q465" s="72"/>
      <c r="R465" s="72" t="str">
        <f t="shared" si="102"/>
        <v/>
      </c>
      <c r="S465" s="63"/>
      <c r="T465" s="72" t="s">
        <v>51</v>
      </c>
      <c r="U465" s="105">
        <f>Y464</f>
        <v>0</v>
      </c>
      <c r="V465" s="74"/>
      <c r="W465" s="105">
        <f t="shared" si="103"/>
        <v>0</v>
      </c>
      <c r="X465" s="74"/>
      <c r="Y465" s="105">
        <f t="shared" si="104"/>
        <v>0</v>
      </c>
      <c r="Z465" s="76"/>
    </row>
    <row r="466" spans="1:27" s="29" customFormat="1" ht="21.4" customHeight="1" x14ac:dyDescent="0.2">
      <c r="A466" s="30"/>
      <c r="B466" s="56" t="s">
        <v>68</v>
      </c>
      <c r="C466" s="39" t="str">
        <f>IF($J$1="January",R458,IF($J$1="February",R459,IF($J$1="March",R460,IF($J$1="April",R461,IF($J$1="May",R462,IF($J$1="June",R463,IF($J$1="July",R464,IF($J$1="August",R465,IF($J$1="August",R465,IF($J$1="September",R466,IF($J$1="October",R467,IF($J$1="November",R468,IF($J$1="December",R469)))))))))))))</f>
        <v/>
      </c>
      <c r="F466" s="48" t="s">
        <v>67</v>
      </c>
      <c r="G466" s="109">
        <f>IF($J$1="January",Y458,IF($J$1="February",Y459,IF($J$1="March",Y460,IF($J$1="April",Y461,IF($J$1="May",Y462,IF($J$1="June",Y463,IF($J$1="July",Y464,IF($J$1="August",Y465,IF($J$1="August",Y465,IF($J$1="September",Y466,IF($J$1="October",Y467,IF($J$1="November",Y468,IF($J$1="December",Y469)))))))))))))</f>
        <v>0</v>
      </c>
      <c r="I466" s="387" t="s">
        <v>63</v>
      </c>
      <c r="J466" s="388"/>
      <c r="K466" s="57">
        <f>K464-K465</f>
        <v>0</v>
      </c>
      <c r="L466" s="58"/>
      <c r="N466" s="71"/>
      <c r="O466" s="72" t="s">
        <v>56</v>
      </c>
      <c r="P466" s="72"/>
      <c r="Q466" s="72"/>
      <c r="R466" s="72" t="str">
        <f t="shared" si="102"/>
        <v/>
      </c>
      <c r="S466" s="63"/>
      <c r="T466" s="72" t="s">
        <v>56</v>
      </c>
      <c r="U466" s="105">
        <f>Y465</f>
        <v>0</v>
      </c>
      <c r="V466" s="74"/>
      <c r="W466" s="105">
        <f t="shared" si="103"/>
        <v>0</v>
      </c>
      <c r="X466" s="74"/>
      <c r="Y466" s="105">
        <f t="shared" si="104"/>
        <v>0</v>
      </c>
      <c r="Z466" s="76"/>
    </row>
    <row r="467" spans="1:27" s="29" customFormat="1" ht="21.4" customHeight="1" x14ac:dyDescent="0.2">
      <c r="A467" s="30"/>
      <c r="F467" s="35" t="s">
        <v>232</v>
      </c>
      <c r="I467" s="111"/>
      <c r="K467" s="107"/>
      <c r="L467" s="46"/>
      <c r="N467" s="71"/>
      <c r="O467" s="72" t="s">
        <v>52</v>
      </c>
      <c r="P467" s="72"/>
      <c r="Q467" s="72"/>
      <c r="R467" s="72" t="str">
        <f t="shared" si="102"/>
        <v/>
      </c>
      <c r="S467" s="63"/>
      <c r="T467" s="72" t="s">
        <v>52</v>
      </c>
      <c r="U467" s="105"/>
      <c r="V467" s="74"/>
      <c r="W467" s="105" t="str">
        <f t="shared" si="103"/>
        <v/>
      </c>
      <c r="X467" s="74"/>
      <c r="Y467" s="105" t="str">
        <f t="shared" si="104"/>
        <v/>
      </c>
      <c r="Z467" s="76"/>
    </row>
    <row r="468" spans="1:27" s="29" customFormat="1" ht="21.4" customHeight="1" x14ac:dyDescent="0.2">
      <c r="A468" s="30"/>
      <c r="B468" s="394"/>
      <c r="C468" s="394"/>
      <c r="D468" s="394"/>
      <c r="E468" s="394"/>
      <c r="F468" s="394"/>
      <c r="G468" s="394"/>
      <c r="H468" s="394"/>
      <c r="I468" s="394"/>
      <c r="J468" s="394"/>
      <c r="K468" s="394"/>
      <c r="L468" s="46"/>
      <c r="N468" s="71"/>
      <c r="O468" s="72" t="s">
        <v>57</v>
      </c>
      <c r="P468" s="72"/>
      <c r="Q468" s="72"/>
      <c r="R468" s="72" t="str">
        <f t="shared" si="102"/>
        <v/>
      </c>
      <c r="S468" s="63"/>
      <c r="T468" s="72" t="s">
        <v>57</v>
      </c>
      <c r="U468" s="105"/>
      <c r="V468" s="74"/>
      <c r="W468" s="105" t="str">
        <f t="shared" si="103"/>
        <v/>
      </c>
      <c r="X468" s="74"/>
      <c r="Y468" s="105" t="str">
        <f t="shared" si="104"/>
        <v/>
      </c>
      <c r="Z468" s="76"/>
    </row>
    <row r="469" spans="1:27" s="29" customFormat="1" ht="21.4" customHeight="1" x14ac:dyDescent="0.2">
      <c r="A469" s="30"/>
      <c r="B469" s="394"/>
      <c r="C469" s="394"/>
      <c r="D469" s="394"/>
      <c r="E469" s="394"/>
      <c r="F469" s="394"/>
      <c r="G469" s="394"/>
      <c r="H469" s="394"/>
      <c r="I469" s="394"/>
      <c r="J469" s="394"/>
      <c r="K469" s="394"/>
      <c r="L469" s="46"/>
      <c r="N469" s="71"/>
      <c r="O469" s="72" t="s">
        <v>58</v>
      </c>
      <c r="P469" s="72"/>
      <c r="Q469" s="72"/>
      <c r="R469" s="72" t="str">
        <f t="shared" si="102"/>
        <v/>
      </c>
      <c r="S469" s="63"/>
      <c r="T469" s="72" t="s">
        <v>58</v>
      </c>
      <c r="U469" s="105"/>
      <c r="V469" s="74"/>
      <c r="W469" s="105" t="str">
        <f t="shared" si="103"/>
        <v/>
      </c>
      <c r="X469" s="74"/>
      <c r="Y469" s="105" t="str">
        <f t="shared" si="104"/>
        <v/>
      </c>
      <c r="Z469" s="76"/>
    </row>
    <row r="470" spans="1:27" s="29" customFormat="1" ht="21.4" customHeight="1" thickBot="1" x14ac:dyDescent="0.25">
      <c r="A470" s="59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1"/>
      <c r="N470" s="77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9"/>
    </row>
    <row r="471" spans="1:27" s="29" customFormat="1" ht="21" customHeight="1" x14ac:dyDescent="0.2">
      <c r="A471" s="396" t="s">
        <v>40</v>
      </c>
      <c r="B471" s="397"/>
      <c r="C471" s="397"/>
      <c r="D471" s="397"/>
      <c r="E471" s="397"/>
      <c r="F471" s="397"/>
      <c r="G471" s="397"/>
      <c r="H471" s="397"/>
      <c r="I471" s="397"/>
      <c r="J471" s="397"/>
      <c r="K471" s="397"/>
      <c r="L471" s="398"/>
      <c r="M471" s="28"/>
      <c r="N471" s="64"/>
      <c r="O471" s="403" t="s">
        <v>42</v>
      </c>
      <c r="P471" s="404"/>
      <c r="Q471" s="404"/>
      <c r="R471" s="405"/>
      <c r="S471" s="65"/>
      <c r="T471" s="403" t="s">
        <v>43</v>
      </c>
      <c r="U471" s="404"/>
      <c r="V471" s="404"/>
      <c r="W471" s="404"/>
      <c r="X471" s="404"/>
      <c r="Y471" s="405"/>
      <c r="Z471" s="66"/>
      <c r="AA471" s="28"/>
    </row>
    <row r="472" spans="1:27" s="29" customFormat="1" ht="21" customHeight="1" x14ac:dyDescent="0.2">
      <c r="A472" s="30"/>
      <c r="C472" s="402" t="s">
        <v>83</v>
      </c>
      <c r="D472" s="402"/>
      <c r="E472" s="402"/>
      <c r="F472" s="402"/>
      <c r="G472" s="31" t="str">
        <f>$J$1</f>
        <v>June</v>
      </c>
      <c r="H472" s="409">
        <f>$K$1</f>
        <v>2023</v>
      </c>
      <c r="I472" s="409"/>
      <c r="K472" s="32"/>
      <c r="L472" s="33"/>
      <c r="M472" s="32"/>
      <c r="N472" s="67"/>
      <c r="O472" s="68" t="s">
        <v>53</v>
      </c>
      <c r="P472" s="68" t="s">
        <v>7</v>
      </c>
      <c r="Q472" s="68" t="s">
        <v>6</v>
      </c>
      <c r="R472" s="68" t="s">
        <v>54</v>
      </c>
      <c r="S472" s="69"/>
      <c r="T472" s="68" t="s">
        <v>53</v>
      </c>
      <c r="U472" s="68" t="s">
        <v>55</v>
      </c>
      <c r="V472" s="68" t="s">
        <v>20</v>
      </c>
      <c r="W472" s="68" t="s">
        <v>19</v>
      </c>
      <c r="X472" s="68" t="s">
        <v>21</v>
      </c>
      <c r="Y472" s="68" t="s">
        <v>59</v>
      </c>
      <c r="Z472" s="70"/>
      <c r="AA472" s="32"/>
    </row>
    <row r="473" spans="1:27" s="29" customFormat="1" ht="21" customHeight="1" x14ac:dyDescent="0.2">
      <c r="A473" s="30"/>
      <c r="D473" s="35"/>
      <c r="E473" s="35"/>
      <c r="F473" s="35"/>
      <c r="G473" s="35"/>
      <c r="H473" s="35"/>
      <c r="J473" s="36" t="s">
        <v>1</v>
      </c>
      <c r="K473" s="37">
        <v>25000</v>
      </c>
      <c r="L473" s="38"/>
      <c r="N473" s="71"/>
      <c r="O473" s="72" t="s">
        <v>45</v>
      </c>
      <c r="P473" s="72">
        <v>30</v>
      </c>
      <c r="Q473" s="72">
        <v>1</v>
      </c>
      <c r="R473" s="72">
        <f>15-Q473</f>
        <v>14</v>
      </c>
      <c r="S473" s="73"/>
      <c r="T473" s="72" t="s">
        <v>45</v>
      </c>
      <c r="U473" s="74">
        <v>8000</v>
      </c>
      <c r="V473" s="74">
        <v>1000</v>
      </c>
      <c r="W473" s="74">
        <f>V473+U473</f>
        <v>9000</v>
      </c>
      <c r="X473" s="74">
        <v>2500</v>
      </c>
      <c r="Y473" s="74">
        <f>W473-X473</f>
        <v>6500</v>
      </c>
      <c r="Z473" s="70"/>
    </row>
    <row r="474" spans="1:27" s="29" customFormat="1" ht="21" customHeight="1" x14ac:dyDescent="0.2">
      <c r="A474" s="30"/>
      <c r="B474" s="29" t="s">
        <v>0</v>
      </c>
      <c r="C474" s="40" t="s">
        <v>109</v>
      </c>
      <c r="H474" s="41"/>
      <c r="I474" s="35"/>
      <c r="L474" s="42"/>
      <c r="M474" s="28"/>
      <c r="N474" s="75"/>
      <c r="O474" s="72" t="s">
        <v>71</v>
      </c>
      <c r="P474" s="72">
        <v>28</v>
      </c>
      <c r="Q474" s="72">
        <v>0</v>
      </c>
      <c r="R474" s="72">
        <f t="shared" ref="R474:R484" si="105">IF(Q474="","",R473-Q474)</f>
        <v>14</v>
      </c>
      <c r="S474" s="63"/>
      <c r="T474" s="72" t="s">
        <v>71</v>
      </c>
      <c r="U474" s="105">
        <f>IF($J$1="January","",Y473)</f>
        <v>6500</v>
      </c>
      <c r="V474" s="74">
        <v>1000</v>
      </c>
      <c r="W474" s="105">
        <f>IF(U474="","",U474+V474)</f>
        <v>7500</v>
      </c>
      <c r="X474" s="74">
        <v>2500</v>
      </c>
      <c r="Y474" s="105">
        <f>IF(W474="","",W474-X474)</f>
        <v>5000</v>
      </c>
      <c r="Z474" s="76"/>
      <c r="AA474" s="28"/>
    </row>
    <row r="475" spans="1:27" s="29" customFormat="1" ht="21" customHeight="1" x14ac:dyDescent="0.2">
      <c r="A475" s="30"/>
      <c r="B475" s="44" t="s">
        <v>41</v>
      </c>
      <c r="C475" s="45"/>
      <c r="F475" s="391" t="s">
        <v>43</v>
      </c>
      <c r="G475" s="391"/>
      <c r="I475" s="391" t="s">
        <v>44</v>
      </c>
      <c r="J475" s="391"/>
      <c r="K475" s="391"/>
      <c r="L475" s="46"/>
      <c r="N475" s="71"/>
      <c r="O475" s="72" t="s">
        <v>46</v>
      </c>
      <c r="P475" s="72">
        <v>30</v>
      </c>
      <c r="Q475" s="72">
        <v>1</v>
      </c>
      <c r="R475" s="72">
        <f t="shared" si="105"/>
        <v>13</v>
      </c>
      <c r="S475" s="63"/>
      <c r="T475" s="72" t="s">
        <v>46</v>
      </c>
      <c r="U475" s="105">
        <f>IF($J$1="February","",Y474)</f>
        <v>5000</v>
      </c>
      <c r="V475" s="74">
        <v>1000</v>
      </c>
      <c r="W475" s="105">
        <f t="shared" ref="W475:W484" si="106">IF(U475="","",U475+V475)</f>
        <v>6000</v>
      </c>
      <c r="X475" s="74">
        <v>2500</v>
      </c>
      <c r="Y475" s="105">
        <f t="shared" ref="Y475:Y484" si="107">IF(W475="","",W475-X475)</f>
        <v>3500</v>
      </c>
      <c r="Z475" s="76"/>
    </row>
    <row r="476" spans="1:27" s="29" customFormat="1" ht="21" customHeight="1" x14ac:dyDescent="0.2">
      <c r="A476" s="30"/>
      <c r="H476" s="47"/>
      <c r="L476" s="34"/>
      <c r="N476" s="71"/>
      <c r="O476" s="72" t="s">
        <v>47</v>
      </c>
      <c r="P476" s="72">
        <v>30</v>
      </c>
      <c r="Q476" s="72">
        <v>0</v>
      </c>
      <c r="R476" s="72">
        <f t="shared" si="105"/>
        <v>13</v>
      </c>
      <c r="S476" s="63"/>
      <c r="T476" s="72" t="s">
        <v>47</v>
      </c>
      <c r="U476" s="105">
        <f>IF($J$1="March","",Y475)</f>
        <v>3500</v>
      </c>
      <c r="V476" s="74"/>
      <c r="W476" s="105">
        <f t="shared" si="106"/>
        <v>3500</v>
      </c>
      <c r="X476" s="74">
        <v>2500</v>
      </c>
      <c r="Y476" s="105">
        <f t="shared" si="107"/>
        <v>1000</v>
      </c>
      <c r="Z476" s="76"/>
    </row>
    <row r="477" spans="1:27" s="29" customFormat="1" ht="21" customHeight="1" x14ac:dyDescent="0.2">
      <c r="A477" s="30"/>
      <c r="B477" s="389" t="s">
        <v>42</v>
      </c>
      <c r="C477" s="390"/>
      <c r="F477" s="48" t="s">
        <v>64</v>
      </c>
      <c r="G477" s="109">
        <f>IF($J$1="January",U473,IF($J$1="February",U474,IF($J$1="March",U475,IF($J$1="April",U476,IF($J$1="May",U477,IF($J$1="June",U478,IF($J$1="July",U479,IF($J$1="August",U480,IF($J$1="August",U480,IF($J$1="September",U481,IF($J$1="October",U482,IF($J$1="November",U483,IF($J$1="December",U484)))))))))))))</f>
        <v>2000</v>
      </c>
      <c r="H477" s="47"/>
      <c r="I477" s="49">
        <f>IF(C481&gt;0,$K$2,C479)</f>
        <v>30</v>
      </c>
      <c r="J477" s="50" t="s">
        <v>61</v>
      </c>
      <c r="K477" s="51">
        <f>K473/$K$2*I477</f>
        <v>25000</v>
      </c>
      <c r="L477" s="52"/>
      <c r="N477" s="71"/>
      <c r="O477" s="72" t="s">
        <v>48</v>
      </c>
      <c r="P477" s="72">
        <v>31</v>
      </c>
      <c r="Q477" s="72">
        <v>0</v>
      </c>
      <c r="R477" s="72">
        <f t="shared" si="105"/>
        <v>13</v>
      </c>
      <c r="S477" s="63"/>
      <c r="T477" s="72" t="s">
        <v>48</v>
      </c>
      <c r="U477" s="105">
        <f>Y476</f>
        <v>1000</v>
      </c>
      <c r="V477" s="74">
        <v>3000</v>
      </c>
      <c r="W477" s="105">
        <f t="shared" si="106"/>
        <v>4000</v>
      </c>
      <c r="X477" s="74">
        <v>2000</v>
      </c>
      <c r="Y477" s="105">
        <f t="shared" si="107"/>
        <v>2000</v>
      </c>
      <c r="Z477" s="76"/>
    </row>
    <row r="478" spans="1:27" s="29" customFormat="1" ht="21" customHeight="1" x14ac:dyDescent="0.2">
      <c r="A478" s="30"/>
      <c r="B478" s="39"/>
      <c r="C478" s="39"/>
      <c r="F478" s="48" t="s">
        <v>20</v>
      </c>
      <c r="G478" s="109">
        <f>IF($J$1="January",V473,IF($J$1="February",V474,IF($J$1="March",V475,IF($J$1="April",V476,IF($J$1="May",V477,IF($J$1="June",V478,IF($J$1="July",V479,IF($J$1="August",V480,IF($J$1="August",V480,IF($J$1="September",V481,IF($J$1="October",V482,IF($J$1="November",V483,IF($J$1="December",V484)))))))))))))</f>
        <v>4500</v>
      </c>
      <c r="H478" s="47"/>
      <c r="I478" s="84">
        <v>20</v>
      </c>
      <c r="J478" s="50" t="s">
        <v>62</v>
      </c>
      <c r="K478" s="43">
        <f>K473/$K$2/8*I478</f>
        <v>2083.3333333333335</v>
      </c>
      <c r="L478" s="54"/>
      <c r="N478" s="71"/>
      <c r="O478" s="72" t="s">
        <v>49</v>
      </c>
      <c r="P478" s="72">
        <v>30</v>
      </c>
      <c r="Q478" s="72">
        <v>0</v>
      </c>
      <c r="R478" s="72">
        <f t="shared" si="105"/>
        <v>13</v>
      </c>
      <c r="S478" s="63"/>
      <c r="T478" s="72" t="s">
        <v>49</v>
      </c>
      <c r="U478" s="105">
        <f>Y477</f>
        <v>2000</v>
      </c>
      <c r="V478" s="74">
        <f>4000+500</f>
        <v>4500</v>
      </c>
      <c r="W478" s="105">
        <f t="shared" si="106"/>
        <v>6500</v>
      </c>
      <c r="X478" s="74">
        <v>2000</v>
      </c>
      <c r="Y478" s="105">
        <f t="shared" si="107"/>
        <v>4500</v>
      </c>
      <c r="Z478" s="76"/>
    </row>
    <row r="479" spans="1:27" s="29" customFormat="1" ht="21" customHeight="1" x14ac:dyDescent="0.2">
      <c r="A479" s="30"/>
      <c r="B479" s="48" t="s">
        <v>7</v>
      </c>
      <c r="C479" s="39">
        <f>IF($J$1="January",P473,IF($J$1="February",P474,IF($J$1="March",P475,IF($J$1="April",P476,IF($J$1="May",P477,IF($J$1="June",P478,IF($J$1="July",P479,IF($J$1="August",P480,IF($J$1="August",P480,IF($J$1="September",P481,IF($J$1="October",P482,IF($J$1="November",P483,IF($J$1="December",P484)))))))))))))</f>
        <v>30</v>
      </c>
      <c r="F479" s="48" t="s">
        <v>65</v>
      </c>
      <c r="G479" s="109">
        <f>IF($J$1="January",W473,IF($J$1="February",W474,IF($J$1="March",W475,IF($J$1="April",W476,IF($J$1="May",W477,IF($J$1="June",W478,IF($J$1="July",W479,IF($J$1="August",W480,IF($J$1="August",W480,IF($J$1="September",W481,IF($J$1="October",W482,IF($J$1="November",W483,IF($J$1="December",W484)))))))))))))</f>
        <v>6500</v>
      </c>
      <c r="H479" s="47"/>
      <c r="I479" s="392" t="s">
        <v>69</v>
      </c>
      <c r="J479" s="393"/>
      <c r="K479" s="53">
        <f>K477+K478</f>
        <v>27083.333333333332</v>
      </c>
      <c r="L479" s="54"/>
      <c r="N479" s="71"/>
      <c r="O479" s="72" t="s">
        <v>50</v>
      </c>
      <c r="P479" s="72"/>
      <c r="Q479" s="72"/>
      <c r="R479" s="72" t="str">
        <f t="shared" si="105"/>
        <v/>
      </c>
      <c r="S479" s="63"/>
      <c r="T479" s="72" t="s">
        <v>50</v>
      </c>
      <c r="U479" s="105"/>
      <c r="V479" s="74"/>
      <c r="W479" s="105" t="str">
        <f t="shared" si="106"/>
        <v/>
      </c>
      <c r="X479" s="74"/>
      <c r="Y479" s="105" t="str">
        <f t="shared" si="107"/>
        <v/>
      </c>
      <c r="Z479" s="76"/>
    </row>
    <row r="480" spans="1:27" s="29" customFormat="1" ht="21" customHeight="1" x14ac:dyDescent="0.2">
      <c r="A480" s="30"/>
      <c r="B480" s="48" t="s">
        <v>6</v>
      </c>
      <c r="C480" s="39">
        <f>IF($J$1="January",Q473,IF($J$1="February",Q474,IF($J$1="March",Q475,IF($J$1="April",Q476,IF($J$1="May",Q477,IF($J$1="June",Q478,IF($J$1="July",Q479,IF($J$1="August",Q480,IF($J$1="August",Q480,IF($J$1="September",Q481,IF($J$1="October",Q482,IF($J$1="November",Q483,IF($J$1="December",Q484)))))))))))))</f>
        <v>0</v>
      </c>
      <c r="F480" s="48" t="s">
        <v>21</v>
      </c>
      <c r="G480" s="109">
        <f>IF($J$1="January",X473,IF($J$1="February",X474,IF($J$1="March",X475,IF($J$1="April",X476,IF($J$1="May",X477,IF($J$1="June",X478,IF($J$1="July",X479,IF($J$1="August",X480,IF($J$1="August",X480,IF($J$1="September",X481,IF($J$1="October",X482,IF($J$1="November",X483,IF($J$1="December",X484)))))))))))))</f>
        <v>2000</v>
      </c>
      <c r="H480" s="47"/>
      <c r="I480" s="392" t="s">
        <v>70</v>
      </c>
      <c r="J480" s="393"/>
      <c r="K480" s="43">
        <f>G480</f>
        <v>2000</v>
      </c>
      <c r="L480" s="55"/>
      <c r="N480" s="71"/>
      <c r="O480" s="72" t="s">
        <v>51</v>
      </c>
      <c r="P480" s="72"/>
      <c r="Q480" s="72"/>
      <c r="R480" s="72" t="str">
        <f t="shared" si="105"/>
        <v/>
      </c>
      <c r="S480" s="63"/>
      <c r="T480" s="72" t="s">
        <v>51</v>
      </c>
      <c r="U480" s="105" t="str">
        <f>Y479</f>
        <v/>
      </c>
      <c r="V480" s="74"/>
      <c r="W480" s="105" t="str">
        <f t="shared" si="106"/>
        <v/>
      </c>
      <c r="X480" s="74"/>
      <c r="Y480" s="105" t="str">
        <f t="shared" si="107"/>
        <v/>
      </c>
      <c r="Z480" s="76"/>
    </row>
    <row r="481" spans="1:29" s="29" customFormat="1" ht="21" customHeight="1" x14ac:dyDescent="0.2">
      <c r="A481" s="30"/>
      <c r="B481" s="56" t="s">
        <v>68</v>
      </c>
      <c r="C481" s="39">
        <f>IF($J$1="January",R473,IF($J$1="February",R474,IF($J$1="March",R475,IF($J$1="April",R476,IF($J$1="May",R477,IF($J$1="June",R478,IF($J$1="July",R479,IF($J$1="August",R480,IF($J$1="August",R480,IF($J$1="September",R481,IF($J$1="October",R482,IF($J$1="November",R483,IF($J$1="December",R484)))))))))))))</f>
        <v>13</v>
      </c>
      <c r="F481" s="48" t="s">
        <v>67</v>
      </c>
      <c r="G481" s="109">
        <f>IF($J$1="January",Y473,IF($J$1="February",Y474,IF($J$1="March",Y475,IF($J$1="April",Y476,IF($J$1="May",Y477,IF($J$1="June",Y478,IF($J$1="July",Y479,IF($J$1="August",Y480,IF($J$1="August",Y480,IF($J$1="September",Y481,IF($J$1="October",Y482,IF($J$1="November",Y483,IF($J$1="December",Y484)))))))))))))</f>
        <v>4500</v>
      </c>
      <c r="I481" s="387" t="s">
        <v>63</v>
      </c>
      <c r="J481" s="388"/>
      <c r="K481" s="57">
        <f>K479-K480</f>
        <v>25083.333333333332</v>
      </c>
      <c r="L481" s="58"/>
      <c r="N481" s="71"/>
      <c r="O481" s="72" t="s">
        <v>56</v>
      </c>
      <c r="P481" s="72"/>
      <c r="Q481" s="72"/>
      <c r="R481" s="72" t="str">
        <f t="shared" si="105"/>
        <v/>
      </c>
      <c r="S481" s="63"/>
      <c r="T481" s="72" t="s">
        <v>56</v>
      </c>
      <c r="U481" s="105" t="str">
        <f>Y480</f>
        <v/>
      </c>
      <c r="V481" s="74"/>
      <c r="W481" s="105" t="str">
        <f t="shared" si="106"/>
        <v/>
      </c>
      <c r="X481" s="74"/>
      <c r="Y481" s="105" t="str">
        <f t="shared" si="107"/>
        <v/>
      </c>
      <c r="Z481" s="76"/>
    </row>
    <row r="482" spans="1:29" s="29" customFormat="1" ht="21" customHeight="1" x14ac:dyDescent="0.2">
      <c r="A482" s="30"/>
      <c r="K482" s="107"/>
      <c r="L482" s="46"/>
      <c r="N482" s="71"/>
      <c r="O482" s="72" t="s">
        <v>52</v>
      </c>
      <c r="P482" s="72"/>
      <c r="Q482" s="72"/>
      <c r="R482" s="72" t="str">
        <f t="shared" si="105"/>
        <v/>
      </c>
      <c r="S482" s="63"/>
      <c r="T482" s="72" t="s">
        <v>52</v>
      </c>
      <c r="U482" s="105" t="str">
        <f>IF($J$1="September","",Y481)</f>
        <v/>
      </c>
      <c r="V482" s="74"/>
      <c r="W482" s="105" t="str">
        <f t="shared" si="106"/>
        <v/>
      </c>
      <c r="X482" s="74"/>
      <c r="Y482" s="105" t="str">
        <f t="shared" si="107"/>
        <v/>
      </c>
      <c r="Z482" s="76"/>
    </row>
    <row r="483" spans="1:29" s="29" customFormat="1" ht="21" customHeight="1" x14ac:dyDescent="0.2">
      <c r="A483" s="30"/>
      <c r="B483" s="394" t="s">
        <v>85</v>
      </c>
      <c r="C483" s="394"/>
      <c r="D483" s="394"/>
      <c r="E483" s="394"/>
      <c r="F483" s="394"/>
      <c r="G483" s="394"/>
      <c r="H483" s="394"/>
      <c r="I483" s="394"/>
      <c r="J483" s="394"/>
      <c r="K483" s="394"/>
      <c r="L483" s="46"/>
      <c r="N483" s="71"/>
      <c r="O483" s="72" t="s">
        <v>57</v>
      </c>
      <c r="P483" s="72"/>
      <c r="Q483" s="72"/>
      <c r="R483" s="72" t="str">
        <f t="shared" si="105"/>
        <v/>
      </c>
      <c r="S483" s="63"/>
      <c r="T483" s="72" t="s">
        <v>57</v>
      </c>
      <c r="U483" s="105" t="str">
        <f>IF($J$1="October","",Y482)</f>
        <v/>
      </c>
      <c r="V483" s="74"/>
      <c r="W483" s="105" t="str">
        <f t="shared" si="106"/>
        <v/>
      </c>
      <c r="X483" s="74"/>
      <c r="Y483" s="105" t="str">
        <f t="shared" si="107"/>
        <v/>
      </c>
      <c r="Z483" s="76"/>
    </row>
    <row r="484" spans="1:29" s="29" customFormat="1" ht="21" customHeight="1" x14ac:dyDescent="0.2">
      <c r="A484" s="30"/>
      <c r="B484" s="394"/>
      <c r="C484" s="394"/>
      <c r="D484" s="394"/>
      <c r="E484" s="394"/>
      <c r="F484" s="394"/>
      <c r="G484" s="394"/>
      <c r="H484" s="394"/>
      <c r="I484" s="394"/>
      <c r="J484" s="394"/>
      <c r="K484" s="394"/>
      <c r="L484" s="46"/>
      <c r="N484" s="71"/>
      <c r="O484" s="72" t="s">
        <v>58</v>
      </c>
      <c r="P484" s="72"/>
      <c r="Q484" s="72"/>
      <c r="R484" s="72" t="str">
        <f t="shared" si="105"/>
        <v/>
      </c>
      <c r="S484" s="63"/>
      <c r="T484" s="72" t="s">
        <v>58</v>
      </c>
      <c r="U484" s="105" t="str">
        <f>IF($J$1="November","",Y483)</f>
        <v/>
      </c>
      <c r="V484" s="74"/>
      <c r="W484" s="105" t="str">
        <f t="shared" si="106"/>
        <v/>
      </c>
      <c r="X484" s="74"/>
      <c r="Y484" s="105" t="str">
        <f t="shared" si="107"/>
        <v/>
      </c>
      <c r="Z484" s="76"/>
    </row>
    <row r="485" spans="1:29" s="29" customFormat="1" ht="21" customHeight="1" thickBot="1" x14ac:dyDescent="0.25">
      <c r="A485" s="59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1"/>
      <c r="N485" s="77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9"/>
    </row>
    <row r="486" spans="1:29" s="29" customFormat="1" ht="21.4" customHeight="1" thickBot="1" x14ac:dyDescent="0.25"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spans="1:29" s="29" customFormat="1" ht="21.4" customHeight="1" x14ac:dyDescent="0.2">
      <c r="A487" s="413" t="s">
        <v>40</v>
      </c>
      <c r="B487" s="414"/>
      <c r="C487" s="414"/>
      <c r="D487" s="414"/>
      <c r="E487" s="414"/>
      <c r="F487" s="414"/>
      <c r="G487" s="414"/>
      <c r="H487" s="414"/>
      <c r="I487" s="414"/>
      <c r="J487" s="414"/>
      <c r="K487" s="414"/>
      <c r="L487" s="415"/>
      <c r="M487" s="28"/>
      <c r="N487" s="64"/>
      <c r="O487" s="403" t="s">
        <v>42</v>
      </c>
      <c r="P487" s="404"/>
      <c r="Q487" s="404"/>
      <c r="R487" s="405"/>
      <c r="S487" s="65"/>
      <c r="T487" s="403" t="s">
        <v>43</v>
      </c>
      <c r="U487" s="404"/>
      <c r="V487" s="404"/>
      <c r="W487" s="404"/>
      <c r="X487" s="404"/>
      <c r="Y487" s="405"/>
      <c r="Z487" s="66"/>
    </row>
    <row r="488" spans="1:29" s="29" customFormat="1" ht="21.4" customHeight="1" x14ac:dyDescent="0.2">
      <c r="A488" s="30"/>
      <c r="C488" s="402" t="s">
        <v>83</v>
      </c>
      <c r="D488" s="402"/>
      <c r="E488" s="402"/>
      <c r="F488" s="402"/>
      <c r="G488" s="31" t="str">
        <f>$J$1</f>
        <v>June</v>
      </c>
      <c r="H488" s="409">
        <f>$K$1</f>
        <v>2023</v>
      </c>
      <c r="I488" s="409"/>
      <c r="K488" s="32"/>
      <c r="L488" s="33"/>
      <c r="M488" s="32"/>
      <c r="N488" s="67"/>
      <c r="O488" s="68" t="s">
        <v>53</v>
      </c>
      <c r="P488" s="68" t="s">
        <v>7</v>
      </c>
      <c r="Q488" s="68" t="s">
        <v>6</v>
      </c>
      <c r="R488" s="68" t="s">
        <v>54</v>
      </c>
      <c r="S488" s="69"/>
      <c r="T488" s="68" t="s">
        <v>53</v>
      </c>
      <c r="U488" s="68" t="s">
        <v>55</v>
      </c>
      <c r="V488" s="68" t="s">
        <v>20</v>
      </c>
      <c r="W488" s="68" t="s">
        <v>19</v>
      </c>
      <c r="X488" s="68" t="s">
        <v>21</v>
      </c>
      <c r="Y488" s="68" t="s">
        <v>59</v>
      </c>
      <c r="Z488" s="70"/>
    </row>
    <row r="489" spans="1:29" s="29" customFormat="1" ht="21.4" customHeight="1" x14ac:dyDescent="0.2">
      <c r="A489" s="30"/>
      <c r="D489" s="35"/>
      <c r="E489" s="35"/>
      <c r="F489" s="35"/>
      <c r="G489" s="35"/>
      <c r="H489" s="35"/>
      <c r="J489" s="36" t="s">
        <v>1</v>
      </c>
      <c r="K489" s="37">
        <v>30000</v>
      </c>
      <c r="L489" s="38"/>
      <c r="N489" s="71"/>
      <c r="O489" s="72" t="s">
        <v>45</v>
      </c>
      <c r="P489" s="72"/>
      <c r="Q489" s="72"/>
      <c r="R489" s="72"/>
      <c r="S489" s="73"/>
      <c r="T489" s="72" t="s">
        <v>45</v>
      </c>
      <c r="U489" s="74"/>
      <c r="V489" s="74"/>
      <c r="W489" s="74">
        <f>V489+U489</f>
        <v>0</v>
      </c>
      <c r="X489" s="74"/>
      <c r="Y489" s="74">
        <f>W489-X489</f>
        <v>0</v>
      </c>
      <c r="Z489" s="70"/>
    </row>
    <row r="490" spans="1:29" s="29" customFormat="1" ht="21.4" customHeight="1" x14ac:dyDescent="0.2">
      <c r="A490" s="30"/>
      <c r="B490" s="29" t="s">
        <v>0</v>
      </c>
      <c r="C490" s="40" t="s">
        <v>220</v>
      </c>
      <c r="H490" s="41"/>
      <c r="I490" s="35"/>
      <c r="L490" s="42"/>
      <c r="M490" s="28"/>
      <c r="N490" s="75"/>
      <c r="O490" s="72" t="s">
        <v>71</v>
      </c>
      <c r="P490" s="72"/>
      <c r="Q490" s="72"/>
      <c r="R490" s="72" t="str">
        <f>IF(Q490="","",R489-Q490)</f>
        <v/>
      </c>
      <c r="S490" s="63"/>
      <c r="T490" s="72" t="s">
        <v>71</v>
      </c>
      <c r="U490" s="105">
        <f>IF($J$1="January","",Y489)</f>
        <v>0</v>
      </c>
      <c r="V490" s="74"/>
      <c r="W490" s="105">
        <f>IF(U490="","",U490+V490)</f>
        <v>0</v>
      </c>
      <c r="X490" s="74"/>
      <c r="Y490" s="105">
        <f>IF(W490="","",W490-X490)</f>
        <v>0</v>
      </c>
      <c r="Z490" s="76"/>
    </row>
    <row r="491" spans="1:29" s="29" customFormat="1" ht="21.4" customHeight="1" x14ac:dyDescent="0.2">
      <c r="A491" s="30"/>
      <c r="B491" s="44" t="s">
        <v>41</v>
      </c>
      <c r="C491" s="40"/>
      <c r="F491" s="391" t="s">
        <v>43</v>
      </c>
      <c r="G491" s="391"/>
      <c r="I491" s="391" t="s">
        <v>44</v>
      </c>
      <c r="J491" s="391"/>
      <c r="K491" s="391"/>
      <c r="L491" s="46"/>
      <c r="N491" s="71"/>
      <c r="O491" s="72" t="s">
        <v>46</v>
      </c>
      <c r="P491" s="72"/>
      <c r="Q491" s="72"/>
      <c r="R491" s="72" t="str">
        <f t="shared" ref="R491:R497" si="108">IF(Q491="","",R490-Q491)</f>
        <v/>
      </c>
      <c r="S491" s="63"/>
      <c r="T491" s="72" t="s">
        <v>46</v>
      </c>
      <c r="U491" s="105">
        <f>IF($J$1="February","",Y490)</f>
        <v>0</v>
      </c>
      <c r="V491" s="74"/>
      <c r="W491" s="105">
        <f t="shared" ref="W491:W500" si="109">IF(U491="","",U491+V491)</f>
        <v>0</v>
      </c>
      <c r="X491" s="74"/>
      <c r="Y491" s="105">
        <f t="shared" ref="Y491:Y500" si="110">IF(W491="","",W491-X491)</f>
        <v>0</v>
      </c>
      <c r="Z491" s="76"/>
    </row>
    <row r="492" spans="1:29" s="29" customFormat="1" ht="21.4" customHeight="1" x14ac:dyDescent="0.2">
      <c r="A492" s="30"/>
      <c r="H492" s="47"/>
      <c r="L492" s="34"/>
      <c r="N492" s="71"/>
      <c r="O492" s="72" t="s">
        <v>47</v>
      </c>
      <c r="P492" s="72"/>
      <c r="Q492" s="72"/>
      <c r="R492" s="72" t="str">
        <f t="shared" si="108"/>
        <v/>
      </c>
      <c r="S492" s="63"/>
      <c r="T492" s="72" t="s">
        <v>47</v>
      </c>
      <c r="U492" s="105">
        <f>IF($J$1="March","",Y491)</f>
        <v>0</v>
      </c>
      <c r="V492" s="74"/>
      <c r="W492" s="105">
        <f t="shared" si="109"/>
        <v>0</v>
      </c>
      <c r="X492" s="74"/>
      <c r="Y492" s="105">
        <f t="shared" si="110"/>
        <v>0</v>
      </c>
      <c r="Z492" s="76"/>
    </row>
    <row r="493" spans="1:29" s="29" customFormat="1" ht="21.4" customHeight="1" x14ac:dyDescent="0.2">
      <c r="A493" s="30"/>
      <c r="B493" s="389" t="s">
        <v>42</v>
      </c>
      <c r="C493" s="390"/>
      <c r="F493" s="48" t="s">
        <v>64</v>
      </c>
      <c r="G493" s="43">
        <f>IF($J$1="January",U489,IF($J$1="February",U490,IF($J$1="March",U491,IF($J$1="April",U492,IF($J$1="May",U493,IF($J$1="June",U494,IF($J$1="July",U495,IF($J$1="August",U496,IF($J$1="August",U496,IF($J$1="September",U497,IF($J$1="October",U498,IF($J$1="November",U499,IF($J$1="December",U500)))))))))))))</f>
        <v>6000</v>
      </c>
      <c r="H493" s="47"/>
      <c r="I493" s="49">
        <f>IF(C497&gt;0,$K$2,C495)</f>
        <v>28</v>
      </c>
      <c r="J493" s="50" t="s">
        <v>61</v>
      </c>
      <c r="K493" s="51">
        <f>K489/$K$2*I493</f>
        <v>28000</v>
      </c>
      <c r="L493" s="52"/>
      <c r="N493" s="71"/>
      <c r="O493" s="72" t="s">
        <v>48</v>
      </c>
      <c r="P493" s="72">
        <v>30</v>
      </c>
      <c r="Q493" s="72">
        <v>1</v>
      </c>
      <c r="R493" s="72">
        <v>0</v>
      </c>
      <c r="S493" s="63"/>
      <c r="T493" s="72" t="s">
        <v>48</v>
      </c>
      <c r="U493" s="105">
        <f>Y492</f>
        <v>0</v>
      </c>
      <c r="V493" s="74">
        <f>5000+4000</f>
        <v>9000</v>
      </c>
      <c r="W493" s="105">
        <f t="shared" si="109"/>
        <v>9000</v>
      </c>
      <c r="X493" s="74">
        <v>3000</v>
      </c>
      <c r="Y493" s="105">
        <f t="shared" si="110"/>
        <v>6000</v>
      </c>
      <c r="Z493" s="76"/>
    </row>
    <row r="494" spans="1:29" s="29" customFormat="1" ht="21.4" customHeight="1" x14ac:dyDescent="0.2">
      <c r="A494" s="30"/>
      <c r="B494" s="39"/>
      <c r="C494" s="39"/>
      <c r="F494" s="48" t="s">
        <v>20</v>
      </c>
      <c r="G494" s="43">
        <f>IF($J$1="January",V489,IF($J$1="February",V490,IF($J$1="March",V491,IF($J$1="April",V492,IF($J$1="May",V493,IF($J$1="June",V494,IF($J$1="July",V495,IF($J$1="August",V496,IF($J$1="August",V496,IF($J$1="September",V497,IF($J$1="October",V498,IF($J$1="November",V499,IF($J$1="December",V500)))))))))))))</f>
        <v>19000</v>
      </c>
      <c r="H494" s="47"/>
      <c r="I494" s="84">
        <v>14</v>
      </c>
      <c r="J494" s="50" t="s">
        <v>62</v>
      </c>
      <c r="K494" s="53">
        <f>K489/$K$2/8*I494</f>
        <v>1750</v>
      </c>
      <c r="L494" s="54"/>
      <c r="N494" s="71"/>
      <c r="O494" s="72" t="s">
        <v>49</v>
      </c>
      <c r="P494" s="72">
        <v>28</v>
      </c>
      <c r="Q494" s="72">
        <v>2</v>
      </c>
      <c r="R494" s="72">
        <v>0</v>
      </c>
      <c r="S494" s="63"/>
      <c r="T494" s="72" t="s">
        <v>49</v>
      </c>
      <c r="U494" s="105">
        <f>Y493</f>
        <v>6000</v>
      </c>
      <c r="V494" s="74">
        <f>4000+15000</f>
        <v>19000</v>
      </c>
      <c r="W494" s="105">
        <f t="shared" si="109"/>
        <v>25000</v>
      </c>
      <c r="X494" s="74">
        <v>5000</v>
      </c>
      <c r="Y494" s="105">
        <f t="shared" si="110"/>
        <v>20000</v>
      </c>
      <c r="Z494" s="76"/>
    </row>
    <row r="495" spans="1:29" s="29" customFormat="1" ht="21.4" customHeight="1" x14ac:dyDescent="0.2">
      <c r="A495" s="30"/>
      <c r="B495" s="48" t="s">
        <v>7</v>
      </c>
      <c r="C495" s="39">
        <f>IF($J$1="January",P489,IF($J$1="February",P490,IF($J$1="March",P491,IF($J$1="April",P492,IF($J$1="May",P493,IF($J$1="June",P494,IF($J$1="July",P495,IF($J$1="August",P496,IF($J$1="August",P496,IF($J$1="September",P497,IF($J$1="October",P498,IF($J$1="November",P499,IF($J$1="December",P500)))))))))))))</f>
        <v>28</v>
      </c>
      <c r="F495" s="48" t="s">
        <v>65</v>
      </c>
      <c r="G495" s="43">
        <f>IF($J$1="January",W489,IF($J$1="February",W490,IF($J$1="March",W491,IF($J$1="April",W492,IF($J$1="May",W493,IF($J$1="June",W494,IF($J$1="July",W495,IF($J$1="August",W496,IF($J$1="August",W496,IF($J$1="September",W497,IF($J$1="October",W498,IF($J$1="November",W499,IF($J$1="December",W500)))))))))))))</f>
        <v>25000</v>
      </c>
      <c r="H495" s="47"/>
      <c r="I495" s="392" t="s">
        <v>69</v>
      </c>
      <c r="J495" s="393"/>
      <c r="K495" s="53">
        <f>K493+K494</f>
        <v>29750</v>
      </c>
      <c r="L495" s="54"/>
      <c r="N495" s="71"/>
      <c r="O495" s="72" t="s">
        <v>50</v>
      </c>
      <c r="P495" s="72"/>
      <c r="Q495" s="72"/>
      <c r="R495" s="72" t="str">
        <f t="shared" si="108"/>
        <v/>
      </c>
      <c r="S495" s="63"/>
      <c r="T495" s="72" t="s">
        <v>50</v>
      </c>
      <c r="U495" s="105"/>
      <c r="V495" s="74"/>
      <c r="W495" s="105" t="str">
        <f t="shared" si="109"/>
        <v/>
      </c>
      <c r="X495" s="74"/>
      <c r="Y495" s="105" t="str">
        <f t="shared" si="110"/>
        <v/>
      </c>
      <c r="Z495" s="76"/>
    </row>
    <row r="496" spans="1:29" s="29" customFormat="1" ht="21.4" customHeight="1" x14ac:dyDescent="0.2">
      <c r="A496" s="30"/>
      <c r="B496" s="48" t="s">
        <v>6</v>
      </c>
      <c r="C496" s="39">
        <f>IF($J$1="January",Q489,IF($J$1="February",Q490,IF($J$1="March",Q491,IF($J$1="April",Q492,IF($J$1="May",Q493,IF($J$1="June",Q494,IF($J$1="July",Q495,IF($J$1="August",Q496,IF($J$1="August",Q496,IF($J$1="September",Q497,IF($J$1="October",Q498,IF($J$1="November",Q499,IF($J$1="December",Q500)))))))))))))</f>
        <v>2</v>
      </c>
      <c r="F496" s="48" t="s">
        <v>21</v>
      </c>
      <c r="G496" s="43">
        <f>IF($J$1="January",X489,IF($J$1="February",X490,IF($J$1="March",X491,IF($J$1="April",X492,IF($J$1="May",X493,IF($J$1="June",X494,IF($J$1="July",X495,IF($J$1="August",X496,IF($J$1="August",X496,IF($J$1="September",X497,IF($J$1="October",X498,IF($J$1="November",X499,IF($J$1="December",X500)))))))))))))</f>
        <v>5000</v>
      </c>
      <c r="H496" s="47"/>
      <c r="I496" s="392" t="s">
        <v>70</v>
      </c>
      <c r="J496" s="393"/>
      <c r="K496" s="43">
        <f>G496</f>
        <v>5000</v>
      </c>
      <c r="L496" s="55"/>
      <c r="N496" s="71"/>
      <c r="O496" s="72" t="s">
        <v>51</v>
      </c>
      <c r="P496" s="72"/>
      <c r="Q496" s="72"/>
      <c r="R496" s="72" t="str">
        <f t="shared" si="108"/>
        <v/>
      </c>
      <c r="S496" s="63"/>
      <c r="T496" s="72" t="s">
        <v>51</v>
      </c>
      <c r="U496" s="105">
        <v>0</v>
      </c>
      <c r="V496" s="74"/>
      <c r="W496" s="105">
        <f t="shared" si="109"/>
        <v>0</v>
      </c>
      <c r="X496" s="74"/>
      <c r="Y496" s="105">
        <f t="shared" si="110"/>
        <v>0</v>
      </c>
      <c r="Z496" s="76"/>
      <c r="AC496" s="107"/>
    </row>
    <row r="497" spans="1:27" s="29" customFormat="1" ht="21.4" customHeight="1" x14ac:dyDescent="0.2">
      <c r="A497" s="30"/>
      <c r="B497" s="56" t="s">
        <v>68</v>
      </c>
      <c r="C497" s="39">
        <f>IF($J$1="January",R489,IF($J$1="February",R490,IF($J$1="March",R491,IF($J$1="April",R492,IF($J$1="May",R493,IF($J$1="June",R494,IF($J$1="July",R495,IF($J$1="August",R496,IF($J$1="August",R496,IF($J$1="September",R497,IF($J$1="October",R498,IF($J$1="November",R499,IF($J$1="December",R500)))))))))))))</f>
        <v>0</v>
      </c>
      <c r="F497" s="48" t="s">
        <v>67</v>
      </c>
      <c r="G497" s="43">
        <f>IF($J$1="January",Y489,IF($J$1="February",Y490,IF($J$1="March",Y491,IF($J$1="April",Y492,IF($J$1="May",Y493,IF($J$1="June",Y494,IF($J$1="July",Y495,IF($J$1="August",Y496,IF($J$1="August",Y496,IF($J$1="September",Y497,IF($J$1="October",Y498,IF($J$1="November",Y499,IF($J$1="December",Y500)))))))))))))</f>
        <v>20000</v>
      </c>
      <c r="I497" s="387" t="s">
        <v>63</v>
      </c>
      <c r="J497" s="388"/>
      <c r="K497" s="57">
        <f>K495-K496</f>
        <v>24750</v>
      </c>
      <c r="L497" s="58"/>
      <c r="N497" s="71"/>
      <c r="O497" s="72" t="s">
        <v>56</v>
      </c>
      <c r="P497" s="72"/>
      <c r="Q497" s="72"/>
      <c r="R497" s="72" t="str">
        <f t="shared" si="108"/>
        <v/>
      </c>
      <c r="S497" s="63"/>
      <c r="T497" s="72" t="s">
        <v>56</v>
      </c>
      <c r="U497" s="105">
        <f>IF($J$1="August","",Y496)</f>
        <v>0</v>
      </c>
      <c r="V497" s="74"/>
      <c r="W497" s="105">
        <f t="shared" si="109"/>
        <v>0</v>
      </c>
      <c r="X497" s="74"/>
      <c r="Y497" s="105">
        <f t="shared" si="110"/>
        <v>0</v>
      </c>
      <c r="Z497" s="76"/>
    </row>
    <row r="498" spans="1:27" s="29" customFormat="1" ht="21.4" customHeight="1" x14ac:dyDescent="0.2">
      <c r="A498" s="30"/>
      <c r="J498" s="107"/>
      <c r="L498" s="46"/>
      <c r="N498" s="71"/>
      <c r="O498" s="72" t="s">
        <v>52</v>
      </c>
      <c r="P498" s="72"/>
      <c r="Q498" s="72"/>
      <c r="R498" s="72">
        <v>0</v>
      </c>
      <c r="S498" s="63"/>
      <c r="T498" s="72" t="s">
        <v>52</v>
      </c>
      <c r="U498" s="105">
        <f>IF($J$1="September","",Y497)</f>
        <v>0</v>
      </c>
      <c r="V498" s="74"/>
      <c r="W498" s="105">
        <f t="shared" si="109"/>
        <v>0</v>
      </c>
      <c r="X498" s="74"/>
      <c r="Y498" s="105">
        <f t="shared" si="110"/>
        <v>0</v>
      </c>
      <c r="Z498" s="76"/>
    </row>
    <row r="499" spans="1:27" s="29" customFormat="1" ht="21.4" customHeight="1" x14ac:dyDescent="0.2">
      <c r="A499" s="30"/>
      <c r="B499" s="395"/>
      <c r="C499" s="395"/>
      <c r="D499" s="395"/>
      <c r="E499" s="395"/>
      <c r="F499" s="395"/>
      <c r="G499" s="395"/>
      <c r="H499" s="395"/>
      <c r="I499" s="395"/>
      <c r="J499" s="395"/>
      <c r="K499" s="395"/>
      <c r="L499" s="46"/>
      <c r="N499" s="71"/>
      <c r="O499" s="72" t="s">
        <v>57</v>
      </c>
      <c r="P499" s="72"/>
      <c r="Q499" s="72"/>
      <c r="R499" s="72">
        <v>0</v>
      </c>
      <c r="S499" s="63"/>
      <c r="T499" s="72" t="s">
        <v>57</v>
      </c>
      <c r="U499" s="105">
        <f>IF($J$1="October","",Y498)</f>
        <v>0</v>
      </c>
      <c r="V499" s="74"/>
      <c r="W499" s="105">
        <f t="shared" si="109"/>
        <v>0</v>
      </c>
      <c r="X499" s="74"/>
      <c r="Y499" s="105">
        <f t="shared" si="110"/>
        <v>0</v>
      </c>
      <c r="Z499" s="76"/>
    </row>
    <row r="500" spans="1:27" s="29" customFormat="1" ht="21.4" customHeight="1" x14ac:dyDescent="0.2">
      <c r="A500" s="30"/>
      <c r="B500" s="395"/>
      <c r="C500" s="395"/>
      <c r="D500" s="395"/>
      <c r="E500" s="395"/>
      <c r="F500" s="395"/>
      <c r="G500" s="395"/>
      <c r="H500" s="395"/>
      <c r="I500" s="395"/>
      <c r="J500" s="395"/>
      <c r="K500" s="395"/>
      <c r="L500" s="46"/>
      <c r="N500" s="71"/>
      <c r="O500" s="72" t="s">
        <v>58</v>
      </c>
      <c r="P500" s="72"/>
      <c r="Q500" s="72"/>
      <c r="R500" s="72">
        <v>0</v>
      </c>
      <c r="S500" s="63"/>
      <c r="T500" s="72" t="s">
        <v>58</v>
      </c>
      <c r="U500" s="105">
        <f>IF($J$1="November","",Y499)</f>
        <v>0</v>
      </c>
      <c r="V500" s="74"/>
      <c r="W500" s="105">
        <f t="shared" si="109"/>
        <v>0</v>
      </c>
      <c r="X500" s="74"/>
      <c r="Y500" s="105">
        <f t="shared" si="110"/>
        <v>0</v>
      </c>
      <c r="Z500" s="76"/>
    </row>
    <row r="501" spans="1:27" s="29" customFormat="1" ht="21.4" customHeight="1" thickBot="1" x14ac:dyDescent="0.25">
      <c r="A501" s="59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1"/>
      <c r="N501" s="77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9"/>
    </row>
    <row r="502" spans="1:27" s="29" customFormat="1" ht="21.4" customHeight="1" thickBot="1" x14ac:dyDescent="0.25">
      <c r="A502" s="30"/>
      <c r="L502" s="46"/>
      <c r="N502" s="71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85"/>
    </row>
    <row r="503" spans="1:27" s="29" customFormat="1" ht="21" customHeight="1" x14ac:dyDescent="0.2">
      <c r="A503" s="413" t="s">
        <v>40</v>
      </c>
      <c r="B503" s="414"/>
      <c r="C503" s="414"/>
      <c r="D503" s="414"/>
      <c r="E503" s="414"/>
      <c r="F503" s="414"/>
      <c r="G503" s="414"/>
      <c r="H503" s="414"/>
      <c r="I503" s="414"/>
      <c r="J503" s="414"/>
      <c r="K503" s="414"/>
      <c r="L503" s="415"/>
      <c r="M503" s="28"/>
      <c r="N503" s="64"/>
      <c r="O503" s="403" t="s">
        <v>42</v>
      </c>
      <c r="P503" s="404"/>
      <c r="Q503" s="404"/>
      <c r="R503" s="405"/>
      <c r="S503" s="65"/>
      <c r="T503" s="403" t="s">
        <v>43</v>
      </c>
      <c r="U503" s="404"/>
      <c r="V503" s="404"/>
      <c r="W503" s="404"/>
      <c r="X503" s="404"/>
      <c r="Y503" s="405"/>
      <c r="Z503" s="66"/>
      <c r="AA503" s="28"/>
    </row>
    <row r="504" spans="1:27" s="29" customFormat="1" ht="21" customHeight="1" x14ac:dyDescent="0.2">
      <c r="A504" s="30"/>
      <c r="C504" s="402" t="s">
        <v>83</v>
      </c>
      <c r="D504" s="402"/>
      <c r="E504" s="402"/>
      <c r="F504" s="402"/>
      <c r="G504" s="31" t="str">
        <f>$J$1</f>
        <v>June</v>
      </c>
      <c r="H504" s="409">
        <f>$K$1</f>
        <v>2023</v>
      </c>
      <c r="I504" s="409"/>
      <c r="K504" s="32"/>
      <c r="L504" s="33"/>
      <c r="M504" s="32"/>
      <c r="N504" s="67"/>
      <c r="O504" s="68" t="s">
        <v>53</v>
      </c>
      <c r="P504" s="68" t="s">
        <v>7</v>
      </c>
      <c r="Q504" s="68" t="s">
        <v>6</v>
      </c>
      <c r="R504" s="68" t="s">
        <v>54</v>
      </c>
      <c r="S504" s="69"/>
      <c r="T504" s="68" t="s">
        <v>53</v>
      </c>
      <c r="U504" s="68" t="s">
        <v>55</v>
      </c>
      <c r="V504" s="68" t="s">
        <v>20</v>
      </c>
      <c r="W504" s="68" t="s">
        <v>19</v>
      </c>
      <c r="X504" s="68" t="s">
        <v>21</v>
      </c>
      <c r="Y504" s="68" t="s">
        <v>59</v>
      </c>
      <c r="Z504" s="70"/>
      <c r="AA504" s="32"/>
    </row>
    <row r="505" spans="1:27" s="29" customFormat="1" ht="21" customHeight="1" x14ac:dyDescent="0.2">
      <c r="A505" s="30"/>
      <c r="D505" s="35"/>
      <c r="E505" s="35"/>
      <c r="F505" s="35"/>
      <c r="G505" s="35"/>
      <c r="H505" s="35"/>
      <c r="J505" s="36" t="s">
        <v>1</v>
      </c>
      <c r="K505" s="122">
        <f>20000+2500+2000</f>
        <v>24500</v>
      </c>
      <c r="L505" s="38"/>
      <c r="N505" s="71"/>
      <c r="O505" s="72" t="s">
        <v>45</v>
      </c>
      <c r="P505" s="72">
        <v>31</v>
      </c>
      <c r="Q505" s="72">
        <v>0</v>
      </c>
      <c r="R505" s="72">
        <v>0</v>
      </c>
      <c r="S505" s="73"/>
      <c r="T505" s="72" t="s">
        <v>45</v>
      </c>
      <c r="U505" s="74"/>
      <c r="V505" s="74"/>
      <c r="W505" s="74">
        <f>V505+U505</f>
        <v>0</v>
      </c>
      <c r="X505" s="74"/>
      <c r="Y505" s="74">
        <f>W505-X505</f>
        <v>0</v>
      </c>
      <c r="Z505" s="70"/>
    </row>
    <row r="506" spans="1:27" s="29" customFormat="1" ht="21" customHeight="1" x14ac:dyDescent="0.2">
      <c r="A506" s="30"/>
      <c r="B506" s="29" t="s">
        <v>0</v>
      </c>
      <c r="C506" s="40" t="s">
        <v>130</v>
      </c>
      <c r="H506" s="41"/>
      <c r="I506" s="35"/>
      <c r="L506" s="42"/>
      <c r="M506" s="28"/>
      <c r="N506" s="75"/>
      <c r="O506" s="72" t="s">
        <v>71</v>
      </c>
      <c r="P506" s="72">
        <v>28</v>
      </c>
      <c r="Q506" s="72">
        <v>0</v>
      </c>
      <c r="R506" s="72">
        <f>IF(Q506="","",R505-Q506)</f>
        <v>0</v>
      </c>
      <c r="S506" s="63"/>
      <c r="T506" s="72" t="s">
        <v>71</v>
      </c>
      <c r="U506" s="105">
        <f>IF($J$1="January","",Y505)</f>
        <v>0</v>
      </c>
      <c r="V506" s="74"/>
      <c r="W506" s="105">
        <f>IF(U506="","",U506+V506)</f>
        <v>0</v>
      </c>
      <c r="X506" s="74"/>
      <c r="Y506" s="105">
        <f>IF(W506="","",W506-X506)</f>
        <v>0</v>
      </c>
      <c r="Z506" s="76"/>
      <c r="AA506" s="28"/>
    </row>
    <row r="507" spans="1:27" s="29" customFormat="1" ht="21" customHeight="1" x14ac:dyDescent="0.2">
      <c r="A507" s="30"/>
      <c r="B507" s="44" t="s">
        <v>41</v>
      </c>
      <c r="C507" s="45"/>
      <c r="F507" s="391" t="s">
        <v>43</v>
      </c>
      <c r="G507" s="391"/>
      <c r="I507" s="391" t="s">
        <v>44</v>
      </c>
      <c r="J507" s="391"/>
      <c r="K507" s="391"/>
      <c r="L507" s="46"/>
      <c r="N507" s="71"/>
      <c r="O507" s="72" t="s">
        <v>46</v>
      </c>
      <c r="P507" s="72">
        <v>31</v>
      </c>
      <c r="Q507" s="72">
        <v>0</v>
      </c>
      <c r="R507" s="72">
        <v>0</v>
      </c>
      <c r="S507" s="63"/>
      <c r="T507" s="72" t="s">
        <v>46</v>
      </c>
      <c r="U507" s="105">
        <f>IF($J$1="February","",Y506)</f>
        <v>0</v>
      </c>
      <c r="V507" s="74"/>
      <c r="W507" s="105">
        <f t="shared" ref="W507:W516" si="111">IF(U507="","",U507+V507)</f>
        <v>0</v>
      </c>
      <c r="X507" s="74"/>
      <c r="Y507" s="105">
        <f t="shared" ref="Y507:Y516" si="112">IF(W507="","",W507-X507)</f>
        <v>0</v>
      </c>
      <c r="Z507" s="76"/>
    </row>
    <row r="508" spans="1:27" s="29" customFormat="1" ht="21" customHeight="1" x14ac:dyDescent="0.2">
      <c r="A508" s="30"/>
      <c r="H508" s="47"/>
      <c r="L508" s="34"/>
      <c r="N508" s="71"/>
      <c r="O508" s="72" t="s">
        <v>47</v>
      </c>
      <c r="P508" s="72">
        <v>30</v>
      </c>
      <c r="Q508" s="72">
        <v>0</v>
      </c>
      <c r="R508" s="72">
        <v>0</v>
      </c>
      <c r="S508" s="63"/>
      <c r="T508" s="72" t="s">
        <v>47</v>
      </c>
      <c r="U508" s="105">
        <f>IF($J$1="March","",Y507)</f>
        <v>0</v>
      </c>
      <c r="V508" s="74"/>
      <c r="W508" s="105">
        <f t="shared" si="111"/>
        <v>0</v>
      </c>
      <c r="X508" s="74"/>
      <c r="Y508" s="105">
        <f t="shared" si="112"/>
        <v>0</v>
      </c>
      <c r="Z508" s="76"/>
    </row>
    <row r="509" spans="1:27" s="29" customFormat="1" ht="21" customHeight="1" x14ac:dyDescent="0.2">
      <c r="A509" s="30"/>
      <c r="B509" s="389" t="s">
        <v>42</v>
      </c>
      <c r="C509" s="390"/>
      <c r="F509" s="48" t="s">
        <v>64</v>
      </c>
      <c r="G509" s="43">
        <f>IF($J$1="January",U505,IF($J$1="February",U506,IF($J$1="March",U507,IF($J$1="April",U508,IF($J$1="May",U509,IF($J$1="June",U510,IF($J$1="July",U511,IF($J$1="August",U512,IF($J$1="August",U512,IF($J$1="September",U513,IF($J$1="October",U514,IF($J$1="November",U515,IF($J$1="December",U516)))))))))))))</f>
        <v>0</v>
      </c>
      <c r="H509" s="47"/>
      <c r="I509" s="49">
        <f>IF(C513&gt;0,$K$2,C511)</f>
        <v>30</v>
      </c>
      <c r="J509" s="50" t="s">
        <v>61</v>
      </c>
      <c r="K509" s="51">
        <f>K505/$K$2*I509</f>
        <v>24500</v>
      </c>
      <c r="L509" s="52"/>
      <c r="N509" s="71"/>
      <c r="O509" s="72" t="s">
        <v>48</v>
      </c>
      <c r="P509" s="72">
        <v>31</v>
      </c>
      <c r="Q509" s="72">
        <v>0</v>
      </c>
      <c r="R509" s="72">
        <v>0</v>
      </c>
      <c r="S509" s="63"/>
      <c r="T509" s="72" t="s">
        <v>48</v>
      </c>
      <c r="U509" s="105">
        <f>IF($J$1="April","",Y508)</f>
        <v>0</v>
      </c>
      <c r="V509" s="74"/>
      <c r="W509" s="105">
        <f t="shared" si="111"/>
        <v>0</v>
      </c>
      <c r="X509" s="74"/>
      <c r="Y509" s="105">
        <f t="shared" si="112"/>
        <v>0</v>
      </c>
      <c r="Z509" s="76"/>
    </row>
    <row r="510" spans="1:27" s="29" customFormat="1" ht="21" customHeight="1" x14ac:dyDescent="0.2">
      <c r="A510" s="30"/>
      <c r="B510" s="39"/>
      <c r="C510" s="39"/>
      <c r="F510" s="48" t="s">
        <v>20</v>
      </c>
      <c r="G510" s="43">
        <f>IF($J$1="January",V505,IF($J$1="February",V506,IF($J$1="March",V507,IF($J$1="April",V508,IF($J$1="May",V509,IF($J$1="June",V510,IF($J$1="July",V511,IF($J$1="August",V512,IF($J$1="August",V512,IF($J$1="September",V513,IF($J$1="October",V514,IF($J$1="November",V515,IF($J$1="December",V516)))))))))))))</f>
        <v>0</v>
      </c>
      <c r="H510" s="47"/>
      <c r="I510" s="84">
        <v>88</v>
      </c>
      <c r="J510" s="50" t="s">
        <v>62</v>
      </c>
      <c r="K510" s="53">
        <f>K505/$K$2/8*I510</f>
        <v>8983.3333333333321</v>
      </c>
      <c r="L510" s="54"/>
      <c r="N510" s="71"/>
      <c r="O510" s="72" t="s">
        <v>49</v>
      </c>
      <c r="P510" s="72">
        <v>30</v>
      </c>
      <c r="Q510" s="72">
        <v>0</v>
      </c>
      <c r="R510" s="72">
        <v>0</v>
      </c>
      <c r="S510" s="63"/>
      <c r="T510" s="72" t="s">
        <v>49</v>
      </c>
      <c r="U510" s="105">
        <f>IF($J$1="May","",Y509)</f>
        <v>0</v>
      </c>
      <c r="V510" s="74"/>
      <c r="W510" s="105">
        <f t="shared" si="111"/>
        <v>0</v>
      </c>
      <c r="X510" s="74"/>
      <c r="Y510" s="105">
        <f t="shared" si="112"/>
        <v>0</v>
      </c>
      <c r="Z510" s="76"/>
    </row>
    <row r="511" spans="1:27" s="29" customFormat="1" ht="21" customHeight="1" x14ac:dyDescent="0.2">
      <c r="A511" s="30"/>
      <c r="B511" s="48" t="s">
        <v>7</v>
      </c>
      <c r="C511" s="39">
        <f>IF($J$1="January",P505,IF($J$1="February",P506,IF($J$1="March",P507,IF($J$1="April",P508,IF($J$1="May",P509,IF($J$1="June",P510,IF($J$1="July",P511,IF($J$1="August",P512,IF($J$1="August",P512,IF($J$1="September",P513,IF($J$1="October",P514,IF($J$1="November",P515,IF($J$1="December",P516)))))))))))))</f>
        <v>30</v>
      </c>
      <c r="F511" s="48" t="s">
        <v>65</v>
      </c>
      <c r="G511" s="43">
        <f>IF($J$1="January",W505,IF($J$1="February",W506,IF($J$1="March",W507,IF($J$1="April",W508,IF($J$1="May",W509,IF($J$1="June",W510,IF($J$1="July",W511,IF($J$1="August",W512,IF($J$1="August",W512,IF($J$1="September",W513,IF($J$1="October",W514,IF($J$1="November",W515,IF($J$1="December",W516)))))))))))))</f>
        <v>0</v>
      </c>
      <c r="H511" s="47"/>
      <c r="I511" s="392" t="s">
        <v>69</v>
      </c>
      <c r="J511" s="393"/>
      <c r="K511" s="53">
        <f>K509+K510</f>
        <v>33483.333333333328</v>
      </c>
      <c r="L511" s="54"/>
      <c r="N511" s="71"/>
      <c r="O511" s="72" t="s">
        <v>50</v>
      </c>
      <c r="P511" s="72"/>
      <c r="Q511" s="72"/>
      <c r="R511" s="72">
        <v>0</v>
      </c>
      <c r="S511" s="63"/>
      <c r="T511" s="72" t="s">
        <v>50</v>
      </c>
      <c r="U511" s="105" t="str">
        <f>IF($J$1="June","",Y510)</f>
        <v/>
      </c>
      <c r="V511" s="74"/>
      <c r="W511" s="105" t="str">
        <f t="shared" si="111"/>
        <v/>
      </c>
      <c r="X511" s="74"/>
      <c r="Y511" s="105" t="str">
        <f t="shared" si="112"/>
        <v/>
      </c>
      <c r="Z511" s="76"/>
    </row>
    <row r="512" spans="1:27" s="29" customFormat="1" ht="21" customHeight="1" x14ac:dyDescent="0.2">
      <c r="A512" s="30"/>
      <c r="B512" s="48" t="s">
        <v>6</v>
      </c>
      <c r="C512" s="39">
        <f>IF($J$1="January",Q505,IF($J$1="February",Q506,IF($J$1="March",Q507,IF($J$1="April",Q508,IF($J$1="May",Q509,IF($J$1="June",Q510,IF($J$1="July",Q511,IF($J$1="August",Q512,IF($J$1="August",Q512,IF($J$1="September",Q513,IF($J$1="October",Q514,IF($J$1="November",Q515,IF($J$1="December",Q516)))))))))))))</f>
        <v>0</v>
      </c>
      <c r="F512" s="48" t="s">
        <v>21</v>
      </c>
      <c r="G512" s="43">
        <f>IF($J$1="January",X505,IF($J$1="February",X506,IF($J$1="March",X507,IF($J$1="April",X508,IF($J$1="May",X509,IF($J$1="June",X510,IF($J$1="July",X511,IF($J$1="August",X512,IF($J$1="August",X512,IF($J$1="September",X513,IF($J$1="October",X514,IF($J$1="November",X515,IF($J$1="December",X516)))))))))))))</f>
        <v>0</v>
      </c>
      <c r="H512" s="47"/>
      <c r="I512" s="392" t="s">
        <v>70</v>
      </c>
      <c r="J512" s="393"/>
      <c r="K512" s="43">
        <f>G512</f>
        <v>0</v>
      </c>
      <c r="L512" s="55"/>
      <c r="N512" s="71"/>
      <c r="O512" s="72" t="s">
        <v>51</v>
      </c>
      <c r="P512" s="72"/>
      <c r="Q512" s="72"/>
      <c r="R512" s="72">
        <v>0</v>
      </c>
      <c r="S512" s="63"/>
      <c r="T512" s="72" t="s">
        <v>51</v>
      </c>
      <c r="U512" s="105" t="str">
        <f>IF($J$1="July","",Y511)</f>
        <v/>
      </c>
      <c r="V512" s="74"/>
      <c r="W512" s="105" t="str">
        <f t="shared" si="111"/>
        <v/>
      </c>
      <c r="X512" s="74"/>
      <c r="Y512" s="105" t="str">
        <f t="shared" si="112"/>
        <v/>
      </c>
      <c r="Z512" s="76"/>
    </row>
    <row r="513" spans="1:26" s="29" customFormat="1" ht="21" customHeight="1" x14ac:dyDescent="0.2">
      <c r="A513" s="30"/>
      <c r="B513" s="56" t="s">
        <v>68</v>
      </c>
      <c r="C513" s="39">
        <f>IF($J$1="January",R505,IF($J$1="February",R506,IF($J$1="March",R507,IF($J$1="April",R508,IF($J$1="May",R509,IF($J$1="June",R510,IF($J$1="July",R511,IF($J$1="August",R512,IF($J$1="August",R512,IF($J$1="September",R513,IF($J$1="October",R514,IF($J$1="November",R515,IF($J$1="December",R516)))))))))))))</f>
        <v>0</v>
      </c>
      <c r="F513" s="48" t="s">
        <v>67</v>
      </c>
      <c r="G513" s="43">
        <f>IF($J$1="January",Y505,IF($J$1="February",Y506,IF($J$1="March",Y507,IF($J$1="April",Y508,IF($J$1="May",Y509,IF($J$1="June",Y510,IF($J$1="July",Y511,IF($J$1="August",Y512,IF($J$1="August",Y512,IF($J$1="September",Y513,IF($J$1="October",Y514,IF($J$1="November",Y515,IF($J$1="December",Y516)))))))))))))</f>
        <v>0</v>
      </c>
      <c r="I513" s="387" t="s">
        <v>63</v>
      </c>
      <c r="J513" s="388"/>
      <c r="K513" s="57">
        <f>K511-K512</f>
        <v>33483.333333333328</v>
      </c>
      <c r="L513" s="58"/>
      <c r="N513" s="71"/>
      <c r="O513" s="72" t="s">
        <v>56</v>
      </c>
      <c r="P513" s="72"/>
      <c r="Q513" s="72"/>
      <c r="R513" s="72">
        <v>0</v>
      </c>
      <c r="S513" s="63"/>
      <c r="T513" s="72" t="s">
        <v>56</v>
      </c>
      <c r="U513" s="105" t="str">
        <f>IF($J$1="August","",Y512)</f>
        <v/>
      </c>
      <c r="V513" s="74"/>
      <c r="W513" s="105" t="str">
        <f t="shared" si="111"/>
        <v/>
      </c>
      <c r="X513" s="74"/>
      <c r="Y513" s="105" t="str">
        <f t="shared" si="112"/>
        <v/>
      </c>
      <c r="Z513" s="76"/>
    </row>
    <row r="514" spans="1:26" s="29" customFormat="1" ht="21" customHeight="1" x14ac:dyDescent="0.2">
      <c r="A514" s="30"/>
      <c r="G514" s="107"/>
      <c r="K514" s="107"/>
      <c r="L514" s="46"/>
      <c r="N514" s="71"/>
      <c r="O514" s="72" t="s">
        <v>52</v>
      </c>
      <c r="P514" s="72"/>
      <c r="Q514" s="72"/>
      <c r="R514" s="72">
        <v>0</v>
      </c>
      <c r="S514" s="63"/>
      <c r="T514" s="72" t="s">
        <v>52</v>
      </c>
      <c r="U514" s="105" t="str">
        <f>IF($J$1="September","",Y513)</f>
        <v/>
      </c>
      <c r="V514" s="74"/>
      <c r="W514" s="105" t="str">
        <f t="shared" si="111"/>
        <v/>
      </c>
      <c r="X514" s="74"/>
      <c r="Y514" s="105" t="str">
        <f t="shared" si="112"/>
        <v/>
      </c>
      <c r="Z514" s="76"/>
    </row>
    <row r="515" spans="1:26" s="29" customFormat="1" ht="21" customHeight="1" x14ac:dyDescent="0.2">
      <c r="A515" s="30"/>
      <c r="B515" s="394" t="s">
        <v>85</v>
      </c>
      <c r="C515" s="394"/>
      <c r="D515" s="394"/>
      <c r="E515" s="394"/>
      <c r="F515" s="394"/>
      <c r="G515" s="394"/>
      <c r="H515" s="394"/>
      <c r="I515" s="394"/>
      <c r="J515" s="394"/>
      <c r="K515" s="394"/>
      <c r="L515" s="46"/>
      <c r="N515" s="71"/>
      <c r="O515" s="72" t="s">
        <v>57</v>
      </c>
      <c r="P515" s="72"/>
      <c r="Q515" s="72"/>
      <c r="R515" s="72" t="str">
        <f t="shared" ref="R515:R516" si="113">IF(Q515="","",R514-Q515)</f>
        <v/>
      </c>
      <c r="S515" s="63"/>
      <c r="T515" s="72" t="s">
        <v>57</v>
      </c>
      <c r="U515" s="105" t="str">
        <f>IF($J$1="October","",Y514)</f>
        <v/>
      </c>
      <c r="V515" s="74"/>
      <c r="W515" s="105" t="str">
        <f t="shared" si="111"/>
        <v/>
      </c>
      <c r="X515" s="74"/>
      <c r="Y515" s="105" t="str">
        <f t="shared" si="112"/>
        <v/>
      </c>
      <c r="Z515" s="76"/>
    </row>
    <row r="516" spans="1:26" s="29" customFormat="1" ht="21" customHeight="1" x14ac:dyDescent="0.2">
      <c r="A516" s="30"/>
      <c r="B516" s="394"/>
      <c r="C516" s="394"/>
      <c r="D516" s="394"/>
      <c r="E516" s="394"/>
      <c r="F516" s="394"/>
      <c r="G516" s="394"/>
      <c r="H516" s="394"/>
      <c r="I516" s="394"/>
      <c r="J516" s="394"/>
      <c r="K516" s="394"/>
      <c r="L516" s="46"/>
      <c r="N516" s="71"/>
      <c r="O516" s="72" t="s">
        <v>58</v>
      </c>
      <c r="P516" s="72"/>
      <c r="Q516" s="72"/>
      <c r="R516" s="72" t="str">
        <f t="shared" si="113"/>
        <v/>
      </c>
      <c r="S516" s="63"/>
      <c r="T516" s="72" t="s">
        <v>58</v>
      </c>
      <c r="U516" s="105" t="str">
        <f>IF($J$1="November","",Y515)</f>
        <v/>
      </c>
      <c r="V516" s="74"/>
      <c r="W516" s="105" t="str">
        <f t="shared" si="111"/>
        <v/>
      </c>
      <c r="X516" s="74"/>
      <c r="Y516" s="105" t="str">
        <f t="shared" si="112"/>
        <v/>
      </c>
      <c r="Z516" s="76"/>
    </row>
    <row r="517" spans="1:26" s="29" customFormat="1" ht="21" customHeight="1" thickBot="1" x14ac:dyDescent="0.25">
      <c r="A517" s="59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1"/>
      <c r="N517" s="77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9"/>
    </row>
    <row r="518" spans="1:26" s="29" customFormat="1" ht="21" customHeight="1" thickBot="1" x14ac:dyDescent="0.25"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spans="1:26" s="29" customFormat="1" ht="21" customHeight="1" x14ac:dyDescent="0.2">
      <c r="A519" s="396" t="s">
        <v>40</v>
      </c>
      <c r="B519" s="397"/>
      <c r="C519" s="397"/>
      <c r="D519" s="397"/>
      <c r="E519" s="397"/>
      <c r="F519" s="397"/>
      <c r="G519" s="397"/>
      <c r="H519" s="397"/>
      <c r="I519" s="397"/>
      <c r="J519" s="397"/>
      <c r="K519" s="397"/>
      <c r="L519" s="398"/>
      <c r="M519" s="28"/>
      <c r="N519" s="64"/>
      <c r="O519" s="403" t="s">
        <v>42</v>
      </c>
      <c r="P519" s="404"/>
      <c r="Q519" s="404"/>
      <c r="R519" s="405"/>
      <c r="S519" s="65"/>
      <c r="T519" s="403" t="s">
        <v>43</v>
      </c>
      <c r="U519" s="404"/>
      <c r="V519" s="404"/>
      <c r="W519" s="404"/>
      <c r="X519" s="404"/>
      <c r="Y519" s="405"/>
      <c r="Z519" s="66"/>
    </row>
    <row r="520" spans="1:26" s="29" customFormat="1" ht="21" customHeight="1" x14ac:dyDescent="0.2">
      <c r="A520" s="30"/>
      <c r="C520" s="402" t="s">
        <v>83</v>
      </c>
      <c r="D520" s="402"/>
      <c r="E520" s="402"/>
      <c r="F520" s="402"/>
      <c r="G520" s="31" t="str">
        <f>$J$1</f>
        <v>June</v>
      </c>
      <c r="H520" s="409">
        <f>$K$1</f>
        <v>2023</v>
      </c>
      <c r="I520" s="409"/>
      <c r="K520" s="32"/>
      <c r="L520" s="33"/>
      <c r="M520" s="32"/>
      <c r="N520" s="67"/>
      <c r="O520" s="68" t="s">
        <v>53</v>
      </c>
      <c r="P520" s="68" t="s">
        <v>7</v>
      </c>
      <c r="Q520" s="68" t="s">
        <v>6</v>
      </c>
      <c r="R520" s="68" t="s">
        <v>54</v>
      </c>
      <c r="S520" s="69"/>
      <c r="T520" s="68" t="s">
        <v>53</v>
      </c>
      <c r="U520" s="68" t="s">
        <v>55</v>
      </c>
      <c r="V520" s="68" t="s">
        <v>20</v>
      </c>
      <c r="W520" s="68" t="s">
        <v>19</v>
      </c>
      <c r="X520" s="68" t="s">
        <v>21</v>
      </c>
      <c r="Y520" s="68" t="s">
        <v>59</v>
      </c>
      <c r="Z520" s="70"/>
    </row>
    <row r="521" spans="1:26" s="29" customFormat="1" ht="21" customHeight="1" x14ac:dyDescent="0.2">
      <c r="A521" s="30"/>
      <c r="D521" s="35"/>
      <c r="E521" s="35"/>
      <c r="F521" s="35"/>
      <c r="G521" s="35"/>
      <c r="H521" s="35"/>
      <c r="J521" s="36" t="s">
        <v>1</v>
      </c>
      <c r="K521" s="37">
        <f>20000+2500+2000</f>
        <v>24500</v>
      </c>
      <c r="L521" s="38"/>
      <c r="N521" s="71"/>
      <c r="O521" s="72" t="s">
        <v>45</v>
      </c>
      <c r="P521" s="72">
        <v>31</v>
      </c>
      <c r="Q521" s="72">
        <v>0</v>
      </c>
      <c r="R521" s="72">
        <v>0</v>
      </c>
      <c r="S521" s="73"/>
      <c r="T521" s="72" t="s">
        <v>45</v>
      </c>
      <c r="U521" s="74"/>
      <c r="V521" s="74"/>
      <c r="W521" s="74">
        <f>V521+U521</f>
        <v>0</v>
      </c>
      <c r="X521" s="74"/>
      <c r="Y521" s="74">
        <f>W521-X521</f>
        <v>0</v>
      </c>
      <c r="Z521" s="70"/>
    </row>
    <row r="522" spans="1:26" s="29" customFormat="1" ht="21" customHeight="1" x14ac:dyDescent="0.2">
      <c r="A522" s="30"/>
      <c r="B522" s="29" t="s">
        <v>0</v>
      </c>
      <c r="C522" s="40" t="s">
        <v>165</v>
      </c>
      <c r="H522" s="41"/>
      <c r="I522" s="35"/>
      <c r="L522" s="42"/>
      <c r="M522" s="28"/>
      <c r="N522" s="75"/>
      <c r="O522" s="72" t="s">
        <v>71</v>
      </c>
      <c r="P522" s="72">
        <v>26</v>
      </c>
      <c r="Q522" s="72">
        <v>2</v>
      </c>
      <c r="R522" s="72">
        <v>0</v>
      </c>
      <c r="S522" s="63"/>
      <c r="T522" s="72" t="s">
        <v>71</v>
      </c>
      <c r="U522" s="105">
        <f>IF($J$1="January","",Y521)</f>
        <v>0</v>
      </c>
      <c r="V522" s="74"/>
      <c r="W522" s="105">
        <f>IF(U522="","",U522+V522)</f>
        <v>0</v>
      </c>
      <c r="X522" s="74"/>
      <c r="Y522" s="105">
        <f>IF(W522="","",W522-X522)</f>
        <v>0</v>
      </c>
      <c r="Z522" s="76"/>
    </row>
    <row r="523" spans="1:26" s="29" customFormat="1" ht="21" customHeight="1" x14ac:dyDescent="0.2">
      <c r="A523" s="30"/>
      <c r="B523" s="446"/>
      <c r="C523" s="446"/>
      <c r="F523" s="391" t="s">
        <v>43</v>
      </c>
      <c r="G523" s="391"/>
      <c r="I523" s="391" t="s">
        <v>44</v>
      </c>
      <c r="J523" s="391"/>
      <c r="K523" s="391"/>
      <c r="L523" s="46"/>
      <c r="N523" s="71"/>
      <c r="O523" s="72" t="s">
        <v>46</v>
      </c>
      <c r="P523" s="72">
        <v>31</v>
      </c>
      <c r="Q523" s="72">
        <v>0</v>
      </c>
      <c r="R523" s="72">
        <v>0</v>
      </c>
      <c r="S523" s="63"/>
      <c r="T523" s="72" t="s">
        <v>46</v>
      </c>
      <c r="U523" s="105">
        <f>IF($J$1="February","",Y522)</f>
        <v>0</v>
      </c>
      <c r="V523" s="74"/>
      <c r="W523" s="105">
        <f t="shared" ref="W523:W532" si="114">IF(U523="","",U523+V523)</f>
        <v>0</v>
      </c>
      <c r="X523" s="74"/>
      <c r="Y523" s="105">
        <f t="shared" ref="Y523:Y532" si="115">IF(W523="","",W523-X523)</f>
        <v>0</v>
      </c>
      <c r="Z523" s="76"/>
    </row>
    <row r="524" spans="1:26" s="29" customFormat="1" ht="21" customHeight="1" x14ac:dyDescent="0.2">
      <c r="A524" s="30"/>
      <c r="H524" s="47"/>
      <c r="L524" s="34"/>
      <c r="N524" s="71"/>
      <c r="O524" s="72" t="s">
        <v>47</v>
      </c>
      <c r="P524" s="72">
        <v>30</v>
      </c>
      <c r="Q524" s="72">
        <v>0</v>
      </c>
      <c r="R524" s="72">
        <v>0</v>
      </c>
      <c r="S524" s="63"/>
      <c r="T524" s="72" t="s">
        <v>47</v>
      </c>
      <c r="U524" s="105">
        <f>IF($J$1="March","",Y523)</f>
        <v>0</v>
      </c>
      <c r="V524" s="74"/>
      <c r="W524" s="105">
        <f t="shared" si="114"/>
        <v>0</v>
      </c>
      <c r="X524" s="74"/>
      <c r="Y524" s="105">
        <f t="shared" si="115"/>
        <v>0</v>
      </c>
      <c r="Z524" s="76"/>
    </row>
    <row r="525" spans="1:26" s="29" customFormat="1" ht="21" customHeight="1" x14ac:dyDescent="0.2">
      <c r="A525" s="30"/>
      <c r="B525" s="389" t="s">
        <v>42</v>
      </c>
      <c r="C525" s="390"/>
      <c r="F525" s="48" t="s">
        <v>64</v>
      </c>
      <c r="G525" s="43">
        <f>IF($J$1="January",U521,IF($J$1="February",U522,IF($J$1="March",U523,IF($J$1="April",U524,IF($J$1="May",U525,IF($J$1="June",U526,IF($J$1="July",U527,IF($J$1="August",U528,IF($J$1="August",U528,IF($J$1="September",U529,IF($J$1="October",U530,IF($J$1="November",U531,IF($J$1="December",U532)))))))))))))</f>
        <v>0</v>
      </c>
      <c r="H525" s="47"/>
      <c r="I525" s="49">
        <f>IF(C529&gt;0,$K$2,C527)</f>
        <v>30</v>
      </c>
      <c r="J525" s="50" t="s">
        <v>61</v>
      </c>
      <c r="K525" s="51">
        <f>K521/$K$2*I525</f>
        <v>24500</v>
      </c>
      <c r="L525" s="52"/>
      <c r="N525" s="71"/>
      <c r="O525" s="72" t="s">
        <v>48</v>
      </c>
      <c r="P525" s="72">
        <v>31</v>
      </c>
      <c r="Q525" s="72">
        <v>0</v>
      </c>
      <c r="R525" s="72">
        <v>0</v>
      </c>
      <c r="S525" s="63"/>
      <c r="T525" s="72" t="s">
        <v>48</v>
      </c>
      <c r="U525" s="105">
        <f>IF($J$1="April","",Y524)</f>
        <v>0</v>
      </c>
      <c r="V525" s="74"/>
      <c r="W525" s="105">
        <f t="shared" si="114"/>
        <v>0</v>
      </c>
      <c r="X525" s="74"/>
      <c r="Y525" s="105">
        <f t="shared" si="115"/>
        <v>0</v>
      </c>
      <c r="Z525" s="76"/>
    </row>
    <row r="526" spans="1:26" s="29" customFormat="1" ht="21" customHeight="1" x14ac:dyDescent="0.2">
      <c r="A526" s="30"/>
      <c r="B526" s="39"/>
      <c r="C526" s="39"/>
      <c r="F526" s="48" t="s">
        <v>20</v>
      </c>
      <c r="G526" s="43">
        <f>IF($J$1="January",V521,IF($J$1="February",V522,IF($J$1="March",V523,IF($J$1="April",V524,IF($J$1="May",V525,IF($J$1="June",V526,IF($J$1="July",V527,IF($J$1="August",V528,IF($J$1="August",V528,IF($J$1="September",V529,IF($J$1="October",V530,IF($J$1="November",V531,IF($J$1="December",V532)))))))))))))</f>
        <v>0</v>
      </c>
      <c r="H526" s="47"/>
      <c r="I526" s="84">
        <v>82</v>
      </c>
      <c r="J526" s="50" t="s">
        <v>62</v>
      </c>
      <c r="K526" s="53">
        <f>K521/$K$2/8*I526</f>
        <v>8370.8333333333321</v>
      </c>
      <c r="L526" s="54"/>
      <c r="N526" s="71"/>
      <c r="O526" s="72" t="s">
        <v>49</v>
      </c>
      <c r="P526" s="72">
        <v>30</v>
      </c>
      <c r="Q526" s="72">
        <v>0</v>
      </c>
      <c r="R526" s="72">
        <v>0</v>
      </c>
      <c r="S526" s="63"/>
      <c r="T526" s="72" t="s">
        <v>49</v>
      </c>
      <c r="U526" s="105">
        <f>IF($J$1="May","",Y525)</f>
        <v>0</v>
      </c>
      <c r="V526" s="74"/>
      <c r="W526" s="105">
        <f t="shared" si="114"/>
        <v>0</v>
      </c>
      <c r="X526" s="74"/>
      <c r="Y526" s="105">
        <f t="shared" si="115"/>
        <v>0</v>
      </c>
      <c r="Z526" s="76"/>
    </row>
    <row r="527" spans="1:26" s="29" customFormat="1" ht="21" customHeight="1" x14ac:dyDescent="0.2">
      <c r="A527" s="30"/>
      <c r="B527" s="48" t="s">
        <v>7</v>
      </c>
      <c r="C527" s="39">
        <f>IF($J$1="January",P521,IF($J$1="February",P522,IF($J$1="March",P523,IF($J$1="April",P524,IF($J$1="May",P525,IF($J$1="June",P526,IF($J$1="July",P527,IF($J$1="August",P528,IF($J$1="August",P528,IF($J$1="September",P529,IF($J$1="October",P530,IF($J$1="November",P531,IF($J$1="December",P532)))))))))))))</f>
        <v>30</v>
      </c>
      <c r="F527" s="48" t="s">
        <v>65</v>
      </c>
      <c r="G527" s="43">
        <f>IF($J$1="January",W521,IF($J$1="February",W522,IF($J$1="March",W523,IF($J$1="April",W524,IF($J$1="May",W525,IF($J$1="June",W526,IF($J$1="July",W527,IF($J$1="August",W528,IF($J$1="August",W528,IF($J$1="September",W529,IF($J$1="October",W530,IF($J$1="November",W531,IF($J$1="December",W532)))))))))))))</f>
        <v>0</v>
      </c>
      <c r="H527" s="47"/>
      <c r="I527" s="392" t="s">
        <v>69</v>
      </c>
      <c r="J527" s="393"/>
      <c r="K527" s="53">
        <f>K525+K526</f>
        <v>32870.833333333328</v>
      </c>
      <c r="L527" s="54"/>
      <c r="N527" s="71"/>
      <c r="O527" s="72" t="s">
        <v>50</v>
      </c>
      <c r="P527" s="72"/>
      <c r="Q527" s="72"/>
      <c r="R527" s="72">
        <v>0</v>
      </c>
      <c r="S527" s="63"/>
      <c r="T527" s="72" t="s">
        <v>50</v>
      </c>
      <c r="U527" s="105" t="str">
        <f>IF($J$1="June","",Y526)</f>
        <v/>
      </c>
      <c r="V527" s="74"/>
      <c r="W527" s="105" t="str">
        <f t="shared" si="114"/>
        <v/>
      </c>
      <c r="X527" s="74"/>
      <c r="Y527" s="105" t="str">
        <f t="shared" si="115"/>
        <v/>
      </c>
      <c r="Z527" s="76"/>
    </row>
    <row r="528" spans="1:26" s="29" customFormat="1" ht="21" customHeight="1" x14ac:dyDescent="0.2">
      <c r="A528" s="30"/>
      <c r="B528" s="48" t="s">
        <v>6</v>
      </c>
      <c r="C528" s="39">
        <f>IF($J$1="January",Q521,IF($J$1="February",Q522,IF($J$1="March",Q523,IF($J$1="April",Q524,IF($J$1="May",Q525,IF($J$1="June",Q526,IF($J$1="July",Q527,IF($J$1="August",Q528,IF($J$1="August",Q528,IF($J$1="September",Q529,IF($J$1="October",Q530,IF($J$1="November",Q531,IF($J$1="December",Q532)))))))))))))</f>
        <v>0</v>
      </c>
      <c r="F528" s="48" t="s">
        <v>21</v>
      </c>
      <c r="G528" s="43">
        <f>IF($J$1="January",X521,IF($J$1="February",X522,IF($J$1="March",X523,IF($J$1="April",X524,IF($J$1="May",X525,IF($J$1="June",X526,IF($J$1="July",X527,IF($J$1="August",X528,IF($J$1="August",X528,IF($J$1="September",X529,IF($J$1="October",X530,IF($J$1="November",X531,IF($J$1="December",X532)))))))))))))</f>
        <v>0</v>
      </c>
      <c r="H528" s="47"/>
      <c r="I528" s="392" t="s">
        <v>70</v>
      </c>
      <c r="J528" s="393"/>
      <c r="K528" s="43">
        <f>G528</f>
        <v>0</v>
      </c>
      <c r="L528" s="55"/>
      <c r="N528" s="71"/>
      <c r="O528" s="72" t="s">
        <v>51</v>
      </c>
      <c r="P528" s="72"/>
      <c r="Q528" s="72"/>
      <c r="R528" s="72">
        <v>0</v>
      </c>
      <c r="S528" s="63"/>
      <c r="T528" s="72" t="s">
        <v>51</v>
      </c>
      <c r="U528" s="105" t="str">
        <f>IF($J$1="July","",Y527)</f>
        <v/>
      </c>
      <c r="V528" s="74"/>
      <c r="W528" s="105" t="str">
        <f t="shared" si="114"/>
        <v/>
      </c>
      <c r="X528" s="74"/>
      <c r="Y528" s="105" t="str">
        <f t="shared" si="115"/>
        <v/>
      </c>
      <c r="Z528" s="76"/>
    </row>
    <row r="529" spans="1:27" s="29" customFormat="1" ht="21" customHeight="1" x14ac:dyDescent="0.2">
      <c r="A529" s="30"/>
      <c r="B529" s="56" t="s">
        <v>68</v>
      </c>
      <c r="C529" s="39">
        <f>IF($J$1="January",R521,IF($J$1="February",R522,IF($J$1="March",R523,IF($J$1="April",R524,IF($J$1="May",R525,IF($J$1="June",R526,IF($J$1="July",R527,IF($J$1="August",R528,IF($J$1="August",R528,IF($J$1="September",R529,IF($J$1="October",R530,IF($J$1="November",R531,IF($J$1="December",R532)))))))))))))</f>
        <v>0</v>
      </c>
      <c r="F529" s="48" t="s">
        <v>67</v>
      </c>
      <c r="G529" s="43">
        <f>IF($J$1="January",Y521,IF($J$1="February",Y522,IF($J$1="March",Y523,IF($J$1="April",Y524,IF($J$1="May",Y525,IF($J$1="June",Y526,IF($J$1="July",Y527,IF($J$1="August",Y528,IF($J$1="August",Y528,IF($J$1="September",Y529,IF($J$1="October",Y530,IF($J$1="November",Y531,IF($J$1="December",Y532)))))))))))))</f>
        <v>0</v>
      </c>
      <c r="I529" s="387" t="s">
        <v>63</v>
      </c>
      <c r="J529" s="388"/>
      <c r="K529" s="57">
        <f>K527-K528</f>
        <v>32870.833333333328</v>
      </c>
      <c r="L529" s="58"/>
      <c r="N529" s="71"/>
      <c r="O529" s="72" t="s">
        <v>56</v>
      </c>
      <c r="P529" s="72"/>
      <c r="Q529" s="72"/>
      <c r="R529" s="72"/>
      <c r="S529" s="63"/>
      <c r="T529" s="72" t="s">
        <v>56</v>
      </c>
      <c r="U529" s="105" t="str">
        <f>IF($J$1="July","",Y528)</f>
        <v/>
      </c>
      <c r="V529" s="74"/>
      <c r="W529" s="105" t="str">
        <f t="shared" ref="W529" si="116">IF(U529="","",U529+V529)</f>
        <v/>
      </c>
      <c r="X529" s="74"/>
      <c r="Y529" s="105" t="str">
        <f t="shared" ref="Y529" si="117">IF(W529="","",W529-X529)</f>
        <v/>
      </c>
      <c r="Z529" s="76"/>
    </row>
    <row r="530" spans="1:27" s="29" customFormat="1" ht="21" customHeight="1" x14ac:dyDescent="0.2">
      <c r="A530" s="30"/>
      <c r="K530" s="107"/>
      <c r="L530" s="46"/>
      <c r="N530" s="71"/>
      <c r="O530" s="72" t="s">
        <v>52</v>
      </c>
      <c r="P530" s="72"/>
      <c r="Q530" s="72"/>
      <c r="R530" s="72"/>
      <c r="S530" s="63"/>
      <c r="T530" s="72" t="s">
        <v>52</v>
      </c>
      <c r="U530" s="105"/>
      <c r="V530" s="74"/>
      <c r="W530" s="105" t="str">
        <f t="shared" si="114"/>
        <v/>
      </c>
      <c r="X530" s="74"/>
      <c r="Y530" s="105" t="str">
        <f t="shared" si="115"/>
        <v/>
      </c>
      <c r="Z530" s="76"/>
    </row>
    <row r="531" spans="1:27" s="29" customFormat="1" ht="21" customHeight="1" x14ac:dyDescent="0.2">
      <c r="A531" s="30"/>
      <c r="B531" s="394" t="s">
        <v>85</v>
      </c>
      <c r="C531" s="394"/>
      <c r="D531" s="394"/>
      <c r="E531" s="394"/>
      <c r="F531" s="394"/>
      <c r="G531" s="394"/>
      <c r="H531" s="394"/>
      <c r="I531" s="394"/>
      <c r="J531" s="394"/>
      <c r="K531" s="394"/>
      <c r="L531" s="46"/>
      <c r="N531" s="71"/>
      <c r="O531" s="72" t="s">
        <v>57</v>
      </c>
      <c r="P531" s="72"/>
      <c r="Q531" s="72"/>
      <c r="R531" s="72"/>
      <c r="S531" s="63"/>
      <c r="T531" s="72" t="s">
        <v>57</v>
      </c>
      <c r="U531" s="105" t="str">
        <f>IF($J$1="October","",Y530)</f>
        <v/>
      </c>
      <c r="V531" s="74"/>
      <c r="W531" s="105" t="str">
        <f t="shared" si="114"/>
        <v/>
      </c>
      <c r="X531" s="74"/>
      <c r="Y531" s="105" t="str">
        <f t="shared" si="115"/>
        <v/>
      </c>
      <c r="Z531" s="76"/>
    </row>
    <row r="532" spans="1:27" s="29" customFormat="1" ht="21" customHeight="1" x14ac:dyDescent="0.2">
      <c r="A532" s="30"/>
      <c r="B532" s="394"/>
      <c r="C532" s="394"/>
      <c r="D532" s="394"/>
      <c r="E532" s="394"/>
      <c r="F532" s="394"/>
      <c r="G532" s="394"/>
      <c r="H532" s="394"/>
      <c r="I532" s="394"/>
      <c r="J532" s="394"/>
      <c r="K532" s="394"/>
      <c r="L532" s="46"/>
      <c r="N532" s="71"/>
      <c r="O532" s="72" t="s">
        <v>58</v>
      </c>
      <c r="P532" s="72"/>
      <c r="Q532" s="72"/>
      <c r="R532" s="72"/>
      <c r="S532" s="63"/>
      <c r="T532" s="72" t="s">
        <v>58</v>
      </c>
      <c r="U532" s="105" t="str">
        <f>IF($J$1="November","",Y531)</f>
        <v/>
      </c>
      <c r="V532" s="74"/>
      <c r="W532" s="105" t="str">
        <f t="shared" si="114"/>
        <v/>
      </c>
      <c r="X532" s="74"/>
      <c r="Y532" s="105" t="str">
        <f t="shared" si="115"/>
        <v/>
      </c>
      <c r="Z532" s="76"/>
    </row>
    <row r="533" spans="1:27" s="29" customFormat="1" ht="21" customHeight="1" thickBot="1" x14ac:dyDescent="0.25">
      <c r="A533" s="59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1"/>
      <c r="N533" s="77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9"/>
    </row>
    <row r="534" spans="1:27" ht="15.75" thickBot="1" x14ac:dyDescent="0.3"/>
    <row r="535" spans="1:27" s="29" customFormat="1" ht="21" customHeight="1" x14ac:dyDescent="0.2">
      <c r="A535" s="448" t="s">
        <v>40</v>
      </c>
      <c r="B535" s="449"/>
      <c r="C535" s="449"/>
      <c r="D535" s="449"/>
      <c r="E535" s="449"/>
      <c r="F535" s="449"/>
      <c r="G535" s="449"/>
      <c r="H535" s="449"/>
      <c r="I535" s="449"/>
      <c r="J535" s="449"/>
      <c r="K535" s="449"/>
      <c r="L535" s="450"/>
      <c r="M535" s="28"/>
      <c r="N535" s="64"/>
      <c r="O535" s="403" t="s">
        <v>42</v>
      </c>
      <c r="P535" s="404"/>
      <c r="Q535" s="404"/>
      <c r="R535" s="405"/>
      <c r="S535" s="65"/>
      <c r="T535" s="403" t="s">
        <v>43</v>
      </c>
      <c r="U535" s="404"/>
      <c r="V535" s="404"/>
      <c r="W535" s="404"/>
      <c r="X535" s="404"/>
      <c r="Y535" s="405"/>
      <c r="Z535" s="66"/>
      <c r="AA535" s="28"/>
    </row>
    <row r="536" spans="1:27" s="29" customFormat="1" ht="21" customHeight="1" x14ac:dyDescent="0.2">
      <c r="A536" s="290"/>
      <c r="C536" s="402" t="s">
        <v>83</v>
      </c>
      <c r="D536" s="402"/>
      <c r="E536" s="402"/>
      <c r="F536" s="402"/>
      <c r="G536" s="31" t="str">
        <f>$J$1</f>
        <v>June</v>
      </c>
      <c r="H536" s="409">
        <f>$K$1</f>
        <v>2023</v>
      </c>
      <c r="I536" s="409"/>
      <c r="K536" s="32"/>
      <c r="L536" s="291"/>
      <c r="M536" s="32"/>
      <c r="N536" s="67"/>
      <c r="O536" s="68" t="s">
        <v>53</v>
      </c>
      <c r="P536" s="68" t="s">
        <v>7</v>
      </c>
      <c r="Q536" s="68" t="s">
        <v>6</v>
      </c>
      <c r="R536" s="68" t="s">
        <v>54</v>
      </c>
      <c r="S536" s="69"/>
      <c r="T536" s="68" t="s">
        <v>53</v>
      </c>
      <c r="U536" s="68" t="s">
        <v>55</v>
      </c>
      <c r="V536" s="68" t="s">
        <v>20</v>
      </c>
      <c r="W536" s="68" t="s">
        <v>19</v>
      </c>
      <c r="X536" s="68" t="s">
        <v>21</v>
      </c>
      <c r="Y536" s="68" t="s">
        <v>59</v>
      </c>
      <c r="Z536" s="70"/>
      <c r="AA536" s="32"/>
    </row>
    <row r="537" spans="1:27" s="29" customFormat="1" ht="21" customHeight="1" x14ac:dyDescent="0.2">
      <c r="A537" s="290"/>
      <c r="D537" s="35"/>
      <c r="E537" s="35"/>
      <c r="F537" s="35"/>
      <c r="G537" s="35"/>
      <c r="H537" s="35"/>
      <c r="J537" s="36" t="s">
        <v>1</v>
      </c>
      <c r="K537" s="37">
        <v>30000</v>
      </c>
      <c r="L537" s="292"/>
      <c r="N537" s="71"/>
      <c r="O537" s="72" t="s">
        <v>45</v>
      </c>
      <c r="P537" s="72"/>
      <c r="Q537" s="72"/>
      <c r="R537" s="72"/>
      <c r="S537" s="73"/>
      <c r="T537" s="72" t="s">
        <v>45</v>
      </c>
      <c r="U537" s="74"/>
      <c r="V537" s="74"/>
      <c r="W537" s="74">
        <f>V537+U537</f>
        <v>0</v>
      </c>
      <c r="X537" s="74"/>
      <c r="Y537" s="74">
        <f>W537-X537</f>
        <v>0</v>
      </c>
      <c r="Z537" s="70"/>
    </row>
    <row r="538" spans="1:27" s="29" customFormat="1" ht="21" customHeight="1" x14ac:dyDescent="0.2">
      <c r="A538" s="290"/>
      <c r="B538" s="29" t="s">
        <v>0</v>
      </c>
      <c r="C538" s="40" t="s">
        <v>226</v>
      </c>
      <c r="H538" s="41"/>
      <c r="I538" s="35"/>
      <c r="L538" s="293"/>
      <c r="M538" s="28"/>
      <c r="N538" s="75"/>
      <c r="O538" s="72" t="s">
        <v>71</v>
      </c>
      <c r="P538" s="72"/>
      <c r="Q538" s="72"/>
      <c r="R538" s="72" t="str">
        <f t="shared" ref="R538:R548" si="118">IF(Q538="","",R537-Q538)</f>
        <v/>
      </c>
      <c r="S538" s="63"/>
      <c r="T538" s="72" t="s">
        <v>71</v>
      </c>
      <c r="U538" s="105"/>
      <c r="V538" s="74"/>
      <c r="W538" s="105" t="str">
        <f>IF(U538="","",U538+V538)</f>
        <v/>
      </c>
      <c r="X538" s="74"/>
      <c r="Y538" s="105" t="str">
        <f>IF(W538="","",W538-X538)</f>
        <v/>
      </c>
      <c r="Z538" s="76"/>
      <c r="AA538" s="28"/>
    </row>
    <row r="539" spans="1:27" s="29" customFormat="1" ht="21" customHeight="1" x14ac:dyDescent="0.2">
      <c r="A539" s="290"/>
      <c r="B539" s="44" t="s">
        <v>41</v>
      </c>
      <c r="C539" s="45"/>
      <c r="F539" s="391" t="s">
        <v>43</v>
      </c>
      <c r="G539" s="391"/>
      <c r="I539" s="391" t="s">
        <v>44</v>
      </c>
      <c r="J539" s="391"/>
      <c r="K539" s="391"/>
      <c r="L539" s="294"/>
      <c r="N539" s="71"/>
      <c r="O539" s="72" t="s">
        <v>46</v>
      </c>
      <c r="P539" s="72">
        <f>31-9</f>
        <v>22</v>
      </c>
      <c r="Q539" s="72">
        <v>9</v>
      </c>
      <c r="R539" s="72">
        <v>0</v>
      </c>
      <c r="S539" s="63"/>
      <c r="T539" s="72" t="s">
        <v>46</v>
      </c>
      <c r="U539" s="105"/>
      <c r="V539" s="74"/>
      <c r="W539" s="105" t="str">
        <f t="shared" ref="W539:W548" si="119">IF(U539="","",U539+V539)</f>
        <v/>
      </c>
      <c r="X539" s="74"/>
      <c r="Y539" s="105" t="str">
        <f t="shared" ref="Y539:Y548" si="120">IF(W539="","",W539-X539)</f>
        <v/>
      </c>
      <c r="Z539" s="76"/>
    </row>
    <row r="540" spans="1:27" s="29" customFormat="1" ht="21" customHeight="1" x14ac:dyDescent="0.2">
      <c r="A540" s="290"/>
      <c r="H540" s="47"/>
      <c r="L540" s="295"/>
      <c r="N540" s="71"/>
      <c r="O540" s="72" t="s">
        <v>47</v>
      </c>
      <c r="P540" s="72">
        <v>30</v>
      </c>
      <c r="Q540" s="72">
        <v>0</v>
      </c>
      <c r="R540" s="72">
        <f t="shared" si="118"/>
        <v>0</v>
      </c>
      <c r="S540" s="63"/>
      <c r="T540" s="72" t="s">
        <v>47</v>
      </c>
      <c r="U540" s="105"/>
      <c r="V540" s="74"/>
      <c r="W540" s="105" t="str">
        <f t="shared" si="119"/>
        <v/>
      </c>
      <c r="X540" s="74"/>
      <c r="Y540" s="105" t="str">
        <f t="shared" si="120"/>
        <v/>
      </c>
      <c r="Z540" s="76"/>
    </row>
    <row r="541" spans="1:27" s="29" customFormat="1" ht="21" customHeight="1" x14ac:dyDescent="0.2">
      <c r="A541" s="290"/>
      <c r="B541" s="389" t="s">
        <v>42</v>
      </c>
      <c r="C541" s="390"/>
      <c r="F541" s="48" t="s">
        <v>64</v>
      </c>
      <c r="G541" s="43">
        <f>IF($J$1="January",U537,IF($J$1="February",U538,IF($J$1="March",U539,IF($J$1="April",U540,IF($J$1="May",U541,IF($J$1="June",U542,IF($J$1="July",U543,IF($J$1="August",U544,IF($J$1="August",U544,IF($J$1="September",U545,IF($J$1="October",U546,IF($J$1="November",U547,IF($J$1="December",U548)))))))))))))</f>
        <v>0</v>
      </c>
      <c r="H541" s="47"/>
      <c r="I541" s="49">
        <f>IF(C545&gt;0,$K$2,C543)</f>
        <v>30</v>
      </c>
      <c r="J541" s="50" t="s">
        <v>61</v>
      </c>
      <c r="K541" s="51">
        <f>K537/$K$2*I541</f>
        <v>30000</v>
      </c>
      <c r="L541" s="296"/>
      <c r="N541" s="71"/>
      <c r="O541" s="72" t="s">
        <v>48</v>
      </c>
      <c r="P541" s="72">
        <v>31</v>
      </c>
      <c r="Q541" s="72">
        <v>0</v>
      </c>
      <c r="R541" s="72">
        <f t="shared" si="118"/>
        <v>0</v>
      </c>
      <c r="S541" s="63"/>
      <c r="T541" s="72" t="s">
        <v>48</v>
      </c>
      <c r="U541" s="105"/>
      <c r="V541" s="74"/>
      <c r="W541" s="105" t="str">
        <f t="shared" si="119"/>
        <v/>
      </c>
      <c r="X541" s="74"/>
      <c r="Y541" s="105" t="str">
        <f t="shared" si="120"/>
        <v/>
      </c>
      <c r="Z541" s="76"/>
    </row>
    <row r="542" spans="1:27" s="29" customFormat="1" ht="21" customHeight="1" x14ac:dyDescent="0.2">
      <c r="A542" s="290"/>
      <c r="B542" s="39"/>
      <c r="C542" s="39"/>
      <c r="F542" s="48" t="s">
        <v>20</v>
      </c>
      <c r="G542" s="43">
        <f>IF($J$1="January",V537,IF($J$1="February",V538,IF($J$1="March",V539,IF($J$1="April",V540,IF($J$1="May",V541,IF($J$1="June",V542,IF($J$1="July",V543,IF($J$1="August",V544,IF($J$1="August",V544,IF($J$1="September",V545,IF($J$1="October",V546,IF($J$1="November",V547,IF($J$1="December",V548)))))))))))))</f>
        <v>0</v>
      </c>
      <c r="H542" s="47"/>
      <c r="I542" s="84">
        <v>12</v>
      </c>
      <c r="J542" s="50" t="s">
        <v>62</v>
      </c>
      <c r="K542" s="53">
        <f>K537/$K$2/8*I542</f>
        <v>1500</v>
      </c>
      <c r="L542" s="297"/>
      <c r="N542" s="71"/>
      <c r="O542" s="72" t="s">
        <v>49</v>
      </c>
      <c r="P542" s="72">
        <v>30</v>
      </c>
      <c r="Q542" s="72">
        <v>0</v>
      </c>
      <c r="R542" s="72">
        <f t="shared" si="118"/>
        <v>0</v>
      </c>
      <c r="S542" s="63"/>
      <c r="T542" s="72" t="s">
        <v>49</v>
      </c>
      <c r="U542" s="105"/>
      <c r="V542" s="74"/>
      <c r="W542" s="105" t="str">
        <f t="shared" si="119"/>
        <v/>
      </c>
      <c r="X542" s="74"/>
      <c r="Y542" s="105" t="str">
        <f t="shared" si="120"/>
        <v/>
      </c>
      <c r="Z542" s="76"/>
    </row>
    <row r="543" spans="1:27" s="29" customFormat="1" ht="21" customHeight="1" x14ac:dyDescent="0.2">
      <c r="A543" s="290"/>
      <c r="B543" s="48" t="s">
        <v>7</v>
      </c>
      <c r="C543" s="39">
        <f>IF($J$1="January",P537,IF($J$1="February",P538,IF($J$1="March",P539,IF($J$1="April",P540,IF($J$1="May",P541,IF($J$1="June",P542,IF($J$1="July",P543,IF($J$1="August",P544,IF($J$1="August",P544,IF($J$1="September",P545,IF($J$1="October",P546,IF($J$1="November",P547,IF($J$1="December",P548)))))))))))))</f>
        <v>30</v>
      </c>
      <c r="F543" s="48" t="s">
        <v>65</v>
      </c>
      <c r="G543" s="43" t="str">
        <f>IF($J$1="January",W537,IF($J$1="February",W538,IF($J$1="March",W539,IF($J$1="April",W540,IF($J$1="May",W541,IF($J$1="June",W542,IF($J$1="July",W543,IF($J$1="August",W544,IF($J$1="August",W544,IF($J$1="September",W545,IF($J$1="October",W546,IF($J$1="November",W547,IF($J$1="December",W548)))))))))))))</f>
        <v/>
      </c>
      <c r="H543" s="47"/>
      <c r="I543" s="392" t="s">
        <v>69</v>
      </c>
      <c r="J543" s="393"/>
      <c r="K543" s="53">
        <f>K541+K542</f>
        <v>31500</v>
      </c>
      <c r="L543" s="297"/>
      <c r="N543" s="71"/>
      <c r="O543" s="72" t="s">
        <v>50</v>
      </c>
      <c r="P543" s="72"/>
      <c r="Q543" s="72"/>
      <c r="R543" s="72" t="str">
        <f t="shared" si="118"/>
        <v/>
      </c>
      <c r="S543" s="63"/>
      <c r="T543" s="72" t="s">
        <v>50</v>
      </c>
      <c r="U543" s="105"/>
      <c r="V543" s="74"/>
      <c r="W543" s="105" t="str">
        <f t="shared" si="119"/>
        <v/>
      </c>
      <c r="X543" s="74"/>
      <c r="Y543" s="105" t="str">
        <f t="shared" si="120"/>
        <v/>
      </c>
      <c r="Z543" s="76"/>
    </row>
    <row r="544" spans="1:27" s="29" customFormat="1" ht="21" customHeight="1" x14ac:dyDescent="0.2">
      <c r="A544" s="290"/>
      <c r="B544" s="48" t="s">
        <v>6</v>
      </c>
      <c r="C544" s="39">
        <f>IF($J$1="January",Q537,IF($J$1="February",Q538,IF($J$1="March",Q539,IF($J$1="April",Q540,IF($J$1="May",Q541,IF($J$1="June",Q542,IF($J$1="July",Q543,IF($J$1="August",Q544,IF($J$1="August",Q544,IF($J$1="September",Q545,IF($J$1="October",Q546,IF($J$1="November",Q547,IF($J$1="December",Q548)))))))))))))</f>
        <v>0</v>
      </c>
      <c r="F544" s="48" t="s">
        <v>21</v>
      </c>
      <c r="G544" s="43">
        <f>IF($J$1="January",X537,IF($J$1="February",X538,IF($J$1="March",X539,IF($J$1="April",X540,IF($J$1="May",X541,IF($J$1="June",X542,IF($J$1="July",X543,IF($J$1="August",X544,IF($J$1="August",X544,IF($J$1="September",X545,IF($J$1="October",X546,IF($J$1="November",X547,IF($J$1="December",X548)))))))))))))</f>
        <v>0</v>
      </c>
      <c r="H544" s="47"/>
      <c r="I544" s="392" t="s">
        <v>70</v>
      </c>
      <c r="J544" s="393"/>
      <c r="K544" s="43">
        <f>G544</f>
        <v>0</v>
      </c>
      <c r="L544" s="298"/>
      <c r="N544" s="71"/>
      <c r="O544" s="72" t="s">
        <v>51</v>
      </c>
      <c r="P544" s="72"/>
      <c r="Q544" s="72"/>
      <c r="R544" s="72" t="str">
        <f t="shared" si="118"/>
        <v/>
      </c>
      <c r="S544" s="63"/>
      <c r="T544" s="72" t="s">
        <v>51</v>
      </c>
      <c r="U544" s="105">
        <v>0</v>
      </c>
      <c r="V544" s="74"/>
      <c r="W544" s="105">
        <f t="shared" si="119"/>
        <v>0</v>
      </c>
      <c r="X544" s="74"/>
      <c r="Y544" s="105">
        <f t="shared" si="120"/>
        <v>0</v>
      </c>
      <c r="Z544" s="76"/>
    </row>
    <row r="545" spans="1:26" s="29" customFormat="1" ht="21" customHeight="1" x14ac:dyDescent="0.2">
      <c r="A545" s="290"/>
      <c r="B545" s="56" t="s">
        <v>68</v>
      </c>
      <c r="C545" s="39">
        <f>IF($J$1="January",R537,IF($J$1="February",R538,IF($J$1="March",R539,IF($J$1="April",R540,IF($J$1="May",R541,IF($J$1="June",R542,IF($J$1="July",R543,IF($J$1="August",R544,IF($J$1="August",R544,IF($J$1="September",R545,IF($J$1="October",R546,IF($J$1="November",R547,IF($J$1="December",R548)))))))))))))</f>
        <v>0</v>
      </c>
      <c r="F545" s="48" t="s">
        <v>67</v>
      </c>
      <c r="G545" s="43" t="str">
        <f>IF($J$1="January",Y537,IF($J$1="February",Y538,IF($J$1="March",Y539,IF($J$1="April",Y540,IF($J$1="May",Y541,IF($J$1="June",Y542,IF($J$1="July",Y543,IF($J$1="August",Y544,IF($J$1="August",Y544,IF($J$1="September",Y545,IF($J$1="October",Y546,IF($J$1="November",Y547,IF($J$1="December",Y548)))))))))))))</f>
        <v/>
      </c>
      <c r="I545" s="387" t="s">
        <v>63</v>
      </c>
      <c r="J545" s="388"/>
      <c r="K545" s="57">
        <f>K543-K544</f>
        <v>31500</v>
      </c>
      <c r="L545" s="299"/>
      <c r="N545" s="71"/>
      <c r="O545" s="72" t="s">
        <v>56</v>
      </c>
      <c r="P545" s="72"/>
      <c r="Q545" s="72"/>
      <c r="R545" s="72" t="str">
        <f t="shared" si="118"/>
        <v/>
      </c>
      <c r="S545" s="63"/>
      <c r="T545" s="72" t="s">
        <v>56</v>
      </c>
      <c r="U545" s="105">
        <f>Y544</f>
        <v>0</v>
      </c>
      <c r="V545" s="74"/>
      <c r="W545" s="105">
        <f t="shared" si="119"/>
        <v>0</v>
      </c>
      <c r="X545" s="74"/>
      <c r="Y545" s="105">
        <f t="shared" si="120"/>
        <v>0</v>
      </c>
      <c r="Z545" s="76"/>
    </row>
    <row r="546" spans="1:26" s="29" customFormat="1" ht="21" customHeight="1" x14ac:dyDescent="0.2">
      <c r="A546" s="290"/>
      <c r="K546" s="107"/>
      <c r="L546" s="294"/>
      <c r="N546" s="71"/>
      <c r="O546" s="72" t="s">
        <v>52</v>
      </c>
      <c r="P546" s="72"/>
      <c r="Q546" s="72"/>
      <c r="R546" s="72" t="str">
        <f t="shared" si="118"/>
        <v/>
      </c>
      <c r="S546" s="63"/>
      <c r="T546" s="72" t="s">
        <v>52</v>
      </c>
      <c r="U546" s="105">
        <v>0</v>
      </c>
      <c r="V546" s="74"/>
      <c r="W546" s="105">
        <f t="shared" si="119"/>
        <v>0</v>
      </c>
      <c r="X546" s="74"/>
      <c r="Y546" s="105">
        <f t="shared" si="120"/>
        <v>0</v>
      </c>
      <c r="Z546" s="76"/>
    </row>
    <row r="547" spans="1:26" s="29" customFormat="1" ht="21" customHeight="1" x14ac:dyDescent="0.2">
      <c r="A547" s="290"/>
      <c r="B547" s="394" t="s">
        <v>85</v>
      </c>
      <c r="C547" s="394"/>
      <c r="D547" s="394"/>
      <c r="E547" s="394"/>
      <c r="F547" s="394"/>
      <c r="G547" s="394"/>
      <c r="H547" s="394"/>
      <c r="I547" s="394"/>
      <c r="J547" s="394"/>
      <c r="K547" s="394"/>
      <c r="L547" s="294"/>
      <c r="N547" s="71"/>
      <c r="O547" s="72" t="s">
        <v>57</v>
      </c>
      <c r="P547" s="72"/>
      <c r="Q547" s="72"/>
      <c r="R547" s="72" t="str">
        <f t="shared" si="118"/>
        <v/>
      </c>
      <c r="S547" s="63"/>
      <c r="T547" s="72" t="s">
        <v>57</v>
      </c>
      <c r="U547" s="105"/>
      <c r="V547" s="74"/>
      <c r="W547" s="105" t="str">
        <f t="shared" si="119"/>
        <v/>
      </c>
      <c r="X547" s="74"/>
      <c r="Y547" s="105" t="str">
        <f t="shared" si="120"/>
        <v/>
      </c>
      <c r="Z547" s="76"/>
    </row>
    <row r="548" spans="1:26" s="29" customFormat="1" ht="21" customHeight="1" x14ac:dyDescent="0.2">
      <c r="A548" s="290"/>
      <c r="B548" s="394"/>
      <c r="C548" s="394"/>
      <c r="D548" s="394"/>
      <c r="E548" s="394"/>
      <c r="F548" s="394"/>
      <c r="G548" s="394"/>
      <c r="H548" s="394"/>
      <c r="I548" s="394"/>
      <c r="J548" s="394"/>
      <c r="K548" s="394"/>
      <c r="L548" s="294"/>
      <c r="N548" s="71"/>
      <c r="O548" s="72" t="s">
        <v>58</v>
      </c>
      <c r="P548" s="72"/>
      <c r="Q548" s="72"/>
      <c r="R548" s="72" t="str">
        <f t="shared" si="118"/>
        <v/>
      </c>
      <c r="S548" s="63"/>
      <c r="T548" s="72" t="s">
        <v>58</v>
      </c>
      <c r="U548" s="105"/>
      <c r="V548" s="74"/>
      <c r="W548" s="105" t="str">
        <f t="shared" si="119"/>
        <v/>
      </c>
      <c r="X548" s="74"/>
      <c r="Y548" s="105" t="str">
        <f t="shared" si="120"/>
        <v/>
      </c>
      <c r="Z548" s="76"/>
    </row>
    <row r="549" spans="1:26" s="29" customFormat="1" ht="21" customHeight="1" thickBot="1" x14ac:dyDescent="0.25">
      <c r="A549" s="300"/>
      <c r="B549" s="96"/>
      <c r="C549" s="96"/>
      <c r="D549" s="96"/>
      <c r="E549" s="96"/>
      <c r="F549" s="96"/>
      <c r="G549" s="96"/>
      <c r="H549" s="96"/>
      <c r="I549" s="96"/>
      <c r="J549" s="96"/>
      <c r="K549" s="96"/>
      <c r="L549" s="301"/>
      <c r="N549" s="77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9"/>
    </row>
    <row r="550" spans="1:26" s="29" customFormat="1" ht="21" customHeight="1" thickBot="1" x14ac:dyDescent="0.25">
      <c r="A550" s="96"/>
      <c r="B550" s="96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N550" s="71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85"/>
    </row>
    <row r="551" spans="1:26" s="29" customFormat="1" ht="21" customHeight="1" x14ac:dyDescent="0.2">
      <c r="A551" s="396" t="s">
        <v>40</v>
      </c>
      <c r="B551" s="397"/>
      <c r="C551" s="397"/>
      <c r="D551" s="397"/>
      <c r="E551" s="397"/>
      <c r="F551" s="397"/>
      <c r="G551" s="397"/>
      <c r="H551" s="397"/>
      <c r="I551" s="397"/>
      <c r="J551" s="397"/>
      <c r="K551" s="397"/>
      <c r="L551" s="398"/>
      <c r="M551" s="28"/>
      <c r="N551" s="64"/>
      <c r="O551" s="403" t="s">
        <v>42</v>
      </c>
      <c r="P551" s="404"/>
      <c r="Q551" s="404"/>
      <c r="R551" s="405"/>
      <c r="S551" s="65"/>
      <c r="T551" s="403" t="s">
        <v>43</v>
      </c>
      <c r="U551" s="404"/>
      <c r="V551" s="404"/>
      <c r="W551" s="404"/>
      <c r="X551" s="404"/>
      <c r="Y551" s="405"/>
      <c r="Z551" s="66"/>
    </row>
    <row r="552" spans="1:26" s="29" customFormat="1" ht="21" customHeight="1" x14ac:dyDescent="0.2">
      <c r="A552" s="30"/>
      <c r="C552" s="402" t="s">
        <v>83</v>
      </c>
      <c r="D552" s="402"/>
      <c r="E552" s="402"/>
      <c r="F552" s="402"/>
      <c r="G552" s="31" t="str">
        <f>$J$1</f>
        <v>June</v>
      </c>
      <c r="H552" s="409">
        <f>$K$1</f>
        <v>2023</v>
      </c>
      <c r="I552" s="409"/>
      <c r="K552" s="32"/>
      <c r="L552" s="33"/>
      <c r="M552" s="32"/>
      <c r="N552" s="67"/>
      <c r="O552" s="68" t="s">
        <v>53</v>
      </c>
      <c r="P552" s="68" t="s">
        <v>7</v>
      </c>
      <c r="Q552" s="68" t="s">
        <v>6</v>
      </c>
      <c r="R552" s="68" t="s">
        <v>54</v>
      </c>
      <c r="S552" s="69"/>
      <c r="T552" s="68" t="s">
        <v>53</v>
      </c>
      <c r="U552" s="68" t="s">
        <v>55</v>
      </c>
      <c r="V552" s="68" t="s">
        <v>20</v>
      </c>
      <c r="W552" s="68" t="s">
        <v>19</v>
      </c>
      <c r="X552" s="68" t="s">
        <v>21</v>
      </c>
      <c r="Y552" s="68" t="s">
        <v>59</v>
      </c>
      <c r="Z552" s="70"/>
    </row>
    <row r="553" spans="1:26" s="29" customFormat="1" ht="21" customHeight="1" x14ac:dyDescent="0.2">
      <c r="A553" s="30"/>
      <c r="D553" s="35"/>
      <c r="E553" s="35"/>
      <c r="F553" s="35"/>
      <c r="G553" s="35"/>
      <c r="H553" s="35"/>
      <c r="J553" s="36" t="s">
        <v>1</v>
      </c>
      <c r="K553" s="37">
        <f>25000+2500+2000</f>
        <v>29500</v>
      </c>
      <c r="L553" s="38"/>
      <c r="N553" s="71"/>
      <c r="O553" s="72" t="s">
        <v>45</v>
      </c>
      <c r="P553" s="72">
        <v>31</v>
      </c>
      <c r="Q553" s="72">
        <v>0</v>
      </c>
      <c r="R553" s="72">
        <v>0</v>
      </c>
      <c r="S553" s="73"/>
      <c r="T553" s="72" t="s">
        <v>45</v>
      </c>
      <c r="U553" s="74"/>
      <c r="V553" s="74"/>
      <c r="W553" s="74">
        <f>V553+U553</f>
        <v>0</v>
      </c>
      <c r="X553" s="74"/>
      <c r="Y553" s="74">
        <f>W553-X553</f>
        <v>0</v>
      </c>
      <c r="Z553" s="70"/>
    </row>
    <row r="554" spans="1:26" s="29" customFormat="1" ht="21" customHeight="1" x14ac:dyDescent="0.2">
      <c r="A554" s="30"/>
      <c r="B554" s="29" t="s">
        <v>0</v>
      </c>
      <c r="C554" s="40" t="s">
        <v>107</v>
      </c>
      <c r="H554" s="41"/>
      <c r="I554" s="35"/>
      <c r="L554" s="42"/>
      <c r="M554" s="28"/>
      <c r="N554" s="75"/>
      <c r="O554" s="72" t="s">
        <v>71</v>
      </c>
      <c r="P554" s="72">
        <v>28</v>
      </c>
      <c r="Q554" s="72">
        <v>0</v>
      </c>
      <c r="R554" s="72">
        <v>0</v>
      </c>
      <c r="S554" s="63"/>
      <c r="T554" s="72" t="s">
        <v>71</v>
      </c>
      <c r="U554" s="105">
        <f>IF($J$1="January","",Y553)</f>
        <v>0</v>
      </c>
      <c r="V554" s="74"/>
      <c r="W554" s="105">
        <f>IF(U554="","",U554+V554)</f>
        <v>0</v>
      </c>
      <c r="X554" s="74"/>
      <c r="Y554" s="105">
        <f>IF(W554="","",W554-X554)</f>
        <v>0</v>
      </c>
      <c r="Z554" s="76"/>
    </row>
    <row r="555" spans="1:26" s="29" customFormat="1" ht="21" customHeight="1" x14ac:dyDescent="0.2">
      <c r="A555" s="30"/>
      <c r="B555" s="44" t="s">
        <v>41</v>
      </c>
      <c r="C555" s="118"/>
      <c r="F555" s="391" t="s">
        <v>43</v>
      </c>
      <c r="G555" s="391"/>
      <c r="I555" s="391" t="s">
        <v>44</v>
      </c>
      <c r="J555" s="391"/>
      <c r="K555" s="391"/>
      <c r="L555" s="46"/>
      <c r="N555" s="71"/>
      <c r="O555" s="72" t="s">
        <v>46</v>
      </c>
      <c r="P555" s="72">
        <v>31</v>
      </c>
      <c r="Q555" s="72">
        <v>0</v>
      </c>
      <c r="R555" s="72">
        <v>0</v>
      </c>
      <c r="S555" s="63"/>
      <c r="T555" s="72" t="s">
        <v>46</v>
      </c>
      <c r="U555" s="105">
        <f>IF($J$1="February","",Y554)</f>
        <v>0</v>
      </c>
      <c r="V555" s="74"/>
      <c r="W555" s="105">
        <f t="shared" ref="W555:W564" si="121">IF(U555="","",U555+V555)</f>
        <v>0</v>
      </c>
      <c r="X555" s="74"/>
      <c r="Y555" s="105">
        <f t="shared" ref="Y555:Y564" si="122">IF(W555="","",W555-X555)</f>
        <v>0</v>
      </c>
      <c r="Z555" s="76"/>
    </row>
    <row r="556" spans="1:26" s="29" customFormat="1" ht="21" customHeight="1" x14ac:dyDescent="0.2">
      <c r="A556" s="30"/>
      <c r="H556" s="47"/>
      <c r="L556" s="34"/>
      <c r="N556" s="71"/>
      <c r="O556" s="72" t="s">
        <v>47</v>
      </c>
      <c r="P556" s="72">
        <v>30</v>
      </c>
      <c r="Q556" s="72">
        <v>0</v>
      </c>
      <c r="R556" s="72">
        <v>0</v>
      </c>
      <c r="S556" s="63"/>
      <c r="T556" s="72" t="s">
        <v>47</v>
      </c>
      <c r="U556" s="105">
        <f>IF($J$1="March","",Y555)</f>
        <v>0</v>
      </c>
      <c r="V556" s="74"/>
      <c r="W556" s="105">
        <f t="shared" si="121"/>
        <v>0</v>
      </c>
      <c r="X556" s="74"/>
      <c r="Y556" s="105">
        <f t="shared" si="122"/>
        <v>0</v>
      </c>
      <c r="Z556" s="76"/>
    </row>
    <row r="557" spans="1:26" s="29" customFormat="1" ht="21" customHeight="1" x14ac:dyDescent="0.2">
      <c r="A557" s="30"/>
      <c r="B557" s="389" t="s">
        <v>42</v>
      </c>
      <c r="C557" s="390"/>
      <c r="F557" s="48" t="s">
        <v>64</v>
      </c>
      <c r="G557" s="43">
        <f>IF($J$1="January",U553,IF($J$1="February",U554,IF($J$1="March",U555,IF($J$1="April",U556,IF($J$1="May",U557,IF($J$1="June",U558,IF($J$1="July",U559,IF($J$1="August",U560,IF($J$1="August",U560,IF($J$1="September",U561,IF($J$1="October",U562,IF($J$1="November",U563,IF($J$1="December",U564)))))))))))))</f>
        <v>0</v>
      </c>
      <c r="H557" s="47"/>
      <c r="I557" s="49">
        <f>IF(C561&gt;0,$K$2,C559)</f>
        <v>30</v>
      </c>
      <c r="J557" s="50" t="s">
        <v>61</v>
      </c>
      <c r="K557" s="51">
        <f>K553/$K$2*I557</f>
        <v>29500</v>
      </c>
      <c r="L557" s="52"/>
      <c r="N557" s="71"/>
      <c r="O557" s="72" t="s">
        <v>48</v>
      </c>
      <c r="P557" s="72">
        <v>31</v>
      </c>
      <c r="Q557" s="72">
        <v>0</v>
      </c>
      <c r="R557" s="72">
        <v>0</v>
      </c>
      <c r="S557" s="63"/>
      <c r="T557" s="72" t="s">
        <v>48</v>
      </c>
      <c r="U557" s="105">
        <f>IF($J$1="April","",Y556)</f>
        <v>0</v>
      </c>
      <c r="V557" s="74"/>
      <c r="W557" s="105">
        <f t="shared" si="121"/>
        <v>0</v>
      </c>
      <c r="X557" s="74"/>
      <c r="Y557" s="105">
        <f t="shared" si="122"/>
        <v>0</v>
      </c>
      <c r="Z557" s="76"/>
    </row>
    <row r="558" spans="1:26" s="29" customFormat="1" ht="21" customHeight="1" x14ac:dyDescent="0.2">
      <c r="A558" s="30"/>
      <c r="B558" s="39"/>
      <c r="C558" s="39"/>
      <c r="F558" s="48" t="s">
        <v>20</v>
      </c>
      <c r="G558" s="43">
        <f>IF($J$1="January",V553,IF($J$1="February",V554,IF($J$1="March",V555,IF($J$1="April",V556,IF($J$1="May",V557,IF($J$1="June",V558,IF($J$1="July",V559,IF($J$1="August",V560,IF($J$1="August",V560,IF($J$1="September",V561,IF($J$1="October",V562,IF($J$1="November",V563,IF($J$1="December",V564)))))))))))))</f>
        <v>0</v>
      </c>
      <c r="H558" s="47"/>
      <c r="I558" s="84">
        <v>58</v>
      </c>
      <c r="J558" s="50" t="s">
        <v>62</v>
      </c>
      <c r="K558" s="53">
        <f>K553/$K$2/8*I558</f>
        <v>7129.166666666667</v>
      </c>
      <c r="L558" s="54"/>
      <c r="N558" s="71"/>
      <c r="O558" s="72" t="s">
        <v>49</v>
      </c>
      <c r="P558" s="72">
        <v>30</v>
      </c>
      <c r="Q558" s="72">
        <v>0</v>
      </c>
      <c r="R558" s="72">
        <v>0</v>
      </c>
      <c r="S558" s="63"/>
      <c r="T558" s="72" t="s">
        <v>49</v>
      </c>
      <c r="U558" s="105">
        <f>IF($J$1="May","",Y557)</f>
        <v>0</v>
      </c>
      <c r="V558" s="74"/>
      <c r="W558" s="105">
        <f t="shared" si="121"/>
        <v>0</v>
      </c>
      <c r="X558" s="74"/>
      <c r="Y558" s="105">
        <f t="shared" si="122"/>
        <v>0</v>
      </c>
      <c r="Z558" s="76"/>
    </row>
    <row r="559" spans="1:26" s="29" customFormat="1" ht="21" customHeight="1" x14ac:dyDescent="0.2">
      <c r="A559" s="30"/>
      <c r="B559" s="48" t="s">
        <v>7</v>
      </c>
      <c r="C559" s="39">
        <f>IF($J$1="January",P553,IF($J$1="February",P554,IF($J$1="March",P555,IF($J$1="April",P556,IF($J$1="May",P557,IF($J$1="June",P558,IF($J$1="July",P559,IF($J$1="August",P560,IF($J$1="August",P560,IF($J$1="September",P561,IF($J$1="October",P562,IF($J$1="November",P563,IF($J$1="December",P564)))))))))))))</f>
        <v>30</v>
      </c>
      <c r="F559" s="48" t="s">
        <v>65</v>
      </c>
      <c r="G559" s="43">
        <f>IF($J$1="January",W553,IF($J$1="February",W554,IF($J$1="March",W555,IF($J$1="April",W556,IF($J$1="May",W557,IF($J$1="June",W558,IF($J$1="July",W559,IF($J$1="August",W560,IF($J$1="August",W560,IF($J$1="September",W561,IF($J$1="October",W562,IF($J$1="November",W563,IF($J$1="December",W564)))))))))))))</f>
        <v>0</v>
      </c>
      <c r="H559" s="47"/>
      <c r="I559" s="392" t="s">
        <v>69</v>
      </c>
      <c r="J559" s="393"/>
      <c r="K559" s="53">
        <f>K557+K558</f>
        <v>36629.166666666664</v>
      </c>
      <c r="L559" s="54"/>
      <c r="N559" s="71"/>
      <c r="O559" s="72" t="s">
        <v>50</v>
      </c>
      <c r="P559" s="72"/>
      <c r="Q559" s="72"/>
      <c r="R559" s="72">
        <v>0</v>
      </c>
      <c r="S559" s="63"/>
      <c r="T559" s="72" t="s">
        <v>50</v>
      </c>
      <c r="U559" s="105" t="str">
        <f>IF($J$1="June","",Y558)</f>
        <v/>
      </c>
      <c r="V559" s="74"/>
      <c r="W559" s="105" t="str">
        <f t="shared" si="121"/>
        <v/>
      </c>
      <c r="X559" s="74"/>
      <c r="Y559" s="105" t="str">
        <f t="shared" si="122"/>
        <v/>
      </c>
      <c r="Z559" s="76"/>
    </row>
    <row r="560" spans="1:26" s="29" customFormat="1" ht="21" customHeight="1" x14ac:dyDescent="0.2">
      <c r="A560" s="30"/>
      <c r="B560" s="48" t="s">
        <v>6</v>
      </c>
      <c r="C560" s="39">
        <f>IF($J$1="January",Q553,IF($J$1="February",Q554,IF($J$1="March",Q555,IF($J$1="April",Q556,IF($J$1="May",Q557,IF($J$1="June",Q558,IF($J$1="July",Q559,IF($J$1="August",Q560,IF($J$1="August",Q560,IF($J$1="September",Q561,IF($J$1="October",Q562,IF($J$1="November",Q563,IF($J$1="December",Q564)))))))))))))</f>
        <v>0</v>
      </c>
      <c r="F560" s="48" t="s">
        <v>21</v>
      </c>
      <c r="G560" s="43">
        <f>IF($J$1="January",X553,IF($J$1="February",X554,IF($J$1="March",X555,IF($J$1="April",X556,IF($J$1="May",X557,IF($J$1="June",X558,IF($J$1="July",X559,IF($J$1="August",X560,IF($J$1="August",X560,IF($J$1="September",X561,IF($J$1="October",X562,IF($J$1="November",X563,IF($J$1="December",X564)))))))))))))</f>
        <v>0</v>
      </c>
      <c r="H560" s="47"/>
      <c r="I560" s="392" t="s">
        <v>70</v>
      </c>
      <c r="J560" s="393"/>
      <c r="K560" s="43">
        <f>G560</f>
        <v>0</v>
      </c>
      <c r="L560" s="55"/>
      <c r="N560" s="71"/>
      <c r="O560" s="72" t="s">
        <v>51</v>
      </c>
      <c r="P560" s="72"/>
      <c r="Q560" s="72"/>
      <c r="R560" s="72">
        <v>0</v>
      </c>
      <c r="S560" s="63"/>
      <c r="T560" s="72" t="s">
        <v>51</v>
      </c>
      <c r="U560" s="105" t="str">
        <f>IF($J$1="July","",Y559)</f>
        <v/>
      </c>
      <c r="V560" s="74"/>
      <c r="W560" s="105" t="str">
        <f t="shared" si="121"/>
        <v/>
      </c>
      <c r="X560" s="74"/>
      <c r="Y560" s="105" t="str">
        <f t="shared" si="122"/>
        <v/>
      </c>
      <c r="Z560" s="76"/>
    </row>
    <row r="561" spans="1:27" s="29" customFormat="1" ht="21" customHeight="1" x14ac:dyDescent="0.2">
      <c r="A561" s="30"/>
      <c r="B561" s="56" t="s">
        <v>68</v>
      </c>
      <c r="C561" s="39">
        <f>IF($J$1="January",R553,IF($J$1="February",R554,IF($J$1="March",R555,IF($J$1="April",R556,IF($J$1="May",R557,IF($J$1="June",R558,IF($J$1="July",R559,IF($J$1="August",R560,IF($J$1="August",R560,IF($J$1="September",R561,IF($J$1="October",R562,IF($J$1="November",R563,IF($J$1="December",R564)))))))))))))</f>
        <v>0</v>
      </c>
      <c r="F561" s="48" t="s">
        <v>137</v>
      </c>
      <c r="G561" s="43">
        <f>IF($J$1="January",Y553,IF($J$1="February",Y554,IF($J$1="March",Y555,IF($J$1="April",Y556,IF($J$1="May",Y557,IF($J$1="June",Y558,IF($J$1="July",Y559,IF($J$1="August",Y560,IF($J$1="August",Y560,IF($J$1="September",Y561,IF($J$1="October",Y562,IF($J$1="November",Y563,IF($J$1="December",Y564)))))))))))))</f>
        <v>0</v>
      </c>
      <c r="I561" s="387" t="s">
        <v>63</v>
      </c>
      <c r="J561" s="388"/>
      <c r="K561" s="57">
        <f>K559-K560</f>
        <v>36629.166666666664</v>
      </c>
      <c r="L561" s="58"/>
      <c r="N561" s="71"/>
      <c r="O561" s="72" t="s">
        <v>56</v>
      </c>
      <c r="P561" s="72"/>
      <c r="Q561" s="72"/>
      <c r="R561" s="72">
        <v>0</v>
      </c>
      <c r="S561" s="63"/>
      <c r="T561" s="72" t="s">
        <v>56</v>
      </c>
      <c r="U561" s="105" t="str">
        <f>IF($J$1="July","",Y560)</f>
        <v/>
      </c>
      <c r="V561" s="74"/>
      <c r="W561" s="105" t="str">
        <f t="shared" ref="W561" si="123">IF(U561="","",U561+V561)</f>
        <v/>
      </c>
      <c r="X561" s="74"/>
      <c r="Y561" s="105" t="str">
        <f t="shared" ref="Y561" si="124">IF(W561="","",W561-X561)</f>
        <v/>
      </c>
      <c r="Z561" s="76"/>
    </row>
    <row r="562" spans="1:27" s="29" customFormat="1" ht="21" customHeight="1" x14ac:dyDescent="0.2">
      <c r="A562" s="30"/>
      <c r="K562" s="107"/>
      <c r="L562" s="46"/>
      <c r="N562" s="71"/>
      <c r="O562" s="72" t="s">
        <v>52</v>
      </c>
      <c r="P562" s="72"/>
      <c r="Q562" s="72"/>
      <c r="R562" s="72" t="str">
        <f>IF(Q562="","",R561-Q562)</f>
        <v/>
      </c>
      <c r="S562" s="63"/>
      <c r="T562" s="72" t="s">
        <v>52</v>
      </c>
      <c r="U562" s="105"/>
      <c r="V562" s="74"/>
      <c r="W562" s="105" t="str">
        <f t="shared" si="121"/>
        <v/>
      </c>
      <c r="X562" s="74"/>
      <c r="Y562" s="105" t="str">
        <f t="shared" si="122"/>
        <v/>
      </c>
      <c r="Z562" s="76"/>
    </row>
    <row r="563" spans="1:27" s="29" customFormat="1" ht="21" customHeight="1" x14ac:dyDescent="0.2">
      <c r="A563" s="30"/>
      <c r="B563" s="394" t="s">
        <v>85</v>
      </c>
      <c r="C563" s="394"/>
      <c r="D563" s="394"/>
      <c r="E563" s="394"/>
      <c r="F563" s="394"/>
      <c r="G563" s="394"/>
      <c r="H563" s="394"/>
      <c r="I563" s="394"/>
      <c r="J563" s="394"/>
      <c r="K563" s="394"/>
      <c r="L563" s="46"/>
      <c r="N563" s="71"/>
      <c r="O563" s="72" t="s">
        <v>57</v>
      </c>
      <c r="P563" s="72"/>
      <c r="Q563" s="72"/>
      <c r="R563" s="72">
        <v>0</v>
      </c>
      <c r="S563" s="63"/>
      <c r="T563" s="72" t="s">
        <v>57</v>
      </c>
      <c r="U563" s="105"/>
      <c r="V563" s="74"/>
      <c r="W563" s="105" t="str">
        <f t="shared" si="121"/>
        <v/>
      </c>
      <c r="X563" s="74"/>
      <c r="Y563" s="105" t="str">
        <f t="shared" si="122"/>
        <v/>
      </c>
      <c r="Z563" s="76"/>
    </row>
    <row r="564" spans="1:27" s="29" customFormat="1" ht="21" customHeight="1" x14ac:dyDescent="0.2">
      <c r="A564" s="30"/>
      <c r="B564" s="394"/>
      <c r="C564" s="394"/>
      <c r="D564" s="394"/>
      <c r="E564" s="394"/>
      <c r="F564" s="394"/>
      <c r="G564" s="394"/>
      <c r="H564" s="394"/>
      <c r="I564" s="394"/>
      <c r="J564" s="394"/>
      <c r="K564" s="394"/>
      <c r="L564" s="46"/>
      <c r="N564" s="71"/>
      <c r="O564" s="72" t="s">
        <v>58</v>
      </c>
      <c r="P564" s="72"/>
      <c r="Q564" s="72"/>
      <c r="R564" s="72">
        <v>0</v>
      </c>
      <c r="S564" s="63"/>
      <c r="T564" s="72" t="s">
        <v>58</v>
      </c>
      <c r="U564" s="105"/>
      <c r="V564" s="74"/>
      <c r="W564" s="105" t="str">
        <f t="shared" si="121"/>
        <v/>
      </c>
      <c r="X564" s="74"/>
      <c r="Y564" s="105" t="str">
        <f t="shared" si="122"/>
        <v/>
      </c>
      <c r="Z564" s="76"/>
    </row>
    <row r="565" spans="1:27" s="29" customFormat="1" ht="21" customHeight="1" thickBot="1" x14ac:dyDescent="0.25">
      <c r="A565" s="59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1"/>
      <c r="N565" s="77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9"/>
    </row>
    <row r="566" spans="1:27" s="29" customFormat="1" ht="21" customHeight="1" thickBot="1" x14ac:dyDescent="0.25"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spans="1:27" s="29" customFormat="1" ht="21.4" customHeight="1" x14ac:dyDescent="0.2">
      <c r="A567" s="430" t="s">
        <v>40</v>
      </c>
      <c r="B567" s="431"/>
      <c r="C567" s="431"/>
      <c r="D567" s="431"/>
      <c r="E567" s="431"/>
      <c r="F567" s="431"/>
      <c r="G567" s="431"/>
      <c r="H567" s="431"/>
      <c r="I567" s="431"/>
      <c r="J567" s="431"/>
      <c r="K567" s="431"/>
      <c r="L567" s="432"/>
      <c r="M567" s="28"/>
      <c r="N567" s="64"/>
      <c r="O567" s="403" t="s">
        <v>42</v>
      </c>
      <c r="P567" s="404"/>
      <c r="Q567" s="404"/>
      <c r="R567" s="405"/>
      <c r="S567" s="65"/>
      <c r="T567" s="403" t="s">
        <v>43</v>
      </c>
      <c r="U567" s="404"/>
      <c r="V567" s="404"/>
      <c r="W567" s="404"/>
      <c r="X567" s="404"/>
      <c r="Y567" s="405"/>
      <c r="Z567" s="66"/>
      <c r="AA567" s="28"/>
    </row>
    <row r="568" spans="1:27" s="29" customFormat="1" ht="21.4" customHeight="1" x14ac:dyDescent="0.2">
      <c r="A568" s="30"/>
      <c r="C568" s="402" t="s">
        <v>83</v>
      </c>
      <c r="D568" s="402"/>
      <c r="E568" s="402"/>
      <c r="F568" s="402"/>
      <c r="G568" s="31" t="str">
        <f>$J$1</f>
        <v>June</v>
      </c>
      <c r="H568" s="409">
        <f>$K$1</f>
        <v>2023</v>
      </c>
      <c r="I568" s="409"/>
      <c r="K568" s="32"/>
      <c r="L568" s="33"/>
      <c r="M568" s="32"/>
      <c r="N568" s="67"/>
      <c r="O568" s="68" t="s">
        <v>53</v>
      </c>
      <c r="P568" s="68" t="s">
        <v>7</v>
      </c>
      <c r="Q568" s="68" t="s">
        <v>6</v>
      </c>
      <c r="R568" s="68" t="s">
        <v>54</v>
      </c>
      <c r="S568" s="69"/>
      <c r="T568" s="68" t="s">
        <v>53</v>
      </c>
      <c r="U568" s="68" t="s">
        <v>55</v>
      </c>
      <c r="V568" s="68" t="s">
        <v>20</v>
      </c>
      <c r="W568" s="68" t="s">
        <v>19</v>
      </c>
      <c r="X568" s="68" t="s">
        <v>21</v>
      </c>
      <c r="Y568" s="68" t="s">
        <v>59</v>
      </c>
      <c r="Z568" s="70"/>
      <c r="AA568" s="32"/>
    </row>
    <row r="569" spans="1:27" s="29" customFormat="1" ht="21.4" customHeight="1" x14ac:dyDescent="0.2">
      <c r="A569" s="30"/>
      <c r="D569" s="35"/>
      <c r="E569" s="35"/>
      <c r="F569" s="35"/>
      <c r="G569" s="35"/>
      <c r="H569" s="35"/>
      <c r="J569" s="36" t="s">
        <v>1</v>
      </c>
      <c r="K569" s="37">
        <f>22500+2500+2000</f>
        <v>27000</v>
      </c>
      <c r="L569" s="38"/>
      <c r="N569" s="71"/>
      <c r="O569" s="72" t="s">
        <v>45</v>
      </c>
      <c r="P569" s="72">
        <v>31</v>
      </c>
      <c r="Q569" s="72">
        <v>0</v>
      </c>
      <c r="R569" s="72">
        <v>0</v>
      </c>
      <c r="S569" s="73"/>
      <c r="T569" s="72" t="s">
        <v>45</v>
      </c>
      <c r="U569" s="74">
        <v>15000</v>
      </c>
      <c r="V569" s="74"/>
      <c r="W569" s="74">
        <f>V569+U569</f>
        <v>15000</v>
      </c>
      <c r="X569" s="74">
        <v>5000</v>
      </c>
      <c r="Y569" s="74">
        <f>W569-X569</f>
        <v>10000</v>
      </c>
      <c r="Z569" s="70"/>
    </row>
    <row r="570" spans="1:27" s="29" customFormat="1" ht="21.4" customHeight="1" x14ac:dyDescent="0.2">
      <c r="A570" s="30"/>
      <c r="B570" s="29" t="s">
        <v>0</v>
      </c>
      <c r="C570" s="40" t="s">
        <v>148</v>
      </c>
      <c r="H570" s="41"/>
      <c r="I570" s="35"/>
      <c r="L570" s="42"/>
      <c r="M570" s="28"/>
      <c r="N570" s="75"/>
      <c r="O570" s="72" t="s">
        <v>71</v>
      </c>
      <c r="P570" s="72">
        <v>28</v>
      </c>
      <c r="Q570" s="72">
        <v>0</v>
      </c>
      <c r="R570" s="72">
        <v>0</v>
      </c>
      <c r="S570" s="63"/>
      <c r="T570" s="72" t="s">
        <v>71</v>
      </c>
      <c r="U570" s="105">
        <f>IF($J$1="January","",Y569)</f>
        <v>10000</v>
      </c>
      <c r="V570" s="74"/>
      <c r="W570" s="105">
        <f>IF(U570="","",U570+V570)</f>
        <v>10000</v>
      </c>
      <c r="X570" s="74"/>
      <c r="Y570" s="105">
        <f>IF(W570="","",W570-X570)</f>
        <v>10000</v>
      </c>
      <c r="Z570" s="76"/>
      <c r="AA570" s="28"/>
    </row>
    <row r="571" spans="1:27" s="29" customFormat="1" ht="21.4" customHeight="1" x14ac:dyDescent="0.2">
      <c r="A571" s="30"/>
      <c r="B571" s="44" t="s">
        <v>41</v>
      </c>
      <c r="C571" s="62"/>
      <c r="F571" s="391" t="s">
        <v>43</v>
      </c>
      <c r="G571" s="391"/>
      <c r="I571" s="391" t="s">
        <v>44</v>
      </c>
      <c r="J571" s="391"/>
      <c r="K571" s="391"/>
      <c r="L571" s="46"/>
      <c r="N571" s="71"/>
      <c r="O571" s="72" t="s">
        <v>46</v>
      </c>
      <c r="P571" s="72">
        <v>31</v>
      </c>
      <c r="Q571" s="72">
        <v>0</v>
      </c>
      <c r="R571" s="72">
        <v>0</v>
      </c>
      <c r="S571" s="63"/>
      <c r="T571" s="72" t="s">
        <v>46</v>
      </c>
      <c r="U571" s="105">
        <f>IF($J$1="February","",Y570)</f>
        <v>10000</v>
      </c>
      <c r="V571" s="74"/>
      <c r="W571" s="105">
        <f t="shared" ref="W571:W580" si="125">IF(U571="","",U571+V571)</f>
        <v>10000</v>
      </c>
      <c r="X571" s="74">
        <v>5000</v>
      </c>
      <c r="Y571" s="105">
        <f t="shared" ref="Y571:Y580" si="126">IF(W571="","",W571-X571)</f>
        <v>5000</v>
      </c>
      <c r="Z571" s="76"/>
    </row>
    <row r="572" spans="1:27" s="29" customFormat="1" ht="21.4" customHeight="1" x14ac:dyDescent="0.2">
      <c r="A572" s="30"/>
      <c r="H572" s="47"/>
      <c r="L572" s="34"/>
      <c r="N572" s="71"/>
      <c r="O572" s="72" t="s">
        <v>47</v>
      </c>
      <c r="P572" s="72">
        <v>30</v>
      </c>
      <c r="Q572" s="72">
        <v>0</v>
      </c>
      <c r="R572" s="72">
        <v>0</v>
      </c>
      <c r="S572" s="63"/>
      <c r="T572" s="72" t="s">
        <v>47</v>
      </c>
      <c r="U572" s="105">
        <f>IF($J$1="March","",Y571)</f>
        <v>5000</v>
      </c>
      <c r="V572" s="74"/>
      <c r="W572" s="105">
        <f t="shared" si="125"/>
        <v>5000</v>
      </c>
      <c r="X572" s="74">
        <v>5000</v>
      </c>
      <c r="Y572" s="105">
        <f t="shared" si="126"/>
        <v>0</v>
      </c>
      <c r="Z572" s="76"/>
    </row>
    <row r="573" spans="1:27" s="29" customFormat="1" ht="21.4" customHeight="1" x14ac:dyDescent="0.2">
      <c r="A573" s="30"/>
      <c r="B573" s="389" t="s">
        <v>42</v>
      </c>
      <c r="C573" s="390"/>
      <c r="F573" s="48" t="s">
        <v>64</v>
      </c>
      <c r="G573" s="43">
        <f>IF($J$1="January",U569,IF($J$1="February",U570,IF($J$1="March",U571,IF($J$1="April",U572,IF($J$1="May",U573,IF($J$1="June",U574,IF($J$1="July",U575,IF($J$1="August",U576,IF($J$1="August",U576,IF($J$1="September",U577,IF($J$1="October",U578,IF($J$1="November",U579,IF($J$1="December",U580)))))))))))))</f>
        <v>0</v>
      </c>
      <c r="H573" s="47"/>
      <c r="I573" s="49">
        <f>IF(C577&gt;0,$K$2,C575)</f>
        <v>30</v>
      </c>
      <c r="J573" s="50" t="s">
        <v>61</v>
      </c>
      <c r="K573" s="51">
        <f>K569/$K$2*I573</f>
        <v>27000</v>
      </c>
      <c r="L573" s="52"/>
      <c r="N573" s="71"/>
      <c r="O573" s="72" t="s">
        <v>48</v>
      </c>
      <c r="P573" s="72">
        <v>30</v>
      </c>
      <c r="Q573" s="72">
        <v>1</v>
      </c>
      <c r="R573" s="72">
        <v>0</v>
      </c>
      <c r="S573" s="63"/>
      <c r="T573" s="72" t="s">
        <v>48</v>
      </c>
      <c r="U573" s="105">
        <f>Y572</f>
        <v>0</v>
      </c>
      <c r="V573" s="74"/>
      <c r="W573" s="105">
        <f t="shared" si="125"/>
        <v>0</v>
      </c>
      <c r="X573" s="74"/>
      <c r="Y573" s="105">
        <f t="shared" si="126"/>
        <v>0</v>
      </c>
      <c r="Z573" s="76"/>
    </row>
    <row r="574" spans="1:27" s="29" customFormat="1" ht="21.4" customHeight="1" x14ac:dyDescent="0.2">
      <c r="A574" s="30"/>
      <c r="B574" s="39"/>
      <c r="C574" s="39"/>
      <c r="F574" s="48" t="s">
        <v>20</v>
      </c>
      <c r="G574" s="43">
        <f>IF($J$1="January",V569,IF($J$1="February",V570,IF($J$1="March",V571,IF($J$1="April",V572,IF($J$1="May",V573,IF($J$1="June",V574,IF($J$1="July",V575,IF($J$1="August",V576,IF($J$1="August",V576,IF($J$1="September",V577,IF($J$1="October",V578,IF($J$1="November",V579,IF($J$1="December",V580)))))))))))))</f>
        <v>27000</v>
      </c>
      <c r="H574" s="47"/>
      <c r="I574" s="84">
        <v>70</v>
      </c>
      <c r="J574" s="50" t="s">
        <v>62</v>
      </c>
      <c r="K574" s="53">
        <f>K569/$K$2/8*I574</f>
        <v>7875</v>
      </c>
      <c r="L574" s="54"/>
      <c r="N574" s="71"/>
      <c r="O574" s="72" t="s">
        <v>49</v>
      </c>
      <c r="P574" s="72">
        <v>30</v>
      </c>
      <c r="Q574" s="72">
        <v>0</v>
      </c>
      <c r="R574" s="72">
        <v>0</v>
      </c>
      <c r="S574" s="63"/>
      <c r="T574" s="72" t="s">
        <v>49</v>
      </c>
      <c r="U574" s="105">
        <f>Y573</f>
        <v>0</v>
      </c>
      <c r="V574" s="74">
        <f>2000+25000</f>
        <v>27000</v>
      </c>
      <c r="W574" s="105">
        <f t="shared" si="125"/>
        <v>27000</v>
      </c>
      <c r="X574" s="74">
        <v>27000</v>
      </c>
      <c r="Y574" s="105">
        <f t="shared" si="126"/>
        <v>0</v>
      </c>
      <c r="Z574" s="76"/>
    </row>
    <row r="575" spans="1:27" s="29" customFormat="1" ht="21.4" customHeight="1" x14ac:dyDescent="0.2">
      <c r="A575" s="30"/>
      <c r="B575" s="48" t="s">
        <v>7</v>
      </c>
      <c r="C575" s="39">
        <f>IF($J$1="January",P569,IF($J$1="February",P570,IF($J$1="March",P571,IF($J$1="April",P572,IF($J$1="May",P573,IF($J$1="June",P574,IF($J$1="July",P575,IF($J$1="August",P576,IF($J$1="August",P576,IF($J$1="September",P577,IF($J$1="October",P578,IF($J$1="November",P579,IF($J$1="December",P580)))))))))))))</f>
        <v>30</v>
      </c>
      <c r="F575" s="48" t="s">
        <v>65</v>
      </c>
      <c r="G575" s="43">
        <f>IF($J$1="January",W569,IF($J$1="February",W570,IF($J$1="March",W571,IF($J$1="April",W572,IF($J$1="May",W573,IF($J$1="June",W574,IF($J$1="July",W575,IF($J$1="August",W576,IF($J$1="August",W576,IF($J$1="September",W577,IF($J$1="October",W578,IF($J$1="November",W579,IF($J$1="December",W580)))))))))))))</f>
        <v>27000</v>
      </c>
      <c r="H575" s="47"/>
      <c r="I575" s="392" t="s">
        <v>69</v>
      </c>
      <c r="J575" s="393"/>
      <c r="K575" s="53">
        <f>K573+K574</f>
        <v>34875</v>
      </c>
      <c r="L575" s="54"/>
      <c r="N575" s="71"/>
      <c r="O575" s="72" t="s">
        <v>50</v>
      </c>
      <c r="P575" s="72"/>
      <c r="Q575" s="72"/>
      <c r="R575" s="72">
        <v>0</v>
      </c>
      <c r="S575" s="63"/>
      <c r="T575" s="72" t="s">
        <v>50</v>
      </c>
      <c r="U575" s="105"/>
      <c r="V575" s="74"/>
      <c r="W575" s="105" t="str">
        <f t="shared" si="125"/>
        <v/>
      </c>
      <c r="X575" s="74"/>
      <c r="Y575" s="105" t="str">
        <f t="shared" si="126"/>
        <v/>
      </c>
      <c r="Z575" s="76"/>
    </row>
    <row r="576" spans="1:27" s="29" customFormat="1" ht="21.4" customHeight="1" x14ac:dyDescent="0.2">
      <c r="A576" s="30"/>
      <c r="B576" s="48" t="s">
        <v>6</v>
      </c>
      <c r="C576" s="39">
        <f>IF($J$1="January",Q569,IF($J$1="February",Q570,IF($J$1="March",Q571,IF($J$1="April",Q572,IF($J$1="May",Q573,IF($J$1="June",Q574,IF($J$1="July",Q575,IF($J$1="August",Q576,IF($J$1="August",Q576,IF($J$1="September",Q577,IF($J$1="October",Q578,IF($J$1="November",Q579,IF($J$1="December",Q580)))))))))))))</f>
        <v>0</v>
      </c>
      <c r="F576" s="48" t="s">
        <v>21</v>
      </c>
      <c r="G576" s="43">
        <f>IF($J$1="January",X569,IF($J$1="February",X570,IF($J$1="March",X571,IF($J$1="April",X572,IF($J$1="May",X573,IF($J$1="June",X574,IF($J$1="July",X575,IF($J$1="August",X576,IF($J$1="August",X576,IF($J$1="September",X577,IF($J$1="October",X578,IF($J$1="November",X579,IF($J$1="December",X580)))))))))))))</f>
        <v>27000</v>
      </c>
      <c r="H576" s="47"/>
      <c r="I576" s="392" t="s">
        <v>70</v>
      </c>
      <c r="J576" s="393"/>
      <c r="K576" s="43">
        <f>G576</f>
        <v>27000</v>
      </c>
      <c r="L576" s="55"/>
      <c r="N576" s="71"/>
      <c r="O576" s="72" t="s">
        <v>51</v>
      </c>
      <c r="P576" s="72"/>
      <c r="Q576" s="72"/>
      <c r="R576" s="72">
        <v>0</v>
      </c>
      <c r="S576" s="63"/>
      <c r="T576" s="72" t="s">
        <v>51</v>
      </c>
      <c r="U576" s="105" t="str">
        <f>Y575</f>
        <v/>
      </c>
      <c r="V576" s="74"/>
      <c r="W576" s="105" t="str">
        <f t="shared" si="125"/>
        <v/>
      </c>
      <c r="X576" s="74"/>
      <c r="Y576" s="105" t="str">
        <f t="shared" si="126"/>
        <v/>
      </c>
      <c r="Z576" s="76"/>
    </row>
    <row r="577" spans="1:27" s="29" customFormat="1" ht="21.4" customHeight="1" x14ac:dyDescent="0.2">
      <c r="A577" s="30"/>
      <c r="B577" s="56" t="s">
        <v>68</v>
      </c>
      <c r="C577" s="39">
        <f>IF($J$1="January",R569,IF($J$1="February",R570,IF($J$1="March",R571,IF($J$1="April",R572,IF($J$1="May",R573,IF($J$1="June",R574,IF($J$1="July",R575,IF($J$1="August",R576,IF($J$1="August",R576,IF($J$1="September",R577,IF($J$1="October",R578,IF($J$1="November",R579,IF($J$1="December",R580)))))))))))))</f>
        <v>0</v>
      </c>
      <c r="F577" s="48" t="s">
        <v>67</v>
      </c>
      <c r="G577" s="43">
        <f>IF($J$1="January",Y569,IF($J$1="February",Y570,IF($J$1="March",Y571,IF($J$1="April",Y572,IF($J$1="May",Y573,IF($J$1="June",Y574,IF($J$1="July",Y575,IF($J$1="August",Y576,IF($J$1="August",Y576,IF($J$1="September",Y577,IF($J$1="October",Y578,IF($J$1="November",Y579,IF($J$1="December",Y580)))))))))))))</f>
        <v>0</v>
      </c>
      <c r="I577" s="387" t="s">
        <v>63</v>
      </c>
      <c r="J577" s="388"/>
      <c r="K577" s="57">
        <f>K575-K576</f>
        <v>7875</v>
      </c>
      <c r="L577" s="58"/>
      <c r="N577" s="71"/>
      <c r="O577" s="72" t="s">
        <v>56</v>
      </c>
      <c r="P577" s="72"/>
      <c r="Q577" s="72"/>
      <c r="R577" s="72">
        <v>0</v>
      </c>
      <c r="S577" s="63"/>
      <c r="T577" s="72" t="s">
        <v>56</v>
      </c>
      <c r="U577" s="105" t="str">
        <f>Y576</f>
        <v/>
      </c>
      <c r="V577" s="74"/>
      <c r="W577" s="105" t="str">
        <f t="shared" si="125"/>
        <v/>
      </c>
      <c r="X577" s="74"/>
      <c r="Y577" s="105" t="str">
        <f t="shared" si="126"/>
        <v/>
      </c>
      <c r="Z577" s="76"/>
    </row>
    <row r="578" spans="1:27" s="29" customFormat="1" ht="21.4" customHeight="1" x14ac:dyDescent="0.2">
      <c r="A578" s="30"/>
      <c r="K578" s="107"/>
      <c r="L578" s="46"/>
      <c r="N578" s="71"/>
      <c r="O578" s="72" t="s">
        <v>52</v>
      </c>
      <c r="P578" s="72"/>
      <c r="Q578" s="72"/>
      <c r="R578" s="72">
        <v>0</v>
      </c>
      <c r="S578" s="63"/>
      <c r="T578" s="72" t="s">
        <v>52</v>
      </c>
      <c r="U578" s="105" t="str">
        <f>Y577</f>
        <v/>
      </c>
      <c r="V578" s="74"/>
      <c r="W578" s="105" t="str">
        <f t="shared" si="125"/>
        <v/>
      </c>
      <c r="X578" s="74"/>
      <c r="Y578" s="105" t="str">
        <f t="shared" si="126"/>
        <v/>
      </c>
      <c r="Z578" s="76"/>
    </row>
    <row r="579" spans="1:27" s="29" customFormat="1" ht="21.4" customHeight="1" x14ac:dyDescent="0.2">
      <c r="A579" s="30"/>
      <c r="B579" s="394" t="s">
        <v>85</v>
      </c>
      <c r="C579" s="394"/>
      <c r="D579" s="394"/>
      <c r="E579" s="394"/>
      <c r="F579" s="394"/>
      <c r="G579" s="394"/>
      <c r="H579" s="394"/>
      <c r="I579" s="394"/>
      <c r="J579" s="394"/>
      <c r="K579" s="394"/>
      <c r="L579" s="46"/>
      <c r="N579" s="71"/>
      <c r="O579" s="72" t="s">
        <v>57</v>
      </c>
      <c r="P579" s="72"/>
      <c r="Q579" s="72"/>
      <c r="R579" s="72">
        <v>0</v>
      </c>
      <c r="S579" s="63"/>
      <c r="T579" s="72" t="s">
        <v>57</v>
      </c>
      <c r="U579" s="105" t="str">
        <f>Y578</f>
        <v/>
      </c>
      <c r="V579" s="74"/>
      <c r="W579" s="105" t="str">
        <f t="shared" si="125"/>
        <v/>
      </c>
      <c r="X579" s="74"/>
      <c r="Y579" s="105" t="str">
        <f t="shared" si="126"/>
        <v/>
      </c>
      <c r="Z579" s="76"/>
    </row>
    <row r="580" spans="1:27" s="29" customFormat="1" ht="21.4" customHeight="1" x14ac:dyDescent="0.2">
      <c r="A580" s="30"/>
      <c r="B580" s="394"/>
      <c r="C580" s="394"/>
      <c r="D580" s="394"/>
      <c r="E580" s="394"/>
      <c r="F580" s="394"/>
      <c r="G580" s="394"/>
      <c r="H580" s="394"/>
      <c r="I580" s="394"/>
      <c r="J580" s="394"/>
      <c r="K580" s="394"/>
      <c r="L580" s="46"/>
      <c r="N580" s="71"/>
      <c r="O580" s="72" t="s">
        <v>58</v>
      </c>
      <c r="P580" s="72"/>
      <c r="Q580" s="72"/>
      <c r="R580" s="72">
        <v>0</v>
      </c>
      <c r="S580" s="63"/>
      <c r="T580" s="72" t="s">
        <v>58</v>
      </c>
      <c r="U580" s="105" t="str">
        <f>Y579</f>
        <v/>
      </c>
      <c r="V580" s="74"/>
      <c r="W580" s="105" t="str">
        <f t="shared" si="125"/>
        <v/>
      </c>
      <c r="X580" s="74"/>
      <c r="Y580" s="105" t="str">
        <f t="shared" si="126"/>
        <v/>
      </c>
      <c r="Z580" s="76"/>
    </row>
    <row r="581" spans="1:27" s="29" customFormat="1" ht="21.4" customHeight="1" thickBot="1" x14ac:dyDescent="0.25">
      <c r="A581" s="59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1"/>
      <c r="N581" s="77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9"/>
    </row>
    <row r="582" spans="1:27" s="29" customFormat="1" ht="21" customHeight="1" thickBot="1" x14ac:dyDescent="0.25"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spans="1:27" s="29" customFormat="1" ht="21" customHeight="1" x14ac:dyDescent="0.2">
      <c r="A583" s="396" t="s">
        <v>40</v>
      </c>
      <c r="B583" s="397"/>
      <c r="C583" s="397"/>
      <c r="D583" s="397"/>
      <c r="E583" s="397"/>
      <c r="F583" s="397"/>
      <c r="G583" s="397"/>
      <c r="H583" s="397"/>
      <c r="I583" s="397"/>
      <c r="J583" s="397"/>
      <c r="K583" s="397"/>
      <c r="L583" s="398"/>
      <c r="M583" s="28"/>
      <c r="N583" s="64"/>
      <c r="O583" s="403" t="s">
        <v>42</v>
      </c>
      <c r="P583" s="404"/>
      <c r="Q583" s="404"/>
      <c r="R583" s="405"/>
      <c r="S583" s="65"/>
      <c r="T583" s="403" t="s">
        <v>43</v>
      </c>
      <c r="U583" s="404"/>
      <c r="V583" s="404"/>
      <c r="W583" s="404"/>
      <c r="X583" s="404"/>
      <c r="Y583" s="405"/>
      <c r="Z583" s="66"/>
      <c r="AA583" s="28"/>
    </row>
    <row r="584" spans="1:27" s="29" customFormat="1" ht="21" customHeight="1" x14ac:dyDescent="0.2">
      <c r="A584" s="30"/>
      <c r="C584" s="402" t="s">
        <v>83</v>
      </c>
      <c r="D584" s="402"/>
      <c r="E584" s="402"/>
      <c r="F584" s="402"/>
      <c r="G584" s="31" t="str">
        <f>$J$1</f>
        <v>June</v>
      </c>
      <c r="H584" s="409">
        <f>$K$1</f>
        <v>2023</v>
      </c>
      <c r="I584" s="409"/>
      <c r="K584" s="32"/>
      <c r="L584" s="33"/>
      <c r="M584" s="32"/>
      <c r="N584" s="67"/>
      <c r="O584" s="68" t="s">
        <v>53</v>
      </c>
      <c r="P584" s="68" t="s">
        <v>7</v>
      </c>
      <c r="Q584" s="68" t="s">
        <v>6</v>
      </c>
      <c r="R584" s="68" t="s">
        <v>54</v>
      </c>
      <c r="S584" s="69"/>
      <c r="T584" s="68" t="s">
        <v>53</v>
      </c>
      <c r="U584" s="68" t="s">
        <v>55</v>
      </c>
      <c r="V584" s="68" t="s">
        <v>20</v>
      </c>
      <c r="W584" s="68" t="s">
        <v>19</v>
      </c>
      <c r="X584" s="68" t="s">
        <v>21</v>
      </c>
      <c r="Y584" s="68" t="s">
        <v>59</v>
      </c>
      <c r="Z584" s="70"/>
      <c r="AA584" s="32"/>
    </row>
    <row r="585" spans="1:27" s="29" customFormat="1" ht="21" customHeight="1" x14ac:dyDescent="0.2">
      <c r="A585" s="30"/>
      <c r="D585" s="35"/>
      <c r="E585" s="35"/>
      <c r="F585" s="35"/>
      <c r="G585" s="35"/>
      <c r="H585" s="35"/>
      <c r="J585" s="36" t="s">
        <v>1</v>
      </c>
      <c r="K585" s="135">
        <f>32500+2000</f>
        <v>34500</v>
      </c>
      <c r="L585" s="38"/>
      <c r="N585" s="71"/>
      <c r="O585" s="72" t="s">
        <v>45</v>
      </c>
      <c r="P585" s="72">
        <v>31</v>
      </c>
      <c r="Q585" s="72">
        <v>0</v>
      </c>
      <c r="R585" s="72">
        <v>0</v>
      </c>
      <c r="S585" s="73"/>
      <c r="T585" s="72" t="s">
        <v>45</v>
      </c>
      <c r="U585" s="74"/>
      <c r="V585" s="74"/>
      <c r="W585" s="74">
        <f>V585+U585</f>
        <v>0</v>
      </c>
      <c r="X585" s="74"/>
      <c r="Y585" s="74">
        <f>W585-X585</f>
        <v>0</v>
      </c>
      <c r="Z585" s="70"/>
    </row>
    <row r="586" spans="1:27" s="29" customFormat="1" ht="21" customHeight="1" x14ac:dyDescent="0.2">
      <c r="A586" s="30"/>
      <c r="B586" s="29" t="s">
        <v>0</v>
      </c>
      <c r="C586" s="40" t="s">
        <v>163</v>
      </c>
      <c r="H586" s="41"/>
      <c r="I586" s="35"/>
      <c r="L586" s="42"/>
      <c r="M586" s="28"/>
      <c r="N586" s="75"/>
      <c r="O586" s="72" t="s">
        <v>71</v>
      </c>
      <c r="P586" s="72">
        <v>28</v>
      </c>
      <c r="Q586" s="72">
        <v>0</v>
      </c>
      <c r="R586" s="72">
        <v>0</v>
      </c>
      <c r="S586" s="63"/>
      <c r="T586" s="72" t="s">
        <v>71</v>
      </c>
      <c r="U586" s="105">
        <f>IF($J$1="January","",Y585)</f>
        <v>0</v>
      </c>
      <c r="V586" s="74"/>
      <c r="W586" s="105">
        <f>IF(U586="","",U586+V586)</f>
        <v>0</v>
      </c>
      <c r="X586" s="74"/>
      <c r="Y586" s="105">
        <f>IF(W586="","",W586-X586)</f>
        <v>0</v>
      </c>
      <c r="Z586" s="76"/>
      <c r="AA586" s="28"/>
    </row>
    <row r="587" spans="1:27" s="29" customFormat="1" ht="21" customHeight="1" x14ac:dyDescent="0.2">
      <c r="A587" s="30"/>
      <c r="B587" s="44" t="s">
        <v>41</v>
      </c>
      <c r="C587" s="45"/>
      <c r="F587" s="391" t="s">
        <v>43</v>
      </c>
      <c r="G587" s="391"/>
      <c r="I587" s="391" t="s">
        <v>44</v>
      </c>
      <c r="J587" s="391"/>
      <c r="K587" s="391"/>
      <c r="L587" s="46"/>
      <c r="N587" s="71"/>
      <c r="O587" s="72" t="s">
        <v>46</v>
      </c>
      <c r="P587" s="72">
        <v>31</v>
      </c>
      <c r="Q587" s="72">
        <v>0</v>
      </c>
      <c r="R587" s="72">
        <v>0</v>
      </c>
      <c r="S587" s="63"/>
      <c r="T587" s="72" t="s">
        <v>46</v>
      </c>
      <c r="U587" s="105">
        <f>IF($J$1="February","",Y586)</f>
        <v>0</v>
      </c>
      <c r="V587" s="74"/>
      <c r="W587" s="105">
        <f t="shared" ref="W587:W596" si="127">IF(U587="","",U587+V587)</f>
        <v>0</v>
      </c>
      <c r="X587" s="74"/>
      <c r="Y587" s="105">
        <f t="shared" ref="Y587:Y596" si="128">IF(W587="","",W587-X587)</f>
        <v>0</v>
      </c>
      <c r="Z587" s="76"/>
    </row>
    <row r="588" spans="1:27" s="29" customFormat="1" ht="21" customHeight="1" x14ac:dyDescent="0.2">
      <c r="A588" s="30"/>
      <c r="H588" s="47"/>
      <c r="L588" s="34"/>
      <c r="N588" s="71"/>
      <c r="O588" s="72" t="s">
        <v>47</v>
      </c>
      <c r="P588" s="72">
        <v>30</v>
      </c>
      <c r="Q588" s="72">
        <v>0</v>
      </c>
      <c r="R588" s="72">
        <v>0</v>
      </c>
      <c r="S588" s="63"/>
      <c r="T588" s="72" t="s">
        <v>47</v>
      </c>
      <c r="U588" s="105">
        <f>IF($J$1="March","",Y587)</f>
        <v>0</v>
      </c>
      <c r="V588" s="74"/>
      <c r="W588" s="105">
        <f t="shared" si="127"/>
        <v>0</v>
      </c>
      <c r="X588" s="74"/>
      <c r="Y588" s="105">
        <f t="shared" si="128"/>
        <v>0</v>
      </c>
      <c r="Z588" s="76"/>
    </row>
    <row r="589" spans="1:27" s="29" customFormat="1" ht="21" customHeight="1" x14ac:dyDescent="0.2">
      <c r="A589" s="30"/>
      <c r="B589" s="389" t="s">
        <v>42</v>
      </c>
      <c r="C589" s="390"/>
      <c r="F589" s="48" t="s">
        <v>64</v>
      </c>
      <c r="G589" s="43">
        <f>IF($J$1="January",U585,IF($J$1="February",U586,IF($J$1="March",U587,IF($J$1="April",U588,IF($J$1="May",U589,IF($J$1="June",U590,IF($J$1="July",U591,IF($J$1="August",U592,IF($J$1="August",U592,IF($J$1="September",U593,IF($J$1="October",U594,IF($J$1="November",U595,IF($J$1="December",U596)))))))))))))</f>
        <v>0</v>
      </c>
      <c r="H589" s="47"/>
      <c r="I589" s="49">
        <f>IF(C593&gt;0,$K$2,C591)</f>
        <v>30</v>
      </c>
      <c r="J589" s="50" t="s">
        <v>61</v>
      </c>
      <c r="K589" s="51">
        <f>K585/$K$2*I589</f>
        <v>34500</v>
      </c>
      <c r="L589" s="52"/>
      <c r="N589" s="71"/>
      <c r="O589" s="72" t="s">
        <v>48</v>
      </c>
      <c r="P589" s="72">
        <v>31</v>
      </c>
      <c r="Q589" s="72">
        <v>0</v>
      </c>
      <c r="R589" s="72">
        <v>0</v>
      </c>
      <c r="S589" s="63"/>
      <c r="T589" s="72" t="s">
        <v>48</v>
      </c>
      <c r="U589" s="105">
        <f>IF($J$1="April","",Y588)</f>
        <v>0</v>
      </c>
      <c r="V589" s="74"/>
      <c r="W589" s="105">
        <f t="shared" si="127"/>
        <v>0</v>
      </c>
      <c r="X589" s="74"/>
      <c r="Y589" s="105">
        <f t="shared" si="128"/>
        <v>0</v>
      </c>
      <c r="Z589" s="76"/>
    </row>
    <row r="590" spans="1:27" s="29" customFormat="1" ht="21" customHeight="1" x14ac:dyDescent="0.2">
      <c r="A590" s="30"/>
      <c r="B590" s="39"/>
      <c r="C590" s="39"/>
      <c r="F590" s="48" t="s">
        <v>20</v>
      </c>
      <c r="G590" s="43">
        <f>IF($J$1="January",V585,IF($J$1="February",V586,IF($J$1="March",V587,IF($J$1="April",V588,IF($J$1="May",V589,IF($J$1="June",V590,IF($J$1="July",V591,IF($J$1="August",V592,IF($J$1="August",V592,IF($J$1="September",V593,IF($J$1="October",V594,IF($J$1="November",V595,IF($J$1="December",V596)))))))))))))</f>
        <v>34500</v>
      </c>
      <c r="H590" s="47"/>
      <c r="I590" s="84">
        <v>10</v>
      </c>
      <c r="J590" s="50" t="s">
        <v>62</v>
      </c>
      <c r="K590" s="53">
        <f>K585/$K$2/8*I590</f>
        <v>1437.5</v>
      </c>
      <c r="L590" s="54"/>
      <c r="N590" s="71"/>
      <c r="O590" s="72" t="s">
        <v>49</v>
      </c>
      <c r="P590" s="72">
        <v>30</v>
      </c>
      <c r="Q590" s="72">
        <v>0</v>
      </c>
      <c r="R590" s="72">
        <v>0</v>
      </c>
      <c r="S590" s="63"/>
      <c r="T590" s="72" t="s">
        <v>49</v>
      </c>
      <c r="U590" s="105">
        <f>IF($J$1="May","",Y589)</f>
        <v>0</v>
      </c>
      <c r="V590" s="74">
        <v>34500</v>
      </c>
      <c r="W590" s="105">
        <f t="shared" si="127"/>
        <v>34500</v>
      </c>
      <c r="X590" s="74">
        <v>34500</v>
      </c>
      <c r="Y590" s="105">
        <f t="shared" si="128"/>
        <v>0</v>
      </c>
      <c r="Z590" s="76"/>
    </row>
    <row r="591" spans="1:27" s="29" customFormat="1" ht="21" customHeight="1" x14ac:dyDescent="0.2">
      <c r="A591" s="30"/>
      <c r="B591" s="48" t="s">
        <v>7</v>
      </c>
      <c r="C591" s="39">
        <f>IF($J$1="January",P585,IF($J$1="February",P586,IF($J$1="March",P587,IF($J$1="April",P588,IF($J$1="May",P589,IF($J$1="June",P590,IF($J$1="July",P591,IF($J$1="August",P592,IF($J$1="August",P592,IF($J$1="September",P593,IF($J$1="October",P594,IF($J$1="November",P595,IF($J$1="December",P596)))))))))))))</f>
        <v>30</v>
      </c>
      <c r="F591" s="48" t="s">
        <v>65</v>
      </c>
      <c r="G591" s="43">
        <f>IF($J$1="January",W585,IF($J$1="February",W586,IF($J$1="March",W587,IF($J$1="April",W588,IF($J$1="May",W589,IF($J$1="June",W590,IF($J$1="July",W591,IF($J$1="August",W592,IF($J$1="August",W592,IF($J$1="September",W593,IF($J$1="October",W594,IF($J$1="November",W595,IF($J$1="December",W596)))))))))))))</f>
        <v>34500</v>
      </c>
      <c r="H591" s="47"/>
      <c r="I591" s="392" t="s">
        <v>69</v>
      </c>
      <c r="J591" s="393"/>
      <c r="K591" s="53">
        <f>K589+K590</f>
        <v>35937.5</v>
      </c>
      <c r="L591" s="54"/>
      <c r="N591" s="71"/>
      <c r="O591" s="72" t="s">
        <v>50</v>
      </c>
      <c r="P591" s="72"/>
      <c r="Q591" s="72"/>
      <c r="R591" s="72">
        <v>0</v>
      </c>
      <c r="S591" s="63"/>
      <c r="T591" s="72" t="s">
        <v>50</v>
      </c>
      <c r="U591" s="105" t="str">
        <f>IF($J$1="June","",Y590)</f>
        <v/>
      </c>
      <c r="V591" s="74"/>
      <c r="W591" s="105" t="str">
        <f t="shared" si="127"/>
        <v/>
      </c>
      <c r="X591" s="74"/>
      <c r="Y591" s="105" t="str">
        <f t="shared" si="128"/>
        <v/>
      </c>
      <c r="Z591" s="76"/>
    </row>
    <row r="592" spans="1:27" s="29" customFormat="1" ht="21" customHeight="1" x14ac:dyDescent="0.2">
      <c r="A592" s="30"/>
      <c r="B592" s="48" t="s">
        <v>6</v>
      </c>
      <c r="C592" s="39">
        <f>IF($J$1="January",Q585,IF($J$1="February",Q586,IF($J$1="March",Q587,IF($J$1="April",Q588,IF($J$1="May",Q589,IF($J$1="June",Q590,IF($J$1="July",Q591,IF($J$1="August",Q592,IF($J$1="August",Q592,IF($J$1="September",Q593,IF($J$1="October",Q594,IF($J$1="November",Q595,IF($J$1="December",Q596)))))))))))))</f>
        <v>0</v>
      </c>
      <c r="F592" s="48" t="s">
        <v>21</v>
      </c>
      <c r="G592" s="43">
        <f>IF($J$1="January",X585,IF($J$1="February",X586,IF($J$1="March",X587,IF($J$1="April",X588,IF($J$1="May",X589,IF($J$1="June",X590,IF($J$1="July",X591,IF($J$1="August",X592,IF($J$1="August",X592,IF($J$1="September",X593,IF($J$1="October",X594,IF($J$1="November",X595,IF($J$1="December",X596)))))))))))))</f>
        <v>34500</v>
      </c>
      <c r="H592" s="47"/>
      <c r="I592" s="392" t="s">
        <v>70</v>
      </c>
      <c r="J592" s="393"/>
      <c r="K592" s="43">
        <f>G592</f>
        <v>34500</v>
      </c>
      <c r="L592" s="55"/>
      <c r="N592" s="71"/>
      <c r="O592" s="72" t="s">
        <v>51</v>
      </c>
      <c r="P592" s="72"/>
      <c r="Q592" s="72"/>
      <c r="R592" s="72">
        <v>0</v>
      </c>
      <c r="S592" s="63"/>
      <c r="T592" s="72" t="s">
        <v>51</v>
      </c>
      <c r="U592" s="105" t="str">
        <f>IF($J$1="July","",Y591)</f>
        <v/>
      </c>
      <c r="V592" s="74"/>
      <c r="W592" s="105" t="str">
        <f t="shared" si="127"/>
        <v/>
      </c>
      <c r="X592" s="74"/>
      <c r="Y592" s="105" t="str">
        <f t="shared" si="128"/>
        <v/>
      </c>
      <c r="Z592" s="76"/>
    </row>
    <row r="593" spans="1:26" s="29" customFormat="1" ht="21" customHeight="1" x14ac:dyDescent="0.2">
      <c r="A593" s="30"/>
      <c r="B593" s="56" t="s">
        <v>68</v>
      </c>
      <c r="C593" s="39">
        <f>IF($J$1="January",R585,IF($J$1="February",R586,IF($J$1="March",R587,IF($J$1="April",R588,IF($J$1="May",R589,IF($J$1="June",R590,IF($J$1="July",R591,IF($J$1="August",R592,IF($J$1="August",R592,IF($J$1="September",R593,IF($J$1="October",R594,IF($J$1="November",R595,IF($J$1="December",R596)))))))))))))</f>
        <v>0</v>
      </c>
      <c r="F593" s="48" t="s">
        <v>67</v>
      </c>
      <c r="G593" s="43">
        <f>IF($J$1="January",Y585,IF($J$1="February",Y586,IF($J$1="March",Y587,IF($J$1="April",Y588,IF($J$1="May",Y589,IF($J$1="June",Y590,IF($J$1="July",Y591,IF($J$1="August",Y592,IF($J$1="August",Y592,IF($J$1="September",Y593,IF($J$1="October",Y594,IF($J$1="November",Y595,IF($J$1="December",Y596)))))))))))))</f>
        <v>0</v>
      </c>
      <c r="I593" s="387" t="s">
        <v>63</v>
      </c>
      <c r="J593" s="388"/>
      <c r="K593" s="57">
        <f>K591-K592</f>
        <v>1437.5</v>
      </c>
      <c r="L593" s="58"/>
      <c r="N593" s="71"/>
      <c r="O593" s="72" t="s">
        <v>56</v>
      </c>
      <c r="P593" s="72"/>
      <c r="Q593" s="72"/>
      <c r="R593" s="72">
        <v>0</v>
      </c>
      <c r="S593" s="63"/>
      <c r="T593" s="72" t="s">
        <v>56</v>
      </c>
      <c r="U593" s="105" t="str">
        <f>IF($J$1="August","",Y592)</f>
        <v/>
      </c>
      <c r="V593" s="74"/>
      <c r="W593" s="105" t="str">
        <f t="shared" si="127"/>
        <v/>
      </c>
      <c r="X593" s="74"/>
      <c r="Y593" s="105" t="str">
        <f t="shared" si="128"/>
        <v/>
      </c>
      <c r="Z593" s="76"/>
    </row>
    <row r="594" spans="1:26" s="29" customFormat="1" ht="21" customHeight="1" x14ac:dyDescent="0.2">
      <c r="A594" s="30"/>
      <c r="K594" s="107"/>
      <c r="L594" s="46"/>
      <c r="N594" s="71"/>
      <c r="O594" s="72" t="s">
        <v>52</v>
      </c>
      <c r="P594" s="72"/>
      <c r="Q594" s="72"/>
      <c r="R594" s="72">
        <v>0</v>
      </c>
      <c r="S594" s="63"/>
      <c r="T594" s="72" t="s">
        <v>52</v>
      </c>
      <c r="U594" s="105" t="str">
        <f>IF($J$1="September","",Y593)</f>
        <v/>
      </c>
      <c r="V594" s="74"/>
      <c r="W594" s="105" t="str">
        <f t="shared" si="127"/>
        <v/>
      </c>
      <c r="X594" s="74"/>
      <c r="Y594" s="105" t="str">
        <f t="shared" si="128"/>
        <v/>
      </c>
      <c r="Z594" s="76"/>
    </row>
    <row r="595" spans="1:26" s="29" customFormat="1" ht="21" customHeight="1" x14ac:dyDescent="0.2">
      <c r="A595" s="30"/>
      <c r="B595" s="394" t="s">
        <v>85</v>
      </c>
      <c r="C595" s="394"/>
      <c r="D595" s="394"/>
      <c r="E595" s="394"/>
      <c r="F595" s="394"/>
      <c r="G595" s="394"/>
      <c r="H595" s="394"/>
      <c r="I595" s="394"/>
      <c r="J595" s="394"/>
      <c r="K595" s="394"/>
      <c r="L595" s="46"/>
      <c r="N595" s="71"/>
      <c r="O595" s="72" t="s">
        <v>57</v>
      </c>
      <c r="P595" s="72"/>
      <c r="Q595" s="72"/>
      <c r="R595" s="72">
        <v>0</v>
      </c>
      <c r="S595" s="63"/>
      <c r="T595" s="72" t="s">
        <v>57</v>
      </c>
      <c r="U595" s="105" t="str">
        <f>IF($J$1="October","",Y594)</f>
        <v/>
      </c>
      <c r="V595" s="74"/>
      <c r="W595" s="105" t="str">
        <f t="shared" si="127"/>
        <v/>
      </c>
      <c r="X595" s="74"/>
      <c r="Y595" s="105" t="str">
        <f t="shared" si="128"/>
        <v/>
      </c>
      <c r="Z595" s="76"/>
    </row>
    <row r="596" spans="1:26" s="29" customFormat="1" ht="21" customHeight="1" x14ac:dyDescent="0.2">
      <c r="A596" s="30"/>
      <c r="B596" s="394"/>
      <c r="C596" s="394"/>
      <c r="D596" s="394"/>
      <c r="E596" s="394"/>
      <c r="F596" s="394"/>
      <c r="G596" s="394"/>
      <c r="H596" s="394"/>
      <c r="I596" s="394"/>
      <c r="J596" s="394"/>
      <c r="K596" s="394"/>
      <c r="L596" s="46"/>
      <c r="N596" s="71"/>
      <c r="O596" s="72" t="s">
        <v>58</v>
      </c>
      <c r="P596" s="72"/>
      <c r="Q596" s="72"/>
      <c r="R596" s="72">
        <v>0</v>
      </c>
      <c r="S596" s="63"/>
      <c r="T596" s="72" t="s">
        <v>58</v>
      </c>
      <c r="U596" s="105" t="str">
        <f>IF($J$1="November","",Y595)</f>
        <v/>
      </c>
      <c r="V596" s="74"/>
      <c r="W596" s="105" t="str">
        <f t="shared" si="127"/>
        <v/>
      </c>
      <c r="X596" s="74"/>
      <c r="Y596" s="105" t="str">
        <f t="shared" si="128"/>
        <v/>
      </c>
      <c r="Z596" s="76"/>
    </row>
    <row r="597" spans="1:26" s="29" customFormat="1" ht="21" customHeight="1" thickBot="1" x14ac:dyDescent="0.25">
      <c r="A597" s="59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1"/>
      <c r="N597" s="77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9"/>
    </row>
    <row r="598" spans="1:26" s="29" customFormat="1" ht="21" customHeight="1" thickBot="1" x14ac:dyDescent="0.25"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spans="1:26" s="29" customFormat="1" ht="21" customHeight="1" x14ac:dyDescent="0.2">
      <c r="A599" s="413" t="s">
        <v>40</v>
      </c>
      <c r="B599" s="414"/>
      <c r="C599" s="414"/>
      <c r="D599" s="414"/>
      <c r="E599" s="414"/>
      <c r="F599" s="414"/>
      <c r="G599" s="414"/>
      <c r="H599" s="414"/>
      <c r="I599" s="414"/>
      <c r="J599" s="414"/>
      <c r="K599" s="414"/>
      <c r="L599" s="415"/>
      <c r="M599" s="28"/>
      <c r="N599" s="64"/>
      <c r="O599" s="403" t="s">
        <v>42</v>
      </c>
      <c r="P599" s="404"/>
      <c r="Q599" s="404"/>
      <c r="R599" s="405"/>
      <c r="S599" s="65"/>
      <c r="T599" s="403" t="s">
        <v>43</v>
      </c>
      <c r="U599" s="404"/>
      <c r="V599" s="404"/>
      <c r="W599" s="404"/>
      <c r="X599" s="404"/>
      <c r="Y599" s="405"/>
      <c r="Z599" s="66"/>
    </row>
    <row r="600" spans="1:26" s="29" customFormat="1" ht="21" customHeight="1" x14ac:dyDescent="0.2">
      <c r="A600" s="30"/>
      <c r="C600" s="402" t="s">
        <v>83</v>
      </c>
      <c r="D600" s="402"/>
      <c r="E600" s="402"/>
      <c r="F600" s="402"/>
      <c r="G600" s="31" t="str">
        <f>$J$1</f>
        <v>June</v>
      </c>
      <c r="H600" s="409">
        <f>$K$1</f>
        <v>2023</v>
      </c>
      <c r="I600" s="409"/>
      <c r="K600" s="32"/>
      <c r="L600" s="33"/>
      <c r="M600" s="32"/>
      <c r="N600" s="67"/>
      <c r="O600" s="68" t="s">
        <v>53</v>
      </c>
      <c r="P600" s="68" t="s">
        <v>7</v>
      </c>
      <c r="Q600" s="68" t="s">
        <v>6</v>
      </c>
      <c r="R600" s="68" t="s">
        <v>54</v>
      </c>
      <c r="S600" s="69"/>
      <c r="T600" s="68" t="s">
        <v>53</v>
      </c>
      <c r="U600" s="68" t="s">
        <v>55</v>
      </c>
      <c r="V600" s="68" t="s">
        <v>20</v>
      </c>
      <c r="W600" s="68" t="s">
        <v>19</v>
      </c>
      <c r="X600" s="68" t="s">
        <v>21</v>
      </c>
      <c r="Y600" s="68" t="s">
        <v>59</v>
      </c>
      <c r="Z600" s="70"/>
    </row>
    <row r="601" spans="1:26" s="29" customFormat="1" ht="21" customHeight="1" x14ac:dyDescent="0.2">
      <c r="A601" s="30"/>
      <c r="D601" s="35"/>
      <c r="E601" s="35"/>
      <c r="F601" s="35"/>
      <c r="G601" s="35"/>
      <c r="H601" s="35"/>
      <c r="J601" s="36" t="s">
        <v>1</v>
      </c>
      <c r="K601" s="37">
        <f>24500+2000</f>
        <v>26500</v>
      </c>
      <c r="L601" s="38"/>
      <c r="N601" s="71"/>
      <c r="O601" s="72" t="s">
        <v>45</v>
      </c>
      <c r="P601" s="72">
        <v>31</v>
      </c>
      <c r="Q601" s="72">
        <v>0</v>
      </c>
      <c r="R601" s="72"/>
      <c r="S601" s="73"/>
      <c r="T601" s="72" t="s">
        <v>45</v>
      </c>
      <c r="U601" s="74"/>
      <c r="V601" s="74"/>
      <c r="W601" s="74">
        <f>V601+U601</f>
        <v>0</v>
      </c>
      <c r="X601" s="74"/>
      <c r="Y601" s="74">
        <f>W601-X601</f>
        <v>0</v>
      </c>
      <c r="Z601" s="70"/>
    </row>
    <row r="602" spans="1:26" s="29" customFormat="1" ht="21" customHeight="1" x14ac:dyDescent="0.2">
      <c r="A602" s="30"/>
      <c r="B602" s="29" t="s">
        <v>0</v>
      </c>
      <c r="C602" s="40" t="s">
        <v>131</v>
      </c>
      <c r="H602" s="41"/>
      <c r="I602" s="35"/>
      <c r="L602" s="42"/>
      <c r="M602" s="28"/>
      <c r="N602" s="75"/>
      <c r="O602" s="72" t="s">
        <v>71</v>
      </c>
      <c r="P602" s="72">
        <v>28</v>
      </c>
      <c r="Q602" s="72">
        <v>0</v>
      </c>
      <c r="R602" s="72"/>
      <c r="S602" s="63"/>
      <c r="T602" s="72" t="s">
        <v>71</v>
      </c>
      <c r="U602" s="105">
        <f>Y601</f>
        <v>0</v>
      </c>
      <c r="V602" s="74">
        <v>15000</v>
      </c>
      <c r="W602" s="105">
        <f>IF(U602="","",U602+V602)</f>
        <v>15000</v>
      </c>
      <c r="X602" s="74">
        <v>5000</v>
      </c>
      <c r="Y602" s="105">
        <f>IF(W602="","",W602-X602)</f>
        <v>10000</v>
      </c>
      <c r="Z602" s="76"/>
    </row>
    <row r="603" spans="1:26" s="29" customFormat="1" ht="21" customHeight="1" x14ac:dyDescent="0.2">
      <c r="A603" s="30"/>
      <c r="B603" s="44" t="s">
        <v>41</v>
      </c>
      <c r="C603" s="40"/>
      <c r="F603" s="391" t="s">
        <v>43</v>
      </c>
      <c r="G603" s="391"/>
      <c r="I603" s="391" t="s">
        <v>44</v>
      </c>
      <c r="J603" s="391"/>
      <c r="K603" s="391"/>
      <c r="L603" s="46"/>
      <c r="N603" s="71"/>
      <c r="O603" s="72" t="s">
        <v>46</v>
      </c>
      <c r="P603" s="72">
        <v>31</v>
      </c>
      <c r="Q603" s="72">
        <v>0</v>
      </c>
      <c r="R603" s="72">
        <v>0</v>
      </c>
      <c r="S603" s="63"/>
      <c r="T603" s="72" t="s">
        <v>46</v>
      </c>
      <c r="U603" s="105">
        <f>IF($J$1="February","",Y602)</f>
        <v>10000</v>
      </c>
      <c r="V603" s="74"/>
      <c r="W603" s="105">
        <f t="shared" ref="W603:W612" si="129">IF(U603="","",U603+V603)</f>
        <v>10000</v>
      </c>
      <c r="X603" s="74"/>
      <c r="Y603" s="105">
        <f t="shared" ref="Y603:Y612" si="130">IF(W603="","",W603-X603)</f>
        <v>10000</v>
      </c>
      <c r="Z603" s="76"/>
    </row>
    <row r="604" spans="1:26" s="29" customFormat="1" ht="21" customHeight="1" x14ac:dyDescent="0.2">
      <c r="A604" s="30"/>
      <c r="H604" s="47"/>
      <c r="L604" s="34"/>
      <c r="N604" s="71"/>
      <c r="O604" s="72" t="s">
        <v>47</v>
      </c>
      <c r="P604" s="72">
        <v>30</v>
      </c>
      <c r="Q604" s="72">
        <v>0</v>
      </c>
      <c r="R604" s="72">
        <v>0</v>
      </c>
      <c r="S604" s="63"/>
      <c r="T604" s="72" t="s">
        <v>47</v>
      </c>
      <c r="U604" s="105">
        <f>IF($J$1="March","",Y603)</f>
        <v>10000</v>
      </c>
      <c r="V604" s="74"/>
      <c r="W604" s="105">
        <f t="shared" si="129"/>
        <v>10000</v>
      </c>
      <c r="X604" s="74">
        <v>5000</v>
      </c>
      <c r="Y604" s="105">
        <f t="shared" si="130"/>
        <v>5000</v>
      </c>
      <c r="Z604" s="76"/>
    </row>
    <row r="605" spans="1:26" s="29" customFormat="1" ht="21" customHeight="1" x14ac:dyDescent="0.2">
      <c r="A605" s="30"/>
      <c r="B605" s="389" t="s">
        <v>42</v>
      </c>
      <c r="C605" s="390"/>
      <c r="F605" s="48" t="s">
        <v>64</v>
      </c>
      <c r="G605" s="43">
        <f>IF($J$1="January",U601,IF($J$1="February",U602,IF($J$1="March",U603,IF($J$1="April",U604,IF($J$1="May",U605,IF($J$1="June",U606,IF($J$1="July",U607,IF($J$1="August",U608,IF($J$1="August",U608,IF($J$1="September",U609,IF($J$1="October",U610,IF($J$1="November",U611,IF($J$1="December",U612)))))))))))))</f>
        <v>0</v>
      </c>
      <c r="H605" s="47"/>
      <c r="I605" s="49">
        <f>IF(C609&gt;0,$K$2,C607)</f>
        <v>30</v>
      </c>
      <c r="J605" s="50" t="s">
        <v>61</v>
      </c>
      <c r="K605" s="51">
        <f>K601/$K$2*I605</f>
        <v>26500</v>
      </c>
      <c r="L605" s="52"/>
      <c r="N605" s="71"/>
      <c r="O605" s="72" t="s">
        <v>48</v>
      </c>
      <c r="P605" s="72">
        <v>31</v>
      </c>
      <c r="Q605" s="72">
        <v>0</v>
      </c>
      <c r="R605" s="72">
        <v>0</v>
      </c>
      <c r="S605" s="63"/>
      <c r="T605" s="72" t="s">
        <v>48</v>
      </c>
      <c r="U605" s="105">
        <f>Y604</f>
        <v>5000</v>
      </c>
      <c r="V605" s="74"/>
      <c r="W605" s="105">
        <f t="shared" si="129"/>
        <v>5000</v>
      </c>
      <c r="X605" s="74">
        <v>5000</v>
      </c>
      <c r="Y605" s="105">
        <f t="shared" si="130"/>
        <v>0</v>
      </c>
      <c r="Z605" s="76"/>
    </row>
    <row r="606" spans="1:26" s="29" customFormat="1" ht="21" customHeight="1" x14ac:dyDescent="0.2">
      <c r="A606" s="30"/>
      <c r="B606" s="39"/>
      <c r="C606" s="39"/>
      <c r="F606" s="48" t="s">
        <v>20</v>
      </c>
      <c r="G606" s="43">
        <f>IF($J$1="January",V601,IF($J$1="February",V602,IF($J$1="March",V603,IF($J$1="April",V604,IF($J$1="May",V605,IF($J$1="June",V606,IF($J$1="July",V607,IF($J$1="August",V608,IF($J$1="August",V608,IF($J$1="September",V609,IF($J$1="October",V610,IF($J$1="November",V611,IF($J$1="December",V612)))))))))))))</f>
        <v>45000</v>
      </c>
      <c r="H606" s="47"/>
      <c r="I606" s="84">
        <v>97</v>
      </c>
      <c r="J606" s="50" t="s">
        <v>62</v>
      </c>
      <c r="K606" s="53">
        <f>K601/$K$2/8*I606</f>
        <v>10710.416666666668</v>
      </c>
      <c r="L606" s="54"/>
      <c r="N606" s="71"/>
      <c r="O606" s="72" t="s">
        <v>49</v>
      </c>
      <c r="P606" s="72">
        <v>30</v>
      </c>
      <c r="Q606" s="72">
        <v>0</v>
      </c>
      <c r="R606" s="72">
        <v>0</v>
      </c>
      <c r="S606" s="63"/>
      <c r="T606" s="72" t="s">
        <v>49</v>
      </c>
      <c r="U606" s="105">
        <f>Y605</f>
        <v>0</v>
      </c>
      <c r="V606" s="74">
        <f>25000+20000</f>
        <v>45000</v>
      </c>
      <c r="W606" s="105">
        <f t="shared" si="129"/>
        <v>45000</v>
      </c>
      <c r="X606" s="74">
        <v>25000</v>
      </c>
      <c r="Y606" s="105">
        <f t="shared" si="130"/>
        <v>20000</v>
      </c>
      <c r="Z606" s="76"/>
    </row>
    <row r="607" spans="1:26" s="29" customFormat="1" ht="21" customHeight="1" x14ac:dyDescent="0.2">
      <c r="A607" s="30"/>
      <c r="B607" s="48" t="s">
        <v>7</v>
      </c>
      <c r="C607" s="39">
        <f>IF($J$1="January",P601,IF($J$1="February",P602,IF($J$1="March",P603,IF($J$1="April",P604,IF($J$1="May",P605,IF($J$1="June",P606,IF($J$1="July",P607,IF($J$1="August",P608,IF($J$1="August",P608,IF($J$1="September",P609,IF($J$1="October",P610,IF($J$1="November",P611,IF($J$1="December",P612)))))))))))))</f>
        <v>30</v>
      </c>
      <c r="F607" s="48" t="s">
        <v>65</v>
      </c>
      <c r="G607" s="43">
        <f>IF($J$1="January",W601,IF($J$1="February",W602,IF($J$1="March",W603,IF($J$1="April",W604,IF($J$1="May",W605,IF($J$1="June",W606,IF($J$1="July",W607,IF($J$1="August",W608,IF($J$1="August",W608,IF($J$1="September",W609,IF($J$1="October",W610,IF($J$1="November",W611,IF($J$1="December",W612)))))))))))))</f>
        <v>45000</v>
      </c>
      <c r="H607" s="47"/>
      <c r="I607" s="392" t="s">
        <v>69</v>
      </c>
      <c r="J607" s="393"/>
      <c r="K607" s="53">
        <f>K605+K606</f>
        <v>37210.416666666672</v>
      </c>
      <c r="L607" s="54"/>
      <c r="N607" s="71"/>
      <c r="O607" s="72" t="s">
        <v>50</v>
      </c>
      <c r="P607" s="72"/>
      <c r="Q607" s="72"/>
      <c r="R607" s="72">
        <v>0</v>
      </c>
      <c r="S607" s="63"/>
      <c r="T607" s="72" t="s">
        <v>50</v>
      </c>
      <c r="U607" s="105"/>
      <c r="V607" s="74"/>
      <c r="W607" s="105" t="str">
        <f t="shared" si="129"/>
        <v/>
      </c>
      <c r="X607" s="74"/>
      <c r="Y607" s="105" t="str">
        <f t="shared" si="130"/>
        <v/>
      </c>
      <c r="Z607" s="76"/>
    </row>
    <row r="608" spans="1:26" s="29" customFormat="1" ht="21" customHeight="1" x14ac:dyDescent="0.2">
      <c r="A608" s="30"/>
      <c r="B608" s="48" t="s">
        <v>6</v>
      </c>
      <c r="C608" s="39">
        <f>IF($J$1="January",Q601,IF($J$1="February",Q602,IF($J$1="March",Q603,IF($J$1="April",Q604,IF($J$1="May",Q605,IF($J$1="June",Q606,IF($J$1="July",Q607,IF($J$1="August",Q608,IF($J$1="August",Q608,IF($J$1="September",Q609,IF($J$1="October",Q610,IF($J$1="November",Q611,IF($J$1="December",Q612)))))))))))))</f>
        <v>0</v>
      </c>
      <c r="F608" s="48" t="s">
        <v>21</v>
      </c>
      <c r="G608" s="43">
        <f>IF($J$1="January",X601,IF($J$1="February",X602,IF($J$1="March",X603,IF($J$1="April",X604,IF($J$1="May",X605,IF($J$1="June",X606,IF($J$1="July",X607,IF($J$1="August",X608,IF($J$1="August",X608,IF($J$1="September",X609,IF($J$1="October",X610,IF($J$1="November",X611,IF($J$1="December",X612)))))))))))))</f>
        <v>25000</v>
      </c>
      <c r="H608" s="47"/>
      <c r="I608" s="392" t="s">
        <v>70</v>
      </c>
      <c r="J608" s="393"/>
      <c r="K608" s="43">
        <f>G608</f>
        <v>25000</v>
      </c>
      <c r="L608" s="55"/>
      <c r="N608" s="71"/>
      <c r="O608" s="72" t="s">
        <v>51</v>
      </c>
      <c r="P608" s="72"/>
      <c r="Q608" s="72"/>
      <c r="R608" s="72">
        <v>0</v>
      </c>
      <c r="S608" s="63"/>
      <c r="T608" s="72" t="s">
        <v>51</v>
      </c>
      <c r="U608" s="105"/>
      <c r="V608" s="74"/>
      <c r="W608" s="105" t="str">
        <f t="shared" si="129"/>
        <v/>
      </c>
      <c r="X608" s="74"/>
      <c r="Y608" s="105" t="str">
        <f t="shared" si="130"/>
        <v/>
      </c>
      <c r="Z608" s="76"/>
    </row>
    <row r="609" spans="1:27" s="29" customFormat="1" ht="21" customHeight="1" x14ac:dyDescent="0.2">
      <c r="A609" s="30"/>
      <c r="B609" s="56" t="s">
        <v>68</v>
      </c>
      <c r="C609" s="39">
        <f>IF($J$1="January",R601,IF($J$1="February",R602,IF($J$1="March",R603,IF($J$1="April",R604,IF($J$1="May",R605,IF($J$1="June",R606,IF($J$1="July",R607,IF($J$1="August",R608,IF($J$1="August",R608,IF($J$1="September",R609,IF($J$1="October",R610,IF($J$1="November",R611,IF($J$1="December",R612)))))))))))))</f>
        <v>0</v>
      </c>
      <c r="F609" s="48" t="s">
        <v>137</v>
      </c>
      <c r="G609" s="43">
        <f>IF($J$1="January",Y601,IF($J$1="February",Y602,IF($J$1="March",Y603,IF($J$1="April",Y604,IF($J$1="May",Y605,IF($J$1="June",Y606,IF($J$1="July",Y607,IF($J$1="August",Y608,IF($J$1="August",Y608,IF($J$1="September",Y609,IF($J$1="October",Y610,IF($J$1="November",Y611,IF($J$1="December",Y612)))))))))))))</f>
        <v>20000</v>
      </c>
      <c r="I609" s="387" t="s">
        <v>63</v>
      </c>
      <c r="J609" s="388"/>
      <c r="K609" s="57">
        <f>K607-K608</f>
        <v>12210.416666666672</v>
      </c>
      <c r="L609" s="58"/>
      <c r="N609" s="71"/>
      <c r="O609" s="72" t="s">
        <v>56</v>
      </c>
      <c r="P609" s="72"/>
      <c r="Q609" s="72"/>
      <c r="R609" s="72">
        <v>0</v>
      </c>
      <c r="S609" s="63"/>
      <c r="T609" s="72" t="s">
        <v>56</v>
      </c>
      <c r="U609" s="105"/>
      <c r="V609" s="74"/>
      <c r="W609" s="105" t="str">
        <f t="shared" si="129"/>
        <v/>
      </c>
      <c r="X609" s="74"/>
      <c r="Y609" s="105" t="str">
        <f t="shared" si="130"/>
        <v/>
      </c>
      <c r="Z609" s="76"/>
    </row>
    <row r="610" spans="1:27" s="29" customFormat="1" ht="21" customHeight="1" x14ac:dyDescent="0.2">
      <c r="A610" s="30"/>
      <c r="K610" s="107"/>
      <c r="L610" s="46"/>
      <c r="N610" s="71"/>
      <c r="O610" s="72" t="s">
        <v>52</v>
      </c>
      <c r="P610" s="72"/>
      <c r="Q610" s="72"/>
      <c r="R610" s="72">
        <v>0</v>
      </c>
      <c r="S610" s="63"/>
      <c r="T610" s="72" t="s">
        <v>52</v>
      </c>
      <c r="U610" s="105"/>
      <c r="V610" s="74"/>
      <c r="W610" s="105" t="str">
        <f t="shared" si="129"/>
        <v/>
      </c>
      <c r="X610" s="74"/>
      <c r="Y610" s="105" t="str">
        <f t="shared" si="130"/>
        <v/>
      </c>
      <c r="Z610" s="76"/>
    </row>
    <row r="611" spans="1:27" s="29" customFormat="1" ht="21" customHeight="1" x14ac:dyDescent="0.2">
      <c r="A611" s="30"/>
      <c r="B611" s="394" t="s">
        <v>85</v>
      </c>
      <c r="C611" s="394"/>
      <c r="D611" s="394"/>
      <c r="E611" s="394"/>
      <c r="F611" s="394"/>
      <c r="G611" s="394"/>
      <c r="H611" s="394"/>
      <c r="I611" s="394"/>
      <c r="J611" s="394"/>
      <c r="K611" s="394"/>
      <c r="L611" s="46"/>
      <c r="N611" s="71"/>
      <c r="O611" s="72" t="s">
        <v>57</v>
      </c>
      <c r="P611" s="72"/>
      <c r="Q611" s="72"/>
      <c r="R611" s="72">
        <v>0</v>
      </c>
      <c r="S611" s="63"/>
      <c r="T611" s="72" t="s">
        <v>57</v>
      </c>
      <c r="U611" s="105"/>
      <c r="V611" s="74"/>
      <c r="W611" s="105" t="str">
        <f t="shared" si="129"/>
        <v/>
      </c>
      <c r="X611" s="74"/>
      <c r="Y611" s="105" t="str">
        <f t="shared" si="130"/>
        <v/>
      </c>
      <c r="Z611" s="76"/>
    </row>
    <row r="612" spans="1:27" s="29" customFormat="1" ht="21" customHeight="1" x14ac:dyDescent="0.2">
      <c r="A612" s="30"/>
      <c r="B612" s="394"/>
      <c r="C612" s="394"/>
      <c r="D612" s="394"/>
      <c r="E612" s="394"/>
      <c r="F612" s="394"/>
      <c r="G612" s="394"/>
      <c r="H612" s="394"/>
      <c r="I612" s="394"/>
      <c r="J612" s="394"/>
      <c r="K612" s="394"/>
      <c r="L612" s="46"/>
      <c r="N612" s="71"/>
      <c r="O612" s="72" t="s">
        <v>58</v>
      </c>
      <c r="P612" s="72"/>
      <c r="Q612" s="72"/>
      <c r="R612" s="72">
        <v>0</v>
      </c>
      <c r="S612" s="63"/>
      <c r="T612" s="72" t="s">
        <v>58</v>
      </c>
      <c r="U612" s="105">
        <v>0</v>
      </c>
      <c r="V612" s="74"/>
      <c r="W612" s="105">
        <f t="shared" si="129"/>
        <v>0</v>
      </c>
      <c r="X612" s="74"/>
      <c r="Y612" s="105">
        <f t="shared" si="130"/>
        <v>0</v>
      </c>
      <c r="Z612" s="76"/>
    </row>
    <row r="613" spans="1:27" s="29" customFormat="1" ht="21" customHeight="1" thickBot="1" x14ac:dyDescent="0.25">
      <c r="A613" s="59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1"/>
      <c r="N613" s="77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9"/>
    </row>
    <row r="614" spans="1:27" s="29" customFormat="1" ht="21" customHeight="1" thickBot="1" x14ac:dyDescent="0.25"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spans="1:27" s="29" customFormat="1" ht="21.4" customHeight="1" x14ac:dyDescent="0.2">
      <c r="A615" s="413" t="s">
        <v>40</v>
      </c>
      <c r="B615" s="414"/>
      <c r="C615" s="414"/>
      <c r="D615" s="414"/>
      <c r="E615" s="414"/>
      <c r="F615" s="414"/>
      <c r="G615" s="414"/>
      <c r="H615" s="414"/>
      <c r="I615" s="414"/>
      <c r="J615" s="414"/>
      <c r="K615" s="414"/>
      <c r="L615" s="415"/>
      <c r="M615" s="28"/>
      <c r="N615" s="64"/>
      <c r="O615" s="403" t="s">
        <v>42</v>
      </c>
      <c r="P615" s="404"/>
      <c r="Q615" s="404"/>
      <c r="R615" s="405"/>
      <c r="S615" s="65"/>
      <c r="T615" s="403" t="s">
        <v>43</v>
      </c>
      <c r="U615" s="404"/>
      <c r="V615" s="404"/>
      <c r="W615" s="404"/>
      <c r="X615" s="404"/>
      <c r="Y615" s="405"/>
      <c r="Z615" s="66"/>
      <c r="AA615" s="28"/>
    </row>
    <row r="616" spans="1:27" s="29" customFormat="1" ht="21.4" customHeight="1" x14ac:dyDescent="0.2">
      <c r="A616" s="30"/>
      <c r="C616" s="402" t="s">
        <v>83</v>
      </c>
      <c r="D616" s="402"/>
      <c r="E616" s="402"/>
      <c r="F616" s="402"/>
      <c r="G616" s="31" t="str">
        <f>$J$1</f>
        <v>June</v>
      </c>
      <c r="H616" s="409">
        <f>$K$1</f>
        <v>2023</v>
      </c>
      <c r="I616" s="409"/>
      <c r="K616" s="32"/>
      <c r="L616" s="33"/>
      <c r="M616" s="32"/>
      <c r="N616" s="67"/>
      <c r="O616" s="68" t="s">
        <v>53</v>
      </c>
      <c r="P616" s="68" t="s">
        <v>7</v>
      </c>
      <c r="Q616" s="68" t="s">
        <v>6</v>
      </c>
      <c r="R616" s="68" t="s">
        <v>54</v>
      </c>
      <c r="S616" s="69"/>
      <c r="T616" s="68" t="s">
        <v>53</v>
      </c>
      <c r="U616" s="68" t="s">
        <v>55</v>
      </c>
      <c r="V616" s="68" t="s">
        <v>20</v>
      </c>
      <c r="W616" s="68" t="s">
        <v>19</v>
      </c>
      <c r="X616" s="68" t="s">
        <v>21</v>
      </c>
      <c r="Y616" s="68" t="s">
        <v>59</v>
      </c>
      <c r="Z616" s="70"/>
      <c r="AA616" s="32"/>
    </row>
    <row r="617" spans="1:27" s="29" customFormat="1" ht="21.4" customHeight="1" x14ac:dyDescent="0.2">
      <c r="A617" s="30"/>
      <c r="D617" s="35"/>
      <c r="E617" s="35"/>
      <c r="F617" s="35"/>
      <c r="G617" s="35"/>
      <c r="H617" s="35"/>
      <c r="J617" s="36" t="s">
        <v>1</v>
      </c>
      <c r="K617" s="37">
        <f>18000+3000+1000</f>
        <v>22000</v>
      </c>
      <c r="L617" s="38"/>
      <c r="N617" s="71"/>
      <c r="O617" s="72" t="s">
        <v>45</v>
      </c>
      <c r="P617" s="72">
        <v>31</v>
      </c>
      <c r="Q617" s="72">
        <v>0</v>
      </c>
      <c r="R617" s="72">
        <v>0</v>
      </c>
      <c r="S617" s="73"/>
      <c r="T617" s="72" t="s">
        <v>45</v>
      </c>
      <c r="U617" s="74"/>
      <c r="V617" s="74"/>
      <c r="W617" s="74">
        <f>V617+U617</f>
        <v>0</v>
      </c>
      <c r="X617" s="74"/>
      <c r="Y617" s="74">
        <f>W617-X617</f>
        <v>0</v>
      </c>
      <c r="Z617" s="70"/>
    </row>
    <row r="618" spans="1:27" s="29" customFormat="1" ht="21.4" customHeight="1" x14ac:dyDescent="0.2">
      <c r="A618" s="30"/>
      <c r="B618" s="29" t="s">
        <v>0</v>
      </c>
      <c r="C618" s="40" t="s">
        <v>186</v>
      </c>
      <c r="H618" s="41"/>
      <c r="I618" s="35"/>
      <c r="L618" s="42"/>
      <c r="M618" s="28"/>
      <c r="N618" s="75"/>
      <c r="O618" s="72" t="s">
        <v>71</v>
      </c>
      <c r="P618" s="72">
        <v>27</v>
      </c>
      <c r="Q618" s="72">
        <v>1</v>
      </c>
      <c r="R618" s="72">
        <v>0</v>
      </c>
      <c r="S618" s="63"/>
      <c r="T618" s="72" t="s">
        <v>71</v>
      </c>
      <c r="U618" s="105">
        <f>IF($J$1="January","",Y617)</f>
        <v>0</v>
      </c>
      <c r="V618" s="74"/>
      <c r="W618" s="105">
        <f>IF(U618="","",U618+V618)</f>
        <v>0</v>
      </c>
      <c r="X618" s="74"/>
      <c r="Y618" s="105">
        <f>IF(W618="","",W618-X618)</f>
        <v>0</v>
      </c>
      <c r="Z618" s="76"/>
      <c r="AA618" s="28"/>
    </row>
    <row r="619" spans="1:27" s="29" customFormat="1" ht="21.4" customHeight="1" x14ac:dyDescent="0.2">
      <c r="A619" s="30"/>
      <c r="B619" s="44" t="s">
        <v>41</v>
      </c>
      <c r="C619" s="45"/>
      <c r="F619" s="391" t="s">
        <v>43</v>
      </c>
      <c r="G619" s="391"/>
      <c r="I619" s="391" t="s">
        <v>44</v>
      </c>
      <c r="J619" s="391"/>
      <c r="K619" s="391"/>
      <c r="L619" s="46"/>
      <c r="N619" s="71"/>
      <c r="O619" s="72" t="s">
        <v>46</v>
      </c>
      <c r="P619" s="72">
        <v>31</v>
      </c>
      <c r="Q619" s="72">
        <v>0</v>
      </c>
      <c r="R619" s="72">
        <f t="shared" ref="R619" si="131">IF(Q619="","",R618-Q619)</f>
        <v>0</v>
      </c>
      <c r="S619" s="63"/>
      <c r="T619" s="72" t="s">
        <v>46</v>
      </c>
      <c r="U619" s="105">
        <f>IF($J$1="February","",Y618)</f>
        <v>0</v>
      </c>
      <c r="V619" s="74"/>
      <c r="W619" s="105">
        <f t="shared" ref="W619:W628" si="132">IF(U619="","",U619+V619)</f>
        <v>0</v>
      </c>
      <c r="X619" s="74"/>
      <c r="Y619" s="105">
        <f t="shared" ref="Y619:Y628" si="133">IF(W619="","",W619-X619)</f>
        <v>0</v>
      </c>
      <c r="Z619" s="76"/>
    </row>
    <row r="620" spans="1:27" s="29" customFormat="1" ht="21.4" customHeight="1" x14ac:dyDescent="0.2">
      <c r="A620" s="30"/>
      <c r="H620" s="47"/>
      <c r="L620" s="34"/>
      <c r="N620" s="71"/>
      <c r="O620" s="72" t="s">
        <v>47</v>
      </c>
      <c r="P620" s="72">
        <v>30</v>
      </c>
      <c r="Q620" s="72">
        <v>0</v>
      </c>
      <c r="R620" s="72">
        <v>0</v>
      </c>
      <c r="S620" s="63"/>
      <c r="T620" s="72" t="s">
        <v>47</v>
      </c>
      <c r="U620" s="105">
        <f>IF($J$1="March","",Y619)</f>
        <v>0</v>
      </c>
      <c r="V620" s="74">
        <v>50000</v>
      </c>
      <c r="W620" s="105">
        <f t="shared" si="132"/>
        <v>50000</v>
      </c>
      <c r="X620" s="74">
        <v>5000</v>
      </c>
      <c r="Y620" s="105">
        <f t="shared" si="133"/>
        <v>45000</v>
      </c>
      <c r="Z620" s="76"/>
    </row>
    <row r="621" spans="1:27" s="29" customFormat="1" ht="21.4" customHeight="1" x14ac:dyDescent="0.2">
      <c r="A621" s="30"/>
      <c r="B621" s="389" t="s">
        <v>42</v>
      </c>
      <c r="C621" s="390"/>
      <c r="F621" s="48" t="s">
        <v>64</v>
      </c>
      <c r="G621" s="43">
        <f>IF($J$1="January",U617,IF($J$1="February",U618,IF($J$1="March",U619,IF($J$1="April",U620,IF($J$1="May",U621,IF($J$1="June",U622,IF($J$1="July",U623,IF($J$1="August",U624,IF($J$1="August",U624,IF($J$1="September",U625,IF($J$1="October",U626,IF($J$1="November",U627,IF($J$1="December",U628)))))))))))))</f>
        <v>40000</v>
      </c>
      <c r="H621" s="47"/>
      <c r="I621" s="49">
        <f>IF(C625&gt;0,$K$2,C623)</f>
        <v>30</v>
      </c>
      <c r="J621" s="50" t="s">
        <v>61</v>
      </c>
      <c r="K621" s="51">
        <f>K617/$K$2*I621</f>
        <v>22000</v>
      </c>
      <c r="L621" s="52"/>
      <c r="N621" s="71"/>
      <c r="O621" s="72" t="s">
        <v>48</v>
      </c>
      <c r="P621" s="72">
        <v>27</v>
      </c>
      <c r="Q621" s="72">
        <v>4</v>
      </c>
      <c r="R621" s="72">
        <v>0</v>
      </c>
      <c r="S621" s="63"/>
      <c r="T621" s="72" t="s">
        <v>48</v>
      </c>
      <c r="U621" s="105">
        <f>Y620</f>
        <v>45000</v>
      </c>
      <c r="V621" s="74"/>
      <c r="W621" s="105">
        <f t="shared" si="132"/>
        <v>45000</v>
      </c>
      <c r="X621" s="74">
        <v>5000</v>
      </c>
      <c r="Y621" s="105">
        <f t="shared" si="133"/>
        <v>40000</v>
      </c>
      <c r="Z621" s="76"/>
    </row>
    <row r="622" spans="1:27" s="29" customFormat="1" ht="21.4" customHeight="1" x14ac:dyDescent="0.2">
      <c r="A622" s="30"/>
      <c r="B622" s="39"/>
      <c r="C622" s="39"/>
      <c r="F622" s="48" t="s">
        <v>20</v>
      </c>
      <c r="G622" s="43">
        <f>IF($J$1="January",V617,IF($J$1="February",V618,IF($J$1="March",V619,IF($J$1="April",V620,IF($J$1="May",V621,IF($J$1="June",V622,IF($J$1="July",V623,IF($J$1="August",V624,IF($J$1="August",V624,IF($J$1="September",V625,IF($J$1="October",V626,IF($J$1="November",V627,IF($J$1="December",V628)))))))))))))</f>
        <v>15500</v>
      </c>
      <c r="H622" s="47"/>
      <c r="I622" s="84">
        <v>42</v>
      </c>
      <c r="J622" s="50" t="s">
        <v>62</v>
      </c>
      <c r="K622" s="53">
        <f>K617/$K$2/8*I622</f>
        <v>3850</v>
      </c>
      <c r="L622" s="54"/>
      <c r="N622" s="71"/>
      <c r="O622" s="72" t="s">
        <v>49</v>
      </c>
      <c r="P622" s="72">
        <v>30</v>
      </c>
      <c r="Q622" s="72">
        <v>0</v>
      </c>
      <c r="R622" s="72">
        <v>0</v>
      </c>
      <c r="S622" s="63"/>
      <c r="T622" s="72" t="s">
        <v>49</v>
      </c>
      <c r="U622" s="105">
        <f>Y621</f>
        <v>40000</v>
      </c>
      <c r="V622" s="74">
        <v>15500</v>
      </c>
      <c r="W622" s="105">
        <f t="shared" si="132"/>
        <v>55500</v>
      </c>
      <c r="X622" s="74">
        <v>15500</v>
      </c>
      <c r="Y622" s="105">
        <f t="shared" si="133"/>
        <v>40000</v>
      </c>
      <c r="Z622" s="76"/>
    </row>
    <row r="623" spans="1:27" s="29" customFormat="1" ht="21.4" customHeight="1" x14ac:dyDescent="0.2">
      <c r="A623" s="30"/>
      <c r="B623" s="48" t="s">
        <v>7</v>
      </c>
      <c r="C623" s="39">
        <f>IF($J$1="January",P617,IF($J$1="February",P618,IF($J$1="March",P619,IF($J$1="April",P620,IF($J$1="May",P621,IF($J$1="June",P622,IF($J$1="July",P623,IF($J$1="August",P624,IF($J$1="August",P624,IF($J$1="September",P625,IF($J$1="October",P626,IF($J$1="November",P627,IF($J$1="December",P628)))))))))))))</f>
        <v>30</v>
      </c>
      <c r="F623" s="48" t="s">
        <v>65</v>
      </c>
      <c r="G623" s="43">
        <f>IF($J$1="January",W617,IF($J$1="February",W618,IF($J$1="March",W619,IF($J$1="April",W620,IF($J$1="May",W621,IF($J$1="June",W622,IF($J$1="July",W623,IF($J$1="August",W624,IF($J$1="August",W624,IF($J$1="September",W625,IF($J$1="October",W626,IF($J$1="November",W627,IF($J$1="December",W628)))))))))))))</f>
        <v>55500</v>
      </c>
      <c r="H623" s="47"/>
      <c r="I623" s="392" t="s">
        <v>69</v>
      </c>
      <c r="J623" s="393"/>
      <c r="K623" s="53">
        <f>K621+K622</f>
        <v>25850</v>
      </c>
      <c r="L623" s="54"/>
      <c r="N623" s="71"/>
      <c r="O623" s="72" t="s">
        <v>50</v>
      </c>
      <c r="P623" s="72"/>
      <c r="Q623" s="72"/>
      <c r="R623" s="72">
        <v>0</v>
      </c>
      <c r="S623" s="63"/>
      <c r="T623" s="72" t="s">
        <v>50</v>
      </c>
      <c r="U623" s="105"/>
      <c r="V623" s="74"/>
      <c r="W623" s="105" t="str">
        <f t="shared" si="132"/>
        <v/>
      </c>
      <c r="X623" s="74"/>
      <c r="Y623" s="105" t="str">
        <f t="shared" si="133"/>
        <v/>
      </c>
      <c r="Z623" s="76"/>
    </row>
    <row r="624" spans="1:27" s="29" customFormat="1" ht="21.4" customHeight="1" x14ac:dyDescent="0.2">
      <c r="A624" s="30"/>
      <c r="B624" s="48" t="s">
        <v>6</v>
      </c>
      <c r="C624" s="39">
        <f>IF($J$1="January",Q617,IF($J$1="February",Q618,IF($J$1="March",Q619,IF($J$1="April",Q620,IF($J$1="May",Q621,IF($J$1="June",Q622,IF($J$1="July",Q623,IF($J$1="August",Q624,IF($J$1="August",Q624,IF($J$1="September",Q625,IF($J$1="October",Q626,IF($J$1="November",Q627,IF($J$1="December",Q628)))))))))))))</f>
        <v>0</v>
      </c>
      <c r="F624" s="48" t="s">
        <v>21</v>
      </c>
      <c r="G624" s="43">
        <f>IF($J$1="January",X617,IF($J$1="February",X618,IF($J$1="March",X619,IF($J$1="April",X620,IF($J$1="May",X621,IF($J$1="June",X622,IF($J$1="July",X623,IF($J$1="August",X624,IF($J$1="August",X624,IF($J$1="September",X625,IF($J$1="October",X626,IF($J$1="November",X627,IF($J$1="December",X628)))))))))))))</f>
        <v>15500</v>
      </c>
      <c r="H624" s="47"/>
      <c r="I624" s="392" t="s">
        <v>70</v>
      </c>
      <c r="J624" s="393"/>
      <c r="K624" s="43">
        <f>G624</f>
        <v>15500</v>
      </c>
      <c r="L624" s="55"/>
      <c r="N624" s="71"/>
      <c r="O624" s="72" t="s">
        <v>51</v>
      </c>
      <c r="P624" s="72"/>
      <c r="Q624" s="72"/>
      <c r="R624" s="72">
        <v>0</v>
      </c>
      <c r="S624" s="63"/>
      <c r="T624" s="72" t="s">
        <v>51</v>
      </c>
      <c r="U624" s="105" t="str">
        <f>IF($J$1="July","",Y623)</f>
        <v/>
      </c>
      <c r="V624" s="74"/>
      <c r="W624" s="105" t="str">
        <f t="shared" si="132"/>
        <v/>
      </c>
      <c r="X624" s="74"/>
      <c r="Y624" s="105" t="str">
        <f t="shared" si="133"/>
        <v/>
      </c>
      <c r="Z624" s="76"/>
    </row>
    <row r="625" spans="1:27" s="29" customFormat="1" ht="21.4" customHeight="1" x14ac:dyDescent="0.2">
      <c r="A625" s="30"/>
      <c r="B625" s="56" t="s">
        <v>68</v>
      </c>
      <c r="C625" s="39">
        <f>IF($J$1="January",R617,IF($J$1="February",R618,IF($J$1="March",R619,IF($J$1="April",R620,IF($J$1="May",R621,IF($J$1="June",R622,IF($J$1="July",R623,IF($J$1="August",R624,IF($J$1="August",R624,IF($J$1="September",R625,IF($J$1="October",R626,IF($J$1="November",R627,IF($J$1="December",R628)))))))))))))</f>
        <v>0</v>
      </c>
      <c r="F625" s="48" t="s">
        <v>67</v>
      </c>
      <c r="G625" s="43">
        <f>IF($J$1="January",Y617,IF($J$1="February",Y618,IF($J$1="March",Y619,IF($J$1="April",Y620,IF($J$1="May",Y621,IF($J$1="June",Y622,IF($J$1="July",Y623,IF($J$1="August",Y624,IF($J$1="August",Y624,IF($J$1="September",Y625,IF($J$1="October",Y626,IF($J$1="November",Y627,IF($J$1="December",Y628)))))))))))))</f>
        <v>40000</v>
      </c>
      <c r="I625" s="387" t="s">
        <v>63</v>
      </c>
      <c r="J625" s="388"/>
      <c r="K625" s="57">
        <f>K623-K624</f>
        <v>10350</v>
      </c>
      <c r="L625" s="58"/>
      <c r="N625" s="71"/>
      <c r="O625" s="72" t="s">
        <v>56</v>
      </c>
      <c r="P625" s="72"/>
      <c r="Q625" s="72"/>
      <c r="R625" s="72">
        <f>R624-Q625</f>
        <v>0</v>
      </c>
      <c r="S625" s="63"/>
      <c r="T625" s="72" t="s">
        <v>56</v>
      </c>
      <c r="U625" s="105" t="str">
        <f>IF($J$1="August","",Y624)</f>
        <v/>
      </c>
      <c r="V625" s="74"/>
      <c r="W625" s="105" t="str">
        <f t="shared" si="132"/>
        <v/>
      </c>
      <c r="X625" s="74"/>
      <c r="Y625" s="105" t="str">
        <f t="shared" si="133"/>
        <v/>
      </c>
      <c r="Z625" s="76"/>
    </row>
    <row r="626" spans="1:27" s="29" customFormat="1" ht="21.4" customHeight="1" x14ac:dyDescent="0.2">
      <c r="A626" s="30"/>
      <c r="J626" s="47"/>
      <c r="K626" s="107"/>
      <c r="L626" s="46"/>
      <c r="N626" s="71"/>
      <c r="O626" s="72" t="s">
        <v>52</v>
      </c>
      <c r="P626" s="72"/>
      <c r="Q626" s="72"/>
      <c r="R626" s="72">
        <v>0</v>
      </c>
      <c r="S626" s="63"/>
      <c r="T626" s="72" t="s">
        <v>52</v>
      </c>
      <c r="U626" s="105" t="str">
        <f>IF($J$1="September","",Y625)</f>
        <v/>
      </c>
      <c r="V626" s="74"/>
      <c r="W626" s="105" t="str">
        <f t="shared" si="132"/>
        <v/>
      </c>
      <c r="X626" s="74"/>
      <c r="Y626" s="105" t="str">
        <f t="shared" si="133"/>
        <v/>
      </c>
      <c r="Z626" s="76"/>
    </row>
    <row r="627" spans="1:27" s="29" customFormat="1" ht="21.4" customHeight="1" x14ac:dyDescent="0.2">
      <c r="A627" s="30"/>
      <c r="B627" s="394" t="s">
        <v>85</v>
      </c>
      <c r="C627" s="394"/>
      <c r="D627" s="394"/>
      <c r="E627" s="394"/>
      <c r="F627" s="394"/>
      <c r="G627" s="394"/>
      <c r="H627" s="394"/>
      <c r="I627" s="394"/>
      <c r="J627" s="394"/>
      <c r="K627" s="394"/>
      <c r="L627" s="46"/>
      <c r="N627" s="71"/>
      <c r="O627" s="72" t="s">
        <v>57</v>
      </c>
      <c r="P627" s="72"/>
      <c r="Q627" s="72"/>
      <c r="R627" s="72">
        <v>0</v>
      </c>
      <c r="S627" s="63"/>
      <c r="T627" s="72" t="s">
        <v>57</v>
      </c>
      <c r="U627" s="105" t="str">
        <f>IF($J$1="October","",Y626)</f>
        <v/>
      </c>
      <c r="V627" s="74"/>
      <c r="W627" s="105" t="str">
        <f t="shared" si="132"/>
        <v/>
      </c>
      <c r="X627" s="74"/>
      <c r="Y627" s="105" t="str">
        <f t="shared" si="133"/>
        <v/>
      </c>
      <c r="Z627" s="76"/>
    </row>
    <row r="628" spans="1:27" s="29" customFormat="1" ht="21.4" customHeight="1" x14ac:dyDescent="0.2">
      <c r="A628" s="30"/>
      <c r="B628" s="394"/>
      <c r="C628" s="394"/>
      <c r="D628" s="394"/>
      <c r="E628" s="394"/>
      <c r="F628" s="394"/>
      <c r="G628" s="394"/>
      <c r="H628" s="394"/>
      <c r="I628" s="394"/>
      <c r="J628" s="394"/>
      <c r="K628" s="394"/>
      <c r="L628" s="46"/>
      <c r="N628" s="71"/>
      <c r="O628" s="72" t="s">
        <v>58</v>
      </c>
      <c r="P628" s="72"/>
      <c r="Q628" s="72"/>
      <c r="R628" s="72">
        <v>0</v>
      </c>
      <c r="S628" s="63"/>
      <c r="T628" s="72" t="s">
        <v>58</v>
      </c>
      <c r="U628" s="105" t="str">
        <f>IF($J$1="November","",Y627)</f>
        <v/>
      </c>
      <c r="V628" s="74"/>
      <c r="W628" s="105" t="str">
        <f t="shared" si="132"/>
        <v/>
      </c>
      <c r="X628" s="74"/>
      <c r="Y628" s="105" t="str">
        <f t="shared" si="133"/>
        <v/>
      </c>
      <c r="Z628" s="76"/>
    </row>
    <row r="629" spans="1:27" s="29" customFormat="1" ht="21.4" customHeight="1" thickBot="1" x14ac:dyDescent="0.25">
      <c r="A629" s="59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1"/>
      <c r="N629" s="77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9"/>
    </row>
    <row r="630" spans="1:27" s="29" customFormat="1" ht="21.4" customHeight="1" thickBot="1" x14ac:dyDescent="0.25">
      <c r="A630" s="30"/>
      <c r="L630" s="46"/>
      <c r="N630" s="71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85"/>
    </row>
    <row r="631" spans="1:27" s="29" customFormat="1" ht="21.4" customHeight="1" x14ac:dyDescent="0.2">
      <c r="A631" s="413" t="s">
        <v>40</v>
      </c>
      <c r="B631" s="414"/>
      <c r="C631" s="414"/>
      <c r="D631" s="414"/>
      <c r="E631" s="414"/>
      <c r="F631" s="414"/>
      <c r="G631" s="414"/>
      <c r="H631" s="414"/>
      <c r="I631" s="414"/>
      <c r="J631" s="414"/>
      <c r="K631" s="414"/>
      <c r="L631" s="415"/>
      <c r="M631" s="28"/>
      <c r="N631" s="64"/>
      <c r="O631" s="403" t="s">
        <v>42</v>
      </c>
      <c r="P631" s="404"/>
      <c r="Q631" s="404"/>
      <c r="R631" s="405"/>
      <c r="S631" s="65"/>
      <c r="T631" s="403" t="s">
        <v>43</v>
      </c>
      <c r="U631" s="404"/>
      <c r="V631" s="404"/>
      <c r="W631" s="404"/>
      <c r="X631" s="404"/>
      <c r="Y631" s="405"/>
      <c r="Z631" s="66"/>
      <c r="AA631" s="28"/>
    </row>
    <row r="632" spans="1:27" s="29" customFormat="1" ht="21.4" customHeight="1" x14ac:dyDescent="0.2">
      <c r="A632" s="30"/>
      <c r="C632" s="402" t="s">
        <v>83</v>
      </c>
      <c r="D632" s="402"/>
      <c r="E632" s="402"/>
      <c r="F632" s="402"/>
      <c r="G632" s="31" t="str">
        <f>$J$1</f>
        <v>June</v>
      </c>
      <c r="H632" s="409">
        <f>$K$1</f>
        <v>2023</v>
      </c>
      <c r="I632" s="409"/>
      <c r="K632" s="32"/>
      <c r="L632" s="33"/>
      <c r="M632" s="32"/>
      <c r="N632" s="67"/>
      <c r="O632" s="68" t="s">
        <v>53</v>
      </c>
      <c r="P632" s="68" t="s">
        <v>7</v>
      </c>
      <c r="Q632" s="68" t="s">
        <v>6</v>
      </c>
      <c r="R632" s="68" t="s">
        <v>54</v>
      </c>
      <c r="S632" s="69"/>
      <c r="T632" s="68" t="s">
        <v>53</v>
      </c>
      <c r="U632" s="68" t="s">
        <v>55</v>
      </c>
      <c r="V632" s="68" t="s">
        <v>20</v>
      </c>
      <c r="W632" s="68" t="s">
        <v>19</v>
      </c>
      <c r="X632" s="68" t="s">
        <v>21</v>
      </c>
      <c r="Y632" s="68" t="s">
        <v>59</v>
      </c>
      <c r="Z632" s="70"/>
      <c r="AA632" s="32"/>
    </row>
    <row r="633" spans="1:27" s="29" customFormat="1" ht="21.4" customHeight="1" x14ac:dyDescent="0.2">
      <c r="A633" s="30"/>
      <c r="D633" s="35"/>
      <c r="E633" s="35"/>
      <c r="F633" s="35"/>
      <c r="G633" s="35"/>
      <c r="H633" s="35"/>
      <c r="J633" s="36" t="s">
        <v>1</v>
      </c>
      <c r="K633" s="37">
        <f>30000</f>
        <v>30000</v>
      </c>
      <c r="L633" s="38"/>
      <c r="N633" s="71"/>
      <c r="O633" s="72" t="s">
        <v>45</v>
      </c>
      <c r="P633" s="72">
        <v>31</v>
      </c>
      <c r="Q633" s="72">
        <v>0</v>
      </c>
      <c r="R633" s="72">
        <v>0</v>
      </c>
      <c r="S633" s="73"/>
      <c r="T633" s="72" t="s">
        <v>45</v>
      </c>
      <c r="U633" s="74">
        <v>26000</v>
      </c>
      <c r="V633" s="74"/>
      <c r="W633" s="74">
        <f>V633+U633</f>
        <v>26000</v>
      </c>
      <c r="X633" s="74">
        <v>5000</v>
      </c>
      <c r="Y633" s="74">
        <f>W633-X633</f>
        <v>21000</v>
      </c>
      <c r="Z633" s="70"/>
    </row>
    <row r="634" spans="1:27" s="29" customFormat="1" ht="21.4" customHeight="1" x14ac:dyDescent="0.2">
      <c r="A634" s="30"/>
      <c r="B634" s="29" t="s">
        <v>0</v>
      </c>
      <c r="C634" s="40" t="s">
        <v>188</v>
      </c>
      <c r="H634" s="41"/>
      <c r="I634" s="35"/>
      <c r="L634" s="42"/>
      <c r="M634" s="28"/>
      <c r="N634" s="75"/>
      <c r="O634" s="72" t="s">
        <v>71</v>
      </c>
      <c r="P634" s="72">
        <v>26</v>
      </c>
      <c r="Q634" s="72">
        <v>2</v>
      </c>
      <c r="R634" s="72">
        <v>0</v>
      </c>
      <c r="S634" s="63"/>
      <c r="T634" s="72" t="s">
        <v>71</v>
      </c>
      <c r="U634" s="105">
        <f>IF($J$1="January","",Y633)</f>
        <v>21000</v>
      </c>
      <c r="V634" s="74"/>
      <c r="W634" s="105">
        <f>IF(U634="","",U634+V634)</f>
        <v>21000</v>
      </c>
      <c r="X634" s="74">
        <v>5000</v>
      </c>
      <c r="Y634" s="105">
        <f>IF(W634="","",W634-X634)</f>
        <v>16000</v>
      </c>
      <c r="Z634" s="76"/>
      <c r="AA634" s="28"/>
    </row>
    <row r="635" spans="1:27" s="29" customFormat="1" ht="21.4" customHeight="1" x14ac:dyDescent="0.2">
      <c r="A635" s="30"/>
      <c r="B635" s="44" t="s">
        <v>41</v>
      </c>
      <c r="C635" s="45"/>
      <c r="F635" s="391" t="s">
        <v>43</v>
      </c>
      <c r="G635" s="391"/>
      <c r="I635" s="391" t="s">
        <v>44</v>
      </c>
      <c r="J635" s="391"/>
      <c r="K635" s="391"/>
      <c r="L635" s="46"/>
      <c r="N635" s="71"/>
      <c r="O635" s="72" t="s">
        <v>46</v>
      </c>
      <c r="P635" s="72">
        <v>28</v>
      </c>
      <c r="Q635" s="72">
        <v>3</v>
      </c>
      <c r="R635" s="72">
        <v>0</v>
      </c>
      <c r="S635" s="63"/>
      <c r="T635" s="72" t="s">
        <v>46</v>
      </c>
      <c r="U635" s="105">
        <f>IF($J$1="February","",Y634)</f>
        <v>16000</v>
      </c>
      <c r="V635" s="74">
        <v>40000</v>
      </c>
      <c r="W635" s="105">
        <f t="shared" ref="W635:W644" si="134">IF(U635="","",U635+V635)</f>
        <v>56000</v>
      </c>
      <c r="X635" s="74">
        <v>5000</v>
      </c>
      <c r="Y635" s="105">
        <f t="shared" ref="Y635:Y644" si="135">IF(W635="","",W635-X635)</f>
        <v>51000</v>
      </c>
      <c r="Z635" s="76"/>
    </row>
    <row r="636" spans="1:27" s="29" customFormat="1" ht="21.4" customHeight="1" x14ac:dyDescent="0.2">
      <c r="A636" s="30"/>
      <c r="H636" s="47"/>
      <c r="L636" s="34"/>
      <c r="N636" s="71"/>
      <c r="O636" s="72" t="s">
        <v>47</v>
      </c>
      <c r="P636" s="72">
        <v>29</v>
      </c>
      <c r="Q636" s="72">
        <v>1</v>
      </c>
      <c r="R636" s="72">
        <f t="shared" ref="R636:R644" si="136">IF(Q636="","",R635-Q636)</f>
        <v>-1</v>
      </c>
      <c r="S636" s="63"/>
      <c r="T636" s="72" t="s">
        <v>47</v>
      </c>
      <c r="U636" s="105">
        <f>IF($J$1="March","",Y635)</f>
        <v>51000</v>
      </c>
      <c r="V636" s="74"/>
      <c r="W636" s="105">
        <f t="shared" si="134"/>
        <v>51000</v>
      </c>
      <c r="X636" s="74">
        <v>5000</v>
      </c>
      <c r="Y636" s="105">
        <f t="shared" si="135"/>
        <v>46000</v>
      </c>
      <c r="Z636" s="76"/>
    </row>
    <row r="637" spans="1:27" s="29" customFormat="1" ht="21.4" customHeight="1" x14ac:dyDescent="0.2">
      <c r="A637" s="30"/>
      <c r="B637" s="389" t="s">
        <v>42</v>
      </c>
      <c r="C637" s="390"/>
      <c r="F637" s="48" t="s">
        <v>64</v>
      </c>
      <c r="G637" s="43">
        <f>IF($J$1="January",U633,IF($J$1="February",U634,IF($J$1="March",U635,IF($J$1="April",U636,IF($J$1="May",U637,IF($J$1="June",U638,IF($J$1="July",U639,IF($J$1="August",U640,IF($J$1="August",U640,IF($J$1="September",U641,IF($J$1="October",U642,IF($J$1="November",U643,IF($J$1="December",U644)))))))))))))</f>
        <v>45000</v>
      </c>
      <c r="H637" s="47"/>
      <c r="I637" s="49">
        <f>IF(C641&gt;0,$K$2,C639)</f>
        <v>0</v>
      </c>
      <c r="J637" s="50" t="s">
        <v>61</v>
      </c>
      <c r="K637" s="51">
        <f>K633/$K$2*I637</f>
        <v>0</v>
      </c>
      <c r="L637" s="52"/>
      <c r="N637" s="71"/>
      <c r="O637" s="72" t="s">
        <v>48</v>
      </c>
      <c r="P637" s="72">
        <v>29</v>
      </c>
      <c r="Q637" s="72">
        <v>2</v>
      </c>
      <c r="R637" s="72">
        <v>0</v>
      </c>
      <c r="S637" s="63"/>
      <c r="T637" s="72" t="s">
        <v>48</v>
      </c>
      <c r="U637" s="105">
        <f>Y636</f>
        <v>46000</v>
      </c>
      <c r="V637" s="74">
        <v>9000</v>
      </c>
      <c r="W637" s="105">
        <f t="shared" si="134"/>
        <v>55000</v>
      </c>
      <c r="X637" s="74">
        <v>10000</v>
      </c>
      <c r="Y637" s="105">
        <f t="shared" si="135"/>
        <v>45000</v>
      </c>
      <c r="Z637" s="76"/>
    </row>
    <row r="638" spans="1:27" s="29" customFormat="1" ht="21.4" customHeight="1" x14ac:dyDescent="0.2">
      <c r="A638" s="30"/>
      <c r="B638" s="39"/>
      <c r="C638" s="39"/>
      <c r="F638" s="48" t="s">
        <v>20</v>
      </c>
      <c r="G638" s="43">
        <f>IF($J$1="January",V633,IF($J$1="February",V634,IF($J$1="March",V635,IF($J$1="April",V636,IF($J$1="May",V637,IF($J$1="June",V638,IF($J$1="July",V639,IF($J$1="August",V640,IF($J$1="August",V640,IF($J$1="September",V641,IF($J$1="October",V642,IF($J$1="November",V643,IF($J$1="December",V644)))))))))))))</f>
        <v>0</v>
      </c>
      <c r="H638" s="47"/>
      <c r="I638" s="84">
        <v>98</v>
      </c>
      <c r="J638" s="50" t="s">
        <v>62</v>
      </c>
      <c r="K638" s="53">
        <f>K633/$K$2/8*I638</f>
        <v>12250</v>
      </c>
      <c r="L638" s="54"/>
      <c r="N638" s="71"/>
      <c r="O638" s="72" t="s">
        <v>49</v>
      </c>
      <c r="P638" s="72"/>
      <c r="Q638" s="72"/>
      <c r="R638" s="72">
        <v>0</v>
      </c>
      <c r="S638" s="63"/>
      <c r="T638" s="72" t="s">
        <v>49</v>
      </c>
      <c r="U638" s="105">
        <f>Y637</f>
        <v>45000</v>
      </c>
      <c r="V638" s="74"/>
      <c r="W638" s="105">
        <f t="shared" si="134"/>
        <v>45000</v>
      </c>
      <c r="X638" s="74">
        <v>10000</v>
      </c>
      <c r="Y638" s="105">
        <f t="shared" si="135"/>
        <v>35000</v>
      </c>
      <c r="Z638" s="76"/>
    </row>
    <row r="639" spans="1:27" s="29" customFormat="1" ht="21.4" customHeight="1" x14ac:dyDescent="0.2">
      <c r="A639" s="30"/>
      <c r="B639" s="48" t="s">
        <v>7</v>
      </c>
      <c r="C639" s="39">
        <f>IF($J$1="January",P633,IF($J$1="February",P634,IF($J$1="March",P635,IF($J$1="April",P636,IF($J$1="May",P637,IF($J$1="June",P638,IF($J$1="July",P639,IF($J$1="August",P640,IF($J$1="August",P640,IF($J$1="September",P641,IF($J$1="October",P642,IF($J$1="November",P643,IF($J$1="December",P644)))))))))))))</f>
        <v>0</v>
      </c>
      <c r="F639" s="48" t="s">
        <v>65</v>
      </c>
      <c r="G639" s="43">
        <f>IF($J$1="January",W633,IF($J$1="February",W634,IF($J$1="March",W635,IF($J$1="April",W636,IF($J$1="May",W637,IF($J$1="June",W638,IF($J$1="July",W639,IF($J$1="August",W640,IF($J$1="August",W640,IF($J$1="September",W641,IF($J$1="October",W642,IF($J$1="November",W643,IF($J$1="December",W644)))))))))))))</f>
        <v>45000</v>
      </c>
      <c r="H639" s="47"/>
      <c r="I639" s="392" t="s">
        <v>69</v>
      </c>
      <c r="J639" s="393"/>
      <c r="K639" s="53">
        <f>K637+K638</f>
        <v>12250</v>
      </c>
      <c r="L639" s="54"/>
      <c r="N639" s="71"/>
      <c r="O639" s="72" t="s">
        <v>50</v>
      </c>
      <c r="P639" s="72"/>
      <c r="Q639" s="72"/>
      <c r="R639" s="72" t="str">
        <f t="shared" si="136"/>
        <v/>
      </c>
      <c r="S639" s="63"/>
      <c r="T639" s="72" t="s">
        <v>50</v>
      </c>
      <c r="U639" s="105"/>
      <c r="V639" s="74"/>
      <c r="W639" s="105" t="str">
        <f t="shared" si="134"/>
        <v/>
      </c>
      <c r="X639" s="74"/>
      <c r="Y639" s="105" t="str">
        <f t="shared" si="135"/>
        <v/>
      </c>
      <c r="Z639" s="76"/>
    </row>
    <row r="640" spans="1:27" s="29" customFormat="1" ht="21.4" customHeight="1" x14ac:dyDescent="0.2">
      <c r="A640" s="30"/>
      <c r="B640" s="48" t="s">
        <v>6</v>
      </c>
      <c r="C640" s="39">
        <f>IF($J$1="January",Q633,IF($J$1="February",Q634,IF($J$1="March",Q635,IF($J$1="April",Q636,IF($J$1="May",Q637,IF($J$1="June",Q638,IF($J$1="July",Q639,IF($J$1="August",Q640,IF($J$1="August",Q640,IF($J$1="September",Q641,IF($J$1="October",Q642,IF($J$1="November",Q643,IF($J$1="December",Q644)))))))))))))</f>
        <v>0</v>
      </c>
      <c r="F640" s="48" t="s">
        <v>21</v>
      </c>
      <c r="G640" s="43">
        <f>IF($J$1="January",X633,IF($J$1="February",X634,IF($J$1="March",X635,IF($J$1="April",X636,IF($J$1="May",X637,IF($J$1="June",X638,IF($J$1="July",X639,IF($J$1="August",X640,IF($J$1="August",X640,IF($J$1="September",X641,IF($J$1="October",X642,IF($J$1="November",X643,IF($J$1="December",X644)))))))))))))</f>
        <v>10000</v>
      </c>
      <c r="H640" s="47"/>
      <c r="I640" s="392" t="s">
        <v>70</v>
      </c>
      <c r="J640" s="393"/>
      <c r="K640" s="43">
        <f>G640</f>
        <v>10000</v>
      </c>
      <c r="L640" s="55"/>
      <c r="N640" s="71"/>
      <c r="O640" s="72" t="s">
        <v>51</v>
      </c>
      <c r="P640" s="72"/>
      <c r="Q640" s="72"/>
      <c r="R640" s="72">
        <v>0</v>
      </c>
      <c r="S640" s="63"/>
      <c r="T640" s="72" t="s">
        <v>51</v>
      </c>
      <c r="U640" s="105" t="str">
        <f>IF($J$1="July","",Y639)</f>
        <v/>
      </c>
      <c r="V640" s="74"/>
      <c r="W640" s="105" t="str">
        <f t="shared" si="134"/>
        <v/>
      </c>
      <c r="X640" s="74"/>
      <c r="Y640" s="105" t="str">
        <f t="shared" si="135"/>
        <v/>
      </c>
      <c r="Z640" s="76"/>
    </row>
    <row r="641" spans="1:27" s="29" customFormat="1" ht="21.4" customHeight="1" x14ac:dyDescent="0.2">
      <c r="A641" s="30"/>
      <c r="B641" s="56" t="s">
        <v>68</v>
      </c>
      <c r="C641" s="39">
        <f>IF($J$1="January",R633,IF($J$1="February",R634,IF($J$1="March",R635,IF($J$1="April",R636,IF($J$1="May",R637,IF($J$1="June",R638,IF($J$1="July",R639,IF($J$1="August",R640,IF($J$1="August",R640,IF($J$1="September",R641,IF($J$1="October",R642,IF($J$1="November",R643,IF($J$1="December",R644)))))))))))))</f>
        <v>0</v>
      </c>
      <c r="F641" s="48" t="s">
        <v>67</v>
      </c>
      <c r="G641" s="43">
        <f>IF($J$1="January",Y633,IF($J$1="February",Y634,IF($J$1="March",Y635,IF($J$1="April",Y636,IF($J$1="May",Y637,IF($J$1="June",Y638,IF($J$1="July",Y639,IF($J$1="August",Y640,IF($J$1="August",Y640,IF($J$1="September",Y641,IF($J$1="October",Y642,IF($J$1="November",Y643,IF($J$1="December",Y644)))))))))))))</f>
        <v>35000</v>
      </c>
      <c r="I641" s="387" t="s">
        <v>63</v>
      </c>
      <c r="J641" s="388"/>
      <c r="K641" s="57">
        <f>K639-K640</f>
        <v>2250</v>
      </c>
      <c r="L641" s="58"/>
      <c r="N641" s="71"/>
      <c r="O641" s="72" t="s">
        <v>56</v>
      </c>
      <c r="P641" s="72"/>
      <c r="Q641" s="72"/>
      <c r="R641" s="72" t="str">
        <f t="shared" si="136"/>
        <v/>
      </c>
      <c r="S641" s="63"/>
      <c r="T641" s="72" t="s">
        <v>56</v>
      </c>
      <c r="U641" s="105" t="str">
        <f>IF($J$1="August","",Y640)</f>
        <v/>
      </c>
      <c r="V641" s="74"/>
      <c r="W641" s="105" t="str">
        <f t="shared" si="134"/>
        <v/>
      </c>
      <c r="X641" s="74"/>
      <c r="Y641" s="105" t="str">
        <f t="shared" si="135"/>
        <v/>
      </c>
      <c r="Z641" s="76"/>
    </row>
    <row r="642" spans="1:27" s="29" customFormat="1" ht="21.4" customHeight="1" x14ac:dyDescent="0.2">
      <c r="A642" s="30"/>
      <c r="L642" s="46"/>
      <c r="N642" s="71"/>
      <c r="O642" s="72" t="s">
        <v>52</v>
      </c>
      <c r="P642" s="72"/>
      <c r="Q642" s="72"/>
      <c r="R642" s="72" t="str">
        <f t="shared" si="136"/>
        <v/>
      </c>
      <c r="S642" s="63"/>
      <c r="T642" s="72" t="s">
        <v>52</v>
      </c>
      <c r="U642" s="105" t="str">
        <f>IF($J$1="September","",Y641)</f>
        <v/>
      </c>
      <c r="V642" s="74"/>
      <c r="W642" s="105" t="str">
        <f t="shared" si="134"/>
        <v/>
      </c>
      <c r="X642" s="74"/>
      <c r="Y642" s="105" t="str">
        <f t="shared" si="135"/>
        <v/>
      </c>
      <c r="Z642" s="76"/>
    </row>
    <row r="643" spans="1:27" s="29" customFormat="1" ht="21.4" customHeight="1" x14ac:dyDescent="0.2">
      <c r="A643" s="30"/>
      <c r="B643" s="394" t="s">
        <v>85</v>
      </c>
      <c r="C643" s="394"/>
      <c r="D643" s="394"/>
      <c r="E643" s="394"/>
      <c r="F643" s="394"/>
      <c r="G643" s="394"/>
      <c r="H643" s="394"/>
      <c r="I643" s="394"/>
      <c r="J643" s="394"/>
      <c r="K643" s="394"/>
      <c r="L643" s="46"/>
      <c r="N643" s="71"/>
      <c r="O643" s="72" t="s">
        <v>57</v>
      </c>
      <c r="P643" s="72"/>
      <c r="Q643" s="72"/>
      <c r="R643" s="72">
        <v>0</v>
      </c>
      <c r="S643" s="63"/>
      <c r="T643" s="72" t="s">
        <v>57</v>
      </c>
      <c r="U643" s="105" t="str">
        <f>IF($J$1="October","",Y642)</f>
        <v/>
      </c>
      <c r="V643" s="74"/>
      <c r="W643" s="105" t="str">
        <f t="shared" si="134"/>
        <v/>
      </c>
      <c r="X643" s="74"/>
      <c r="Y643" s="105" t="str">
        <f t="shared" si="135"/>
        <v/>
      </c>
      <c r="Z643" s="76"/>
    </row>
    <row r="644" spans="1:27" s="29" customFormat="1" ht="21.4" customHeight="1" x14ac:dyDescent="0.2">
      <c r="A644" s="30"/>
      <c r="B644" s="394"/>
      <c r="C644" s="394"/>
      <c r="D644" s="394"/>
      <c r="E644" s="394"/>
      <c r="F644" s="394"/>
      <c r="G644" s="394"/>
      <c r="H644" s="394"/>
      <c r="I644" s="394"/>
      <c r="J644" s="394"/>
      <c r="K644" s="394"/>
      <c r="L644" s="46"/>
      <c r="N644" s="71"/>
      <c r="O644" s="72" t="s">
        <v>58</v>
      </c>
      <c r="P644" s="72"/>
      <c r="Q644" s="72"/>
      <c r="R644" s="72" t="str">
        <f t="shared" si="136"/>
        <v/>
      </c>
      <c r="S644" s="63"/>
      <c r="T644" s="72" t="s">
        <v>58</v>
      </c>
      <c r="U644" s="105" t="str">
        <f>IF($J$1="November","",Y643)</f>
        <v/>
      </c>
      <c r="V644" s="74"/>
      <c r="W644" s="105" t="str">
        <f t="shared" si="134"/>
        <v/>
      </c>
      <c r="X644" s="74"/>
      <c r="Y644" s="105" t="str">
        <f t="shared" si="135"/>
        <v/>
      </c>
      <c r="Z644" s="76"/>
    </row>
    <row r="645" spans="1:27" s="29" customFormat="1" ht="21.4" customHeight="1" thickBot="1" x14ac:dyDescent="0.25">
      <c r="A645" s="59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1"/>
      <c r="N645" s="77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9"/>
    </row>
    <row r="646" spans="1:27" s="29" customFormat="1" ht="21.4" customHeight="1" thickBot="1" x14ac:dyDescent="0.25"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spans="1:27" s="29" customFormat="1" ht="21" customHeight="1" x14ac:dyDescent="0.2">
      <c r="A647" s="410" t="s">
        <v>40</v>
      </c>
      <c r="B647" s="411"/>
      <c r="C647" s="411"/>
      <c r="D647" s="411"/>
      <c r="E647" s="411"/>
      <c r="F647" s="411"/>
      <c r="G647" s="411"/>
      <c r="H647" s="411"/>
      <c r="I647" s="411"/>
      <c r="J647" s="411"/>
      <c r="K647" s="411"/>
      <c r="L647" s="412"/>
      <c r="M647" s="28"/>
      <c r="N647" s="64"/>
      <c r="O647" s="403" t="s">
        <v>42</v>
      </c>
      <c r="P647" s="404"/>
      <c r="Q647" s="404"/>
      <c r="R647" s="405"/>
      <c r="S647" s="65"/>
      <c r="T647" s="403" t="s">
        <v>43</v>
      </c>
      <c r="U647" s="404"/>
      <c r="V647" s="404"/>
      <c r="W647" s="404"/>
      <c r="X647" s="404"/>
      <c r="Y647" s="405"/>
      <c r="Z647" s="66"/>
      <c r="AA647" s="28"/>
    </row>
    <row r="648" spans="1:27" s="29" customFormat="1" ht="21" customHeight="1" x14ac:dyDescent="0.2">
      <c r="A648" s="290"/>
      <c r="C648" s="402" t="s">
        <v>83</v>
      </c>
      <c r="D648" s="402"/>
      <c r="E648" s="402"/>
      <c r="F648" s="402"/>
      <c r="G648" s="31" t="str">
        <f>$J$1</f>
        <v>June</v>
      </c>
      <c r="H648" s="409">
        <f>$K$1</f>
        <v>2023</v>
      </c>
      <c r="I648" s="409"/>
      <c r="K648" s="32"/>
      <c r="L648" s="291"/>
      <c r="M648" s="32"/>
      <c r="N648" s="67"/>
      <c r="O648" s="68" t="s">
        <v>53</v>
      </c>
      <c r="P648" s="68" t="s">
        <v>7</v>
      </c>
      <c r="Q648" s="68" t="s">
        <v>6</v>
      </c>
      <c r="R648" s="68" t="s">
        <v>54</v>
      </c>
      <c r="S648" s="69"/>
      <c r="T648" s="68" t="s">
        <v>53</v>
      </c>
      <c r="U648" s="68" t="s">
        <v>55</v>
      </c>
      <c r="V648" s="68" t="s">
        <v>20</v>
      </c>
      <c r="W648" s="68" t="s">
        <v>19</v>
      </c>
      <c r="X648" s="68" t="s">
        <v>21</v>
      </c>
      <c r="Y648" s="68" t="s">
        <v>59</v>
      </c>
      <c r="Z648" s="70"/>
      <c r="AA648" s="32"/>
    </row>
    <row r="649" spans="1:27" s="29" customFormat="1" ht="21" customHeight="1" x14ac:dyDescent="0.2">
      <c r="A649" s="290"/>
      <c r="D649" s="35"/>
      <c r="E649" s="35"/>
      <c r="F649" s="35"/>
      <c r="G649" s="35"/>
      <c r="H649" s="35"/>
      <c r="J649" s="36" t="s">
        <v>1</v>
      </c>
      <c r="K649" s="37">
        <v>28000</v>
      </c>
      <c r="L649" s="292"/>
      <c r="N649" s="71"/>
      <c r="O649" s="72" t="s">
        <v>45</v>
      </c>
      <c r="P649" s="72">
        <v>31</v>
      </c>
      <c r="Q649" s="72">
        <v>0</v>
      </c>
      <c r="R649" s="72"/>
      <c r="S649" s="73"/>
      <c r="T649" s="72" t="s">
        <v>45</v>
      </c>
      <c r="U649" s="74"/>
      <c r="V649" s="74"/>
      <c r="W649" s="74">
        <f>V649+U649</f>
        <v>0</v>
      </c>
      <c r="X649" s="74"/>
      <c r="Y649" s="74">
        <f>W649-X649</f>
        <v>0</v>
      </c>
      <c r="Z649" s="70"/>
    </row>
    <row r="650" spans="1:27" s="29" customFormat="1" ht="21" customHeight="1" x14ac:dyDescent="0.2">
      <c r="A650" s="290"/>
      <c r="B650" s="29" t="s">
        <v>0</v>
      </c>
      <c r="C650" s="40" t="s">
        <v>105</v>
      </c>
      <c r="H650" s="41"/>
      <c r="I650" s="35"/>
      <c r="L650" s="293"/>
      <c r="M650" s="28"/>
      <c r="N650" s="75"/>
      <c r="O650" s="72" t="s">
        <v>71</v>
      </c>
      <c r="P650" s="72">
        <v>28</v>
      </c>
      <c r="Q650" s="72">
        <v>0</v>
      </c>
      <c r="R650" s="72">
        <f t="shared" ref="R650:R660" si="137">IF(Q650="","",R649-Q650)</f>
        <v>0</v>
      </c>
      <c r="S650" s="63"/>
      <c r="T650" s="72" t="s">
        <v>71</v>
      </c>
      <c r="U650" s="105"/>
      <c r="V650" s="74"/>
      <c r="W650" s="105" t="str">
        <f>IF(U650="","",U650+V650)</f>
        <v/>
      </c>
      <c r="X650" s="74"/>
      <c r="Y650" s="105" t="str">
        <f>IF(W650="","",W650-X650)</f>
        <v/>
      </c>
      <c r="Z650" s="76"/>
      <c r="AA650" s="28"/>
    </row>
    <row r="651" spans="1:27" s="29" customFormat="1" ht="21" customHeight="1" x14ac:dyDescent="0.2">
      <c r="A651" s="290"/>
      <c r="B651" s="44" t="s">
        <v>41</v>
      </c>
      <c r="C651" s="45"/>
      <c r="F651" s="391" t="s">
        <v>43</v>
      </c>
      <c r="G651" s="391"/>
      <c r="I651" s="391" t="s">
        <v>44</v>
      </c>
      <c r="J651" s="391"/>
      <c r="K651" s="391"/>
      <c r="L651" s="294"/>
      <c r="N651" s="71"/>
      <c r="O651" s="72" t="s">
        <v>46</v>
      </c>
      <c r="P651" s="72">
        <v>31</v>
      </c>
      <c r="Q651" s="72">
        <v>0</v>
      </c>
      <c r="R651" s="72">
        <f t="shared" si="137"/>
        <v>0</v>
      </c>
      <c r="S651" s="63"/>
      <c r="T651" s="72" t="s">
        <v>46</v>
      </c>
      <c r="U651" s="105"/>
      <c r="V651" s="74"/>
      <c r="W651" s="105" t="str">
        <f t="shared" ref="W651:W660" si="138">IF(U651="","",U651+V651)</f>
        <v/>
      </c>
      <c r="X651" s="74"/>
      <c r="Y651" s="105" t="str">
        <f t="shared" ref="Y651:Y660" si="139">IF(W651="","",W651-X651)</f>
        <v/>
      </c>
      <c r="Z651" s="76"/>
    </row>
    <row r="652" spans="1:27" s="29" customFormat="1" ht="21" customHeight="1" x14ac:dyDescent="0.2">
      <c r="A652" s="290"/>
      <c r="H652" s="47"/>
      <c r="L652" s="295"/>
      <c r="N652" s="71"/>
      <c r="O652" s="72" t="s">
        <v>47</v>
      </c>
      <c r="P652" s="72">
        <v>30</v>
      </c>
      <c r="Q652" s="72"/>
      <c r="R652" s="72"/>
      <c r="S652" s="63"/>
      <c r="T652" s="72" t="s">
        <v>47</v>
      </c>
      <c r="U652" s="105"/>
      <c r="V652" s="74"/>
      <c r="W652" s="105" t="str">
        <f t="shared" si="138"/>
        <v/>
      </c>
      <c r="X652" s="74"/>
      <c r="Y652" s="105" t="str">
        <f t="shared" si="139"/>
        <v/>
      </c>
      <c r="Z652" s="76"/>
    </row>
    <row r="653" spans="1:27" s="29" customFormat="1" ht="21" customHeight="1" x14ac:dyDescent="0.2">
      <c r="A653" s="290"/>
      <c r="B653" s="389" t="s">
        <v>42</v>
      </c>
      <c r="C653" s="390"/>
      <c r="F653" s="48" t="s">
        <v>64</v>
      </c>
      <c r="G653" s="43">
        <f>IF($J$1="January",U649,IF($J$1="February",U650,IF($J$1="March",U651,IF($J$1="April",U652,IF($J$1="May",U653,IF($J$1="June",U654,IF($J$1="July",U655,IF($J$1="August",U656,IF($J$1="August",U656,IF($J$1="September",U657,IF($J$1="October",U658,IF($J$1="November",U659,IF($J$1="December",U660)))))))))))))</f>
        <v>0</v>
      </c>
      <c r="H653" s="47"/>
      <c r="I653" s="49">
        <f>IF(C657&gt;0,$K$2,C655)</f>
        <v>30</v>
      </c>
      <c r="J653" s="50" t="s">
        <v>61</v>
      </c>
      <c r="K653" s="51">
        <f>K649/$K$2*I653</f>
        <v>28000</v>
      </c>
      <c r="L653" s="296"/>
      <c r="N653" s="71"/>
      <c r="O653" s="72" t="s">
        <v>48</v>
      </c>
      <c r="P653" s="72">
        <v>31</v>
      </c>
      <c r="Q653" s="72">
        <v>0</v>
      </c>
      <c r="R653" s="72">
        <f t="shared" si="137"/>
        <v>0</v>
      </c>
      <c r="S653" s="63"/>
      <c r="T653" s="72" t="s">
        <v>48</v>
      </c>
      <c r="U653" s="105"/>
      <c r="V653" s="74"/>
      <c r="W653" s="105" t="str">
        <f t="shared" si="138"/>
        <v/>
      </c>
      <c r="X653" s="74"/>
      <c r="Y653" s="105" t="str">
        <f t="shared" si="139"/>
        <v/>
      </c>
      <c r="Z653" s="76"/>
    </row>
    <row r="654" spans="1:27" s="29" customFormat="1" ht="21" customHeight="1" x14ac:dyDescent="0.2">
      <c r="A654" s="290"/>
      <c r="B654" s="39"/>
      <c r="C654" s="39"/>
      <c r="F654" s="48" t="s">
        <v>20</v>
      </c>
      <c r="G654" s="43">
        <f>IF($J$1="January",V649,IF($J$1="February",V650,IF($J$1="March",V651,IF($J$1="April",V652,IF($J$1="May",V653,IF($J$1="June",V654,IF($J$1="July",V655,IF($J$1="August",V656,IF($J$1="August",V656,IF($J$1="September",V657,IF($J$1="October",V658,IF($J$1="November",V659,IF($J$1="December",V660)))))))))))))</f>
        <v>0</v>
      </c>
      <c r="H654" s="47"/>
      <c r="I654" s="49"/>
      <c r="J654" s="50" t="s">
        <v>62</v>
      </c>
      <c r="K654" s="93">
        <f>K649/$K$2/8*I654</f>
        <v>0</v>
      </c>
      <c r="L654" s="297"/>
      <c r="N654" s="71"/>
      <c r="O654" s="72" t="s">
        <v>49</v>
      </c>
      <c r="P654" s="72"/>
      <c r="Q654" s="72"/>
      <c r="R654" s="72" t="str">
        <f t="shared" si="137"/>
        <v/>
      </c>
      <c r="S654" s="63"/>
      <c r="T654" s="72" t="s">
        <v>49</v>
      </c>
      <c r="U654" s="105"/>
      <c r="V654" s="74"/>
      <c r="W654" s="105" t="str">
        <f t="shared" si="138"/>
        <v/>
      </c>
      <c r="X654" s="74"/>
      <c r="Y654" s="105" t="str">
        <f t="shared" si="139"/>
        <v/>
      </c>
      <c r="Z654" s="76"/>
    </row>
    <row r="655" spans="1:27" s="29" customFormat="1" ht="21" customHeight="1" x14ac:dyDescent="0.2">
      <c r="A655" s="290"/>
      <c r="B655" s="48" t="s">
        <v>7</v>
      </c>
      <c r="C655" s="39">
        <f>IF($J$1="January",P649,IF($J$1="February",P650,IF($J$1="March",P651,IF($J$1="April",P652,IF($J$1="May",P653,IF($J$1="June",P654,IF($J$1="July",P655,IF($J$1="August",P656,IF($J$1="August",P656,IF($J$1="September",P657,IF($J$1="October",P658,IF($J$1="November",P659,IF($J$1="December",P660)))))))))))))</f>
        <v>0</v>
      </c>
      <c r="F655" s="48" t="s">
        <v>65</v>
      </c>
      <c r="G655" s="43" t="str">
        <f>IF($J$1="January",W649,IF($J$1="February",W650,IF($J$1="March",W651,IF($J$1="April",W652,IF($J$1="May",W653,IF($J$1="June",W654,IF($J$1="July",W655,IF($J$1="August",W656,IF($J$1="August",W656,IF($J$1="September",W657,IF($J$1="October",W658,IF($J$1="November",W659,IF($J$1="December",W660)))))))))))))</f>
        <v/>
      </c>
      <c r="H655" s="47"/>
      <c r="I655" s="392" t="s">
        <v>69</v>
      </c>
      <c r="J655" s="393"/>
      <c r="K655" s="53">
        <f>K653+K654</f>
        <v>28000</v>
      </c>
      <c r="L655" s="297"/>
      <c r="N655" s="71"/>
      <c r="O655" s="72" t="s">
        <v>50</v>
      </c>
      <c r="P655" s="72"/>
      <c r="Q655" s="72"/>
      <c r="R655" s="72" t="str">
        <f t="shared" si="137"/>
        <v/>
      </c>
      <c r="S655" s="63"/>
      <c r="T655" s="72" t="s">
        <v>50</v>
      </c>
      <c r="U655" s="105"/>
      <c r="V655" s="74"/>
      <c r="W655" s="105">
        <f>V655+U655</f>
        <v>0</v>
      </c>
      <c r="X655" s="74"/>
      <c r="Y655" s="105">
        <f t="shared" si="139"/>
        <v>0</v>
      </c>
      <c r="Z655" s="76"/>
    </row>
    <row r="656" spans="1:27" s="29" customFormat="1" ht="21" customHeight="1" x14ac:dyDescent="0.2">
      <c r="A656" s="290"/>
      <c r="B656" s="48" t="s">
        <v>6</v>
      </c>
      <c r="C656" s="39">
        <f>IF($J$1="January",Q649,IF($J$1="February",Q650,IF($J$1="March",Q651,IF($J$1="April",Q652,IF($J$1="May",Q653,IF($J$1="June",Q654,IF($J$1="July",Q655,IF($J$1="August",Q656,IF($J$1="August",Q656,IF($J$1="September",Q657,IF($J$1="October",Q658,IF($J$1="November",Q659,IF($J$1="December",Q660)))))))))))))</f>
        <v>0</v>
      </c>
      <c r="F656" s="48" t="s">
        <v>21</v>
      </c>
      <c r="G656" s="43">
        <f>IF($J$1="January",X649,IF($J$1="February",X650,IF($J$1="March",X651,IF($J$1="April",X652,IF($J$1="May",X653,IF($J$1="June",X654,IF($J$1="July",X655,IF($J$1="August",X656,IF($J$1="August",X656,IF($J$1="September",X657,IF($J$1="October",X658,IF($J$1="November",X659,IF($J$1="December",X660)))))))))))))</f>
        <v>0</v>
      </c>
      <c r="H656" s="47"/>
      <c r="I656" s="392" t="s">
        <v>70</v>
      </c>
      <c r="J656" s="393"/>
      <c r="K656" s="43">
        <f>G656</f>
        <v>0</v>
      </c>
      <c r="L656" s="298"/>
      <c r="N656" s="71"/>
      <c r="O656" s="72" t="s">
        <v>51</v>
      </c>
      <c r="P656" s="72"/>
      <c r="Q656" s="72"/>
      <c r="R656" s="72" t="str">
        <f t="shared" si="137"/>
        <v/>
      </c>
      <c r="S656" s="63"/>
      <c r="T656" s="72" t="s">
        <v>51</v>
      </c>
      <c r="U656" s="105">
        <f>Y655</f>
        <v>0</v>
      </c>
      <c r="V656" s="74"/>
      <c r="W656" s="105">
        <f t="shared" si="138"/>
        <v>0</v>
      </c>
      <c r="X656" s="74"/>
      <c r="Y656" s="105">
        <f t="shared" si="139"/>
        <v>0</v>
      </c>
      <c r="Z656" s="76"/>
    </row>
    <row r="657" spans="1:27" s="29" customFormat="1" ht="21" customHeight="1" x14ac:dyDescent="0.2">
      <c r="A657" s="290"/>
      <c r="B657" s="56" t="s">
        <v>68</v>
      </c>
      <c r="C657" s="39" t="str">
        <f>IF($J$1="January",R649,IF($J$1="February",R650,IF($J$1="March",R651,IF($J$1="April",R652,IF($J$1="May",R653,IF($J$1="June",R654,IF($J$1="July",R655,IF($J$1="August",R656,IF($J$1="August",R656,IF($J$1="September",R657,IF($J$1="October",R658,IF($J$1="November",R659,IF($J$1="December",R660)))))))))))))</f>
        <v/>
      </c>
      <c r="F657" s="48" t="s">
        <v>67</v>
      </c>
      <c r="G657" s="43" t="str">
        <f>IF($J$1="January",Y649,IF($J$1="February",Y650,IF($J$1="March",Y651,IF($J$1="April",Y652,IF($J$1="May",Y653,IF($J$1="June",Y654,IF($J$1="July",Y655,IF($J$1="August",Y656,IF($J$1="August",Y656,IF($J$1="September",Y657,IF($J$1="October",Y658,IF($J$1="November",Y659,IF($J$1="December",Y660)))))))))))))</f>
        <v/>
      </c>
      <c r="I657" s="387" t="s">
        <v>63</v>
      </c>
      <c r="J657" s="388"/>
      <c r="K657" s="57">
        <f>K655-K656</f>
        <v>28000</v>
      </c>
      <c r="L657" s="299"/>
      <c r="N657" s="71"/>
      <c r="O657" s="72" t="s">
        <v>56</v>
      </c>
      <c r="P657" s="72"/>
      <c r="Q657" s="72"/>
      <c r="R657" s="72" t="str">
        <f t="shared" si="137"/>
        <v/>
      </c>
      <c r="S657" s="63"/>
      <c r="T657" s="72" t="s">
        <v>56</v>
      </c>
      <c r="U657" s="105">
        <f>Y656</f>
        <v>0</v>
      </c>
      <c r="V657" s="74"/>
      <c r="W657" s="105">
        <f t="shared" si="138"/>
        <v>0</v>
      </c>
      <c r="X657" s="74"/>
      <c r="Y657" s="105">
        <f t="shared" si="139"/>
        <v>0</v>
      </c>
      <c r="Z657" s="76"/>
    </row>
    <row r="658" spans="1:27" s="29" customFormat="1" ht="21" customHeight="1" x14ac:dyDescent="0.2">
      <c r="A658" s="290"/>
      <c r="K658" s="107"/>
      <c r="L658" s="294"/>
      <c r="N658" s="71"/>
      <c r="O658" s="72" t="s">
        <v>52</v>
      </c>
      <c r="P658" s="72"/>
      <c r="Q658" s="72"/>
      <c r="R658" s="72" t="str">
        <f t="shared" si="137"/>
        <v/>
      </c>
      <c r="S658" s="63"/>
      <c r="T658" s="72" t="s">
        <v>52</v>
      </c>
      <c r="U658" s="105">
        <f>Y657</f>
        <v>0</v>
      </c>
      <c r="V658" s="74"/>
      <c r="W658" s="105">
        <f t="shared" si="138"/>
        <v>0</v>
      </c>
      <c r="X658" s="74"/>
      <c r="Y658" s="105">
        <f t="shared" si="139"/>
        <v>0</v>
      </c>
      <c r="Z658" s="76"/>
    </row>
    <row r="659" spans="1:27" s="29" customFormat="1" ht="21" customHeight="1" x14ac:dyDescent="0.2">
      <c r="A659" s="290"/>
      <c r="B659" s="394" t="s">
        <v>85</v>
      </c>
      <c r="C659" s="394"/>
      <c r="D659" s="394"/>
      <c r="E659" s="394"/>
      <c r="F659" s="394"/>
      <c r="G659" s="394"/>
      <c r="H659" s="394"/>
      <c r="I659" s="394"/>
      <c r="J659" s="394"/>
      <c r="K659" s="394"/>
      <c r="L659" s="294"/>
      <c r="N659" s="71"/>
      <c r="O659" s="72" t="s">
        <v>57</v>
      </c>
      <c r="P659" s="72"/>
      <c r="Q659" s="72"/>
      <c r="R659" s="72" t="str">
        <f t="shared" si="137"/>
        <v/>
      </c>
      <c r="S659" s="63"/>
      <c r="T659" s="72" t="s">
        <v>57</v>
      </c>
      <c r="U659" s="105">
        <f>Y658</f>
        <v>0</v>
      </c>
      <c r="V659" s="74"/>
      <c r="W659" s="105">
        <f t="shared" si="138"/>
        <v>0</v>
      </c>
      <c r="X659" s="74"/>
      <c r="Y659" s="105">
        <f t="shared" si="139"/>
        <v>0</v>
      </c>
      <c r="Z659" s="76"/>
    </row>
    <row r="660" spans="1:27" s="29" customFormat="1" ht="21" customHeight="1" x14ac:dyDescent="0.2">
      <c r="A660" s="290"/>
      <c r="B660" s="394"/>
      <c r="C660" s="394"/>
      <c r="D660" s="394"/>
      <c r="E660" s="394"/>
      <c r="F660" s="394"/>
      <c r="G660" s="394"/>
      <c r="H660" s="394"/>
      <c r="I660" s="394"/>
      <c r="J660" s="394"/>
      <c r="K660" s="394"/>
      <c r="L660" s="294"/>
      <c r="N660" s="71"/>
      <c r="O660" s="72" t="s">
        <v>58</v>
      </c>
      <c r="P660" s="72"/>
      <c r="Q660" s="72"/>
      <c r="R660" s="72" t="str">
        <f t="shared" si="137"/>
        <v/>
      </c>
      <c r="S660" s="63"/>
      <c r="T660" s="72" t="s">
        <v>58</v>
      </c>
      <c r="U660" s="105">
        <f>Y659</f>
        <v>0</v>
      </c>
      <c r="V660" s="74"/>
      <c r="W660" s="105">
        <f t="shared" si="138"/>
        <v>0</v>
      </c>
      <c r="X660" s="74"/>
      <c r="Y660" s="105">
        <f t="shared" si="139"/>
        <v>0</v>
      </c>
      <c r="Z660" s="76"/>
    </row>
    <row r="661" spans="1:27" s="29" customFormat="1" ht="21" customHeight="1" thickBot="1" x14ac:dyDescent="0.25">
      <c r="A661" s="300"/>
      <c r="B661" s="96"/>
      <c r="C661" s="96"/>
      <c r="D661" s="96"/>
      <c r="E661" s="96"/>
      <c r="F661" s="96"/>
      <c r="G661" s="96"/>
      <c r="H661" s="96"/>
      <c r="I661" s="96"/>
      <c r="J661" s="96"/>
      <c r="K661" s="96"/>
      <c r="L661" s="301"/>
      <c r="N661" s="77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9"/>
    </row>
    <row r="662" spans="1:27" s="29" customFormat="1" ht="21" customHeight="1" x14ac:dyDescent="0.2">
      <c r="A662" s="413" t="s">
        <v>40</v>
      </c>
      <c r="B662" s="414"/>
      <c r="C662" s="414"/>
      <c r="D662" s="414"/>
      <c r="E662" s="414"/>
      <c r="F662" s="414"/>
      <c r="G662" s="414"/>
      <c r="H662" s="414"/>
      <c r="I662" s="414"/>
      <c r="J662" s="414"/>
      <c r="K662" s="414"/>
      <c r="L662" s="415"/>
      <c r="M662" s="28"/>
      <c r="N662" s="64"/>
      <c r="O662" s="403" t="s">
        <v>42</v>
      </c>
      <c r="P662" s="404"/>
      <c r="Q662" s="404"/>
      <c r="R662" s="405"/>
      <c r="S662" s="65"/>
      <c r="T662" s="403" t="s">
        <v>43</v>
      </c>
      <c r="U662" s="404"/>
      <c r="V662" s="404"/>
      <c r="W662" s="404"/>
      <c r="X662" s="404"/>
      <c r="Y662" s="405"/>
      <c r="Z662" s="66"/>
      <c r="AA662" s="28"/>
    </row>
    <row r="663" spans="1:27" s="29" customFormat="1" ht="21" customHeight="1" x14ac:dyDescent="0.2">
      <c r="A663" s="30"/>
      <c r="C663" s="402" t="s">
        <v>83</v>
      </c>
      <c r="D663" s="402"/>
      <c r="E663" s="402"/>
      <c r="F663" s="402"/>
      <c r="G663" s="31" t="str">
        <f>$J$1</f>
        <v>June</v>
      </c>
      <c r="H663" s="409">
        <f>$K$1</f>
        <v>2023</v>
      </c>
      <c r="I663" s="409"/>
      <c r="K663" s="32"/>
      <c r="L663" s="33"/>
      <c r="M663" s="32"/>
      <c r="N663" s="67"/>
      <c r="O663" s="68" t="s">
        <v>53</v>
      </c>
      <c r="P663" s="68" t="s">
        <v>7</v>
      </c>
      <c r="Q663" s="68" t="s">
        <v>6</v>
      </c>
      <c r="R663" s="68" t="s">
        <v>54</v>
      </c>
      <c r="S663" s="69"/>
      <c r="T663" s="68" t="s">
        <v>53</v>
      </c>
      <c r="U663" s="68" t="s">
        <v>55</v>
      </c>
      <c r="V663" s="68" t="s">
        <v>20</v>
      </c>
      <c r="W663" s="68" t="s">
        <v>19</v>
      </c>
      <c r="X663" s="68" t="s">
        <v>21</v>
      </c>
      <c r="Y663" s="68" t="s">
        <v>59</v>
      </c>
      <c r="Z663" s="70"/>
      <c r="AA663" s="32"/>
    </row>
    <row r="664" spans="1:27" s="29" customFormat="1" ht="21" customHeight="1" x14ac:dyDescent="0.2">
      <c r="A664" s="30"/>
      <c r="D664" s="35"/>
      <c r="E664" s="35"/>
      <c r="F664" s="35"/>
      <c r="G664" s="35"/>
      <c r="H664" s="35"/>
      <c r="J664" s="36" t="s">
        <v>1</v>
      </c>
      <c r="K664" s="37">
        <f>30000+5000</f>
        <v>35000</v>
      </c>
      <c r="L664" s="38"/>
      <c r="N664" s="71"/>
      <c r="O664" s="72" t="s">
        <v>45</v>
      </c>
      <c r="P664" s="72">
        <v>31</v>
      </c>
      <c r="Q664" s="72">
        <v>0</v>
      </c>
      <c r="R664" s="72">
        <f>15-Q664+5</f>
        <v>20</v>
      </c>
      <c r="S664" s="73"/>
      <c r="T664" s="72" t="s">
        <v>45</v>
      </c>
      <c r="U664" s="74">
        <v>20000</v>
      </c>
      <c r="V664" s="74">
        <v>10000</v>
      </c>
      <c r="W664" s="74">
        <f>V664+U664</f>
        <v>30000</v>
      </c>
      <c r="X664" s="74">
        <v>5000</v>
      </c>
      <c r="Y664" s="74">
        <f>W664-X664</f>
        <v>25000</v>
      </c>
      <c r="Z664" s="70"/>
    </row>
    <row r="665" spans="1:27" s="29" customFormat="1" ht="21" customHeight="1" x14ac:dyDescent="0.2">
      <c r="A665" s="30"/>
      <c r="B665" s="29" t="s">
        <v>0</v>
      </c>
      <c r="C665" s="40" t="s">
        <v>78</v>
      </c>
      <c r="H665" s="41"/>
      <c r="I665" s="35"/>
      <c r="L665" s="42"/>
      <c r="M665" s="28"/>
      <c r="N665" s="75"/>
      <c r="O665" s="72" t="s">
        <v>71</v>
      </c>
      <c r="P665" s="72">
        <v>28</v>
      </c>
      <c r="Q665" s="72">
        <v>0</v>
      </c>
      <c r="R665" s="72">
        <f t="shared" ref="R665:R675" si="140">IF(Q665="","",R664-Q665)</f>
        <v>20</v>
      </c>
      <c r="S665" s="63"/>
      <c r="T665" s="72" t="s">
        <v>71</v>
      </c>
      <c r="U665" s="105">
        <f>Y664</f>
        <v>25000</v>
      </c>
      <c r="V665" s="74">
        <v>5000</v>
      </c>
      <c r="W665" s="105">
        <f>IF(U665="","",U665+V665)</f>
        <v>30000</v>
      </c>
      <c r="X665" s="74">
        <v>5000</v>
      </c>
      <c r="Y665" s="105">
        <f>IF(W665="","",W665-X665)</f>
        <v>25000</v>
      </c>
      <c r="Z665" s="76"/>
      <c r="AA665" s="28"/>
    </row>
    <row r="666" spans="1:27" s="29" customFormat="1" ht="21" customHeight="1" x14ac:dyDescent="0.2">
      <c r="A666" s="30"/>
      <c r="B666" s="44" t="s">
        <v>41</v>
      </c>
      <c r="C666" s="45"/>
      <c r="F666" s="391" t="s">
        <v>43</v>
      </c>
      <c r="G666" s="391"/>
      <c r="I666" s="391" t="s">
        <v>44</v>
      </c>
      <c r="J666" s="391"/>
      <c r="K666" s="391"/>
      <c r="L666" s="46"/>
      <c r="N666" s="71"/>
      <c r="O666" s="72" t="s">
        <v>46</v>
      </c>
      <c r="P666" s="72">
        <v>31</v>
      </c>
      <c r="Q666" s="72">
        <v>0</v>
      </c>
      <c r="R666" s="72">
        <f t="shared" si="140"/>
        <v>20</v>
      </c>
      <c r="S666" s="63"/>
      <c r="T666" s="72" t="s">
        <v>46</v>
      </c>
      <c r="U666" s="105">
        <f>Y665</f>
        <v>25000</v>
      </c>
      <c r="V666" s="74"/>
      <c r="W666" s="105">
        <f t="shared" ref="W666:W675" si="141">IF(U666="","",U666+V666)</f>
        <v>25000</v>
      </c>
      <c r="X666" s="74"/>
      <c r="Y666" s="105">
        <f t="shared" ref="Y666:Y675" si="142">IF(W666="","",W666-X666)</f>
        <v>25000</v>
      </c>
      <c r="Z666" s="76"/>
    </row>
    <row r="667" spans="1:27" s="29" customFormat="1" ht="21" customHeight="1" x14ac:dyDescent="0.2">
      <c r="A667" s="30"/>
      <c r="H667" s="47"/>
      <c r="L667" s="34"/>
      <c r="N667" s="71"/>
      <c r="O667" s="72" t="s">
        <v>47</v>
      </c>
      <c r="P667" s="72">
        <v>30</v>
      </c>
      <c r="Q667" s="72">
        <v>0</v>
      </c>
      <c r="R667" s="72">
        <f t="shared" si="140"/>
        <v>20</v>
      </c>
      <c r="S667" s="63"/>
      <c r="T667" s="72" t="s">
        <v>47</v>
      </c>
      <c r="U667" s="105">
        <f>Y666</f>
        <v>25000</v>
      </c>
      <c r="V667" s="74"/>
      <c r="W667" s="105">
        <f t="shared" si="141"/>
        <v>25000</v>
      </c>
      <c r="X667" s="74">
        <v>5000</v>
      </c>
      <c r="Y667" s="105">
        <f t="shared" si="142"/>
        <v>20000</v>
      </c>
      <c r="Z667" s="76"/>
    </row>
    <row r="668" spans="1:27" s="29" customFormat="1" ht="21" customHeight="1" x14ac:dyDescent="0.2">
      <c r="A668" s="30"/>
      <c r="B668" s="389" t="s">
        <v>42</v>
      </c>
      <c r="C668" s="390"/>
      <c r="F668" s="48" t="s">
        <v>64</v>
      </c>
      <c r="G668" s="43">
        <f>IF($J$1="January",U664,IF($J$1="February",U665,IF($J$1="March",U666,IF($J$1="April",U667,IF($J$1="May",U668,IF($J$1="June",U669,IF($J$1="July",U670,IF($J$1="August",U671,IF($J$1="August",U671,IF($J$1="September",U672,IF($J$1="October",U673,IF($J$1="November",U674,IF($J$1="December",U675)))))))))))))</f>
        <v>20000</v>
      </c>
      <c r="H668" s="47"/>
      <c r="I668" s="49">
        <f>IF(C672&gt;0,$K$2,C670)</f>
        <v>30</v>
      </c>
      <c r="J668" s="50" t="s">
        <v>61</v>
      </c>
      <c r="K668" s="51">
        <f>K664/$K$2*I668</f>
        <v>35000</v>
      </c>
      <c r="L668" s="52"/>
      <c r="N668" s="71"/>
      <c r="O668" s="72" t="s">
        <v>48</v>
      </c>
      <c r="P668" s="72">
        <v>31</v>
      </c>
      <c r="Q668" s="72">
        <v>0</v>
      </c>
      <c r="R668" s="72">
        <f t="shared" si="140"/>
        <v>20</v>
      </c>
      <c r="S668" s="63"/>
      <c r="T668" s="72" t="s">
        <v>48</v>
      </c>
      <c r="U668" s="105">
        <f>Y667</f>
        <v>20000</v>
      </c>
      <c r="V668" s="74">
        <v>5000</v>
      </c>
      <c r="W668" s="105">
        <f t="shared" si="141"/>
        <v>25000</v>
      </c>
      <c r="X668" s="74">
        <v>5000</v>
      </c>
      <c r="Y668" s="105">
        <f t="shared" si="142"/>
        <v>20000</v>
      </c>
      <c r="Z668" s="76"/>
    </row>
    <row r="669" spans="1:27" s="29" customFormat="1" ht="21" customHeight="1" x14ac:dyDescent="0.2">
      <c r="A669" s="30"/>
      <c r="B669" s="39"/>
      <c r="C669" s="39"/>
      <c r="F669" s="48" t="s">
        <v>20</v>
      </c>
      <c r="G669" s="43">
        <f>IF($J$1="January",V664,IF($J$1="February",V665,IF($J$1="March",V666,IF($J$1="April",V667,IF($J$1="May",V668,IF($J$1="June",V669,IF($J$1="July",V670,IF($J$1="August",V671,IF($J$1="August",V671,IF($J$1="September",V672,IF($J$1="October",V673,IF($J$1="November",V674,IF($J$1="December",V675)))))))))))))</f>
        <v>5000</v>
      </c>
      <c r="H669" s="47"/>
      <c r="I669" s="84">
        <v>118</v>
      </c>
      <c r="J669" s="50" t="s">
        <v>62</v>
      </c>
      <c r="K669" s="53">
        <f>K664/$K$2/8*I669</f>
        <v>17208.333333333336</v>
      </c>
      <c r="L669" s="54"/>
      <c r="N669" s="71"/>
      <c r="O669" s="72" t="s">
        <v>49</v>
      </c>
      <c r="P669" s="72">
        <v>30</v>
      </c>
      <c r="Q669" s="72">
        <v>0</v>
      </c>
      <c r="R669" s="72">
        <f t="shared" si="140"/>
        <v>20</v>
      </c>
      <c r="S669" s="63"/>
      <c r="T669" s="72" t="s">
        <v>49</v>
      </c>
      <c r="U669" s="105">
        <f>Y668</f>
        <v>20000</v>
      </c>
      <c r="V669" s="74">
        <v>5000</v>
      </c>
      <c r="W669" s="105">
        <f t="shared" si="141"/>
        <v>25000</v>
      </c>
      <c r="X669" s="74">
        <v>5000</v>
      </c>
      <c r="Y669" s="105">
        <f t="shared" si="142"/>
        <v>20000</v>
      </c>
      <c r="Z669" s="76"/>
    </row>
    <row r="670" spans="1:27" s="29" customFormat="1" ht="21" customHeight="1" x14ac:dyDescent="0.2">
      <c r="A670" s="30"/>
      <c r="B670" s="48" t="s">
        <v>7</v>
      </c>
      <c r="C670" s="39">
        <f>IF($J$1="January",P664,IF($J$1="February",P665,IF($J$1="March",P666,IF($J$1="April",P667,IF($J$1="May",P668,IF($J$1="June",P669,IF($J$1="July",P670,IF($J$1="August",P671,IF($J$1="August",P671,IF($J$1="September",P672,IF($J$1="October",P673,IF($J$1="November",P674,IF($J$1="December",P675)))))))))))))</f>
        <v>30</v>
      </c>
      <c r="F670" s="48" t="s">
        <v>65</v>
      </c>
      <c r="G670" s="43">
        <f>IF($J$1="January",W664,IF($J$1="February",W665,IF($J$1="March",W666,IF($J$1="April",W667,IF($J$1="May",W668,IF($J$1="June",W669,IF($J$1="July",W670,IF($J$1="August",W671,IF($J$1="August",W671,IF($J$1="September",W672,IF($J$1="October",W673,IF($J$1="November",W674,IF($J$1="December",W675)))))))))))))</f>
        <v>25000</v>
      </c>
      <c r="H670" s="47"/>
      <c r="I670" s="392" t="s">
        <v>69</v>
      </c>
      <c r="J670" s="393"/>
      <c r="K670" s="53">
        <f>K668+K669</f>
        <v>52208.333333333336</v>
      </c>
      <c r="L670" s="54"/>
      <c r="N670" s="71"/>
      <c r="O670" s="72" t="s">
        <v>50</v>
      </c>
      <c r="P670" s="72"/>
      <c r="Q670" s="72"/>
      <c r="R670" s="72" t="str">
        <f t="shared" si="140"/>
        <v/>
      </c>
      <c r="S670" s="63"/>
      <c r="T670" s="72" t="s">
        <v>50</v>
      </c>
      <c r="U670" s="105"/>
      <c r="V670" s="74"/>
      <c r="W670" s="105" t="str">
        <f t="shared" si="141"/>
        <v/>
      </c>
      <c r="X670" s="74"/>
      <c r="Y670" s="105" t="str">
        <f t="shared" si="142"/>
        <v/>
      </c>
      <c r="Z670" s="76"/>
    </row>
    <row r="671" spans="1:27" s="29" customFormat="1" ht="21" customHeight="1" x14ac:dyDescent="0.2">
      <c r="A671" s="30"/>
      <c r="B671" s="48" t="s">
        <v>6</v>
      </c>
      <c r="C671" s="39">
        <f>IF($J$1="January",Q664,IF($J$1="February",Q665,IF($J$1="March",Q666,IF($J$1="April",Q667,IF($J$1="May",Q668,IF($J$1="June",Q669,IF($J$1="July",Q670,IF($J$1="August",Q671,IF($J$1="August",Q671,IF($J$1="September",Q672,IF($J$1="October",Q673,IF($J$1="November",Q674,IF($J$1="December",Q675)))))))))))))</f>
        <v>0</v>
      </c>
      <c r="F671" s="48" t="s">
        <v>21</v>
      </c>
      <c r="G671" s="43">
        <f>IF($J$1="January",X664,IF($J$1="February",X665,IF($J$1="March",X666,IF($J$1="April",X667,IF($J$1="May",X668,IF($J$1="June",X669,IF($J$1="July",X670,IF($J$1="August",X671,IF($J$1="August",X671,IF($J$1="September",X672,IF($J$1="October",X673,IF($J$1="November",X674,IF($J$1="December",X675)))))))))))))</f>
        <v>5000</v>
      </c>
      <c r="H671" s="47"/>
      <c r="I671" s="392" t="s">
        <v>70</v>
      </c>
      <c r="J671" s="393"/>
      <c r="K671" s="43">
        <f>G671</f>
        <v>5000</v>
      </c>
      <c r="L671" s="55"/>
      <c r="N671" s="71"/>
      <c r="O671" s="72" t="s">
        <v>51</v>
      </c>
      <c r="P671" s="72"/>
      <c r="Q671" s="72"/>
      <c r="R671" s="72" t="str">
        <f t="shared" si="140"/>
        <v/>
      </c>
      <c r="S671" s="63"/>
      <c r="T671" s="72" t="s">
        <v>51</v>
      </c>
      <c r="U671" s="105" t="str">
        <f>Y670</f>
        <v/>
      </c>
      <c r="V671" s="74"/>
      <c r="W671" s="105" t="str">
        <f t="shared" si="141"/>
        <v/>
      </c>
      <c r="X671" s="74"/>
      <c r="Y671" s="105" t="str">
        <f t="shared" si="142"/>
        <v/>
      </c>
      <c r="Z671" s="76"/>
    </row>
    <row r="672" spans="1:27" s="29" customFormat="1" ht="21" customHeight="1" x14ac:dyDescent="0.2">
      <c r="A672" s="30"/>
      <c r="B672" s="56" t="s">
        <v>68</v>
      </c>
      <c r="C672" s="39">
        <f>IF($J$1="January",R664,IF($J$1="February",R665,IF($J$1="March",R666,IF($J$1="April",R667,IF($J$1="May",R668,IF($J$1="June",R669,IF($J$1="July",R670,IF($J$1="August",R671,IF($J$1="August",R671,IF($J$1="September",R672,IF($J$1="October",R673,IF($J$1="November",R674,IF($J$1="December",R675)))))))))))))</f>
        <v>20</v>
      </c>
      <c r="F672" s="48" t="s">
        <v>67</v>
      </c>
      <c r="G672" s="43">
        <f>IF($J$1="January",Y664,IF($J$1="February",Y665,IF($J$1="March",Y666,IF($J$1="April",Y667,IF($J$1="May",Y668,IF($J$1="June",Y669,IF($J$1="July",Y670,IF($J$1="August",Y671,IF($J$1="August",Y671,IF($J$1="September",Y672,IF($J$1="October",Y673,IF($J$1="November",Y674,IF($J$1="December",Y675)))))))))))))</f>
        <v>20000</v>
      </c>
      <c r="I672" s="387" t="s">
        <v>63</v>
      </c>
      <c r="J672" s="388"/>
      <c r="K672" s="57">
        <f>K670-K671</f>
        <v>47208.333333333336</v>
      </c>
      <c r="L672" s="58"/>
      <c r="N672" s="71"/>
      <c r="O672" s="72" t="s">
        <v>56</v>
      </c>
      <c r="P672" s="72"/>
      <c r="Q672" s="72"/>
      <c r="R672" s="72" t="str">
        <f t="shared" si="140"/>
        <v/>
      </c>
      <c r="S672" s="63"/>
      <c r="T672" s="72" t="s">
        <v>56</v>
      </c>
      <c r="U672" s="105" t="str">
        <f>Y671</f>
        <v/>
      </c>
      <c r="V672" s="74"/>
      <c r="W672" s="105" t="str">
        <f t="shared" si="141"/>
        <v/>
      </c>
      <c r="X672" s="74"/>
      <c r="Y672" s="105" t="str">
        <f t="shared" si="142"/>
        <v/>
      </c>
      <c r="Z672" s="76"/>
    </row>
    <row r="673" spans="1:27" s="29" customFormat="1" ht="21" customHeight="1" x14ac:dyDescent="0.2">
      <c r="A673" s="30"/>
      <c r="K673" s="107"/>
      <c r="L673" s="46"/>
      <c r="N673" s="71"/>
      <c r="O673" s="72" t="s">
        <v>52</v>
      </c>
      <c r="P673" s="72"/>
      <c r="Q673" s="72"/>
      <c r="R673" s="72" t="str">
        <f t="shared" si="140"/>
        <v/>
      </c>
      <c r="S673" s="63"/>
      <c r="T673" s="72" t="s">
        <v>52</v>
      </c>
      <c r="U673" s="105" t="str">
        <f>Y672</f>
        <v/>
      </c>
      <c r="V673" s="74"/>
      <c r="W673" s="105" t="str">
        <f t="shared" si="141"/>
        <v/>
      </c>
      <c r="X673" s="74"/>
      <c r="Y673" s="105" t="str">
        <f t="shared" si="142"/>
        <v/>
      </c>
      <c r="Z673" s="76"/>
    </row>
    <row r="674" spans="1:27" s="29" customFormat="1" ht="21" customHeight="1" x14ac:dyDescent="0.2">
      <c r="A674" s="30"/>
      <c r="B674" s="394" t="s">
        <v>85</v>
      </c>
      <c r="C674" s="394"/>
      <c r="D674" s="394"/>
      <c r="E674" s="394"/>
      <c r="F674" s="394"/>
      <c r="G674" s="394"/>
      <c r="H674" s="394"/>
      <c r="I674" s="394"/>
      <c r="J674" s="394"/>
      <c r="K674" s="394"/>
      <c r="L674" s="46"/>
      <c r="N674" s="71"/>
      <c r="O674" s="72" t="s">
        <v>57</v>
      </c>
      <c r="P674" s="72"/>
      <c r="Q674" s="72"/>
      <c r="R674" s="72" t="str">
        <f t="shared" si="140"/>
        <v/>
      </c>
      <c r="S674" s="63"/>
      <c r="T674" s="72" t="s">
        <v>57</v>
      </c>
      <c r="U674" s="105" t="str">
        <f>Y673</f>
        <v/>
      </c>
      <c r="V674" s="74"/>
      <c r="W674" s="105" t="str">
        <f t="shared" si="141"/>
        <v/>
      </c>
      <c r="X674" s="74"/>
      <c r="Y674" s="105" t="str">
        <f t="shared" si="142"/>
        <v/>
      </c>
      <c r="Z674" s="76"/>
    </row>
    <row r="675" spans="1:27" s="29" customFormat="1" ht="21" customHeight="1" x14ac:dyDescent="0.2">
      <c r="A675" s="30"/>
      <c r="B675" s="394"/>
      <c r="C675" s="394"/>
      <c r="D675" s="394"/>
      <c r="E675" s="394"/>
      <c r="F675" s="394"/>
      <c r="G675" s="394"/>
      <c r="H675" s="394"/>
      <c r="I675" s="394"/>
      <c r="J675" s="394"/>
      <c r="K675" s="394"/>
      <c r="L675" s="46"/>
      <c r="N675" s="71"/>
      <c r="O675" s="72" t="s">
        <v>58</v>
      </c>
      <c r="P675" s="72"/>
      <c r="Q675" s="72"/>
      <c r="R675" s="72" t="str">
        <f t="shared" si="140"/>
        <v/>
      </c>
      <c r="S675" s="63"/>
      <c r="T675" s="72" t="s">
        <v>58</v>
      </c>
      <c r="U675" s="105" t="str">
        <f>Y674</f>
        <v/>
      </c>
      <c r="V675" s="74"/>
      <c r="W675" s="105" t="str">
        <f t="shared" si="141"/>
        <v/>
      </c>
      <c r="X675" s="74"/>
      <c r="Y675" s="105" t="str">
        <f t="shared" si="142"/>
        <v/>
      </c>
      <c r="Z675" s="76"/>
    </row>
    <row r="676" spans="1:27" s="29" customFormat="1" ht="21" customHeight="1" thickBot="1" x14ac:dyDescent="0.25">
      <c r="A676" s="59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1"/>
      <c r="N676" s="77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9"/>
    </row>
    <row r="677" spans="1:27" s="29" customFormat="1" ht="21" customHeight="1" thickBot="1" x14ac:dyDescent="0.25"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spans="1:27" s="29" customFormat="1" ht="21" customHeight="1" x14ac:dyDescent="0.2">
      <c r="A678" s="396" t="s">
        <v>40</v>
      </c>
      <c r="B678" s="397"/>
      <c r="C678" s="397"/>
      <c r="D678" s="397"/>
      <c r="E678" s="397"/>
      <c r="F678" s="397"/>
      <c r="G678" s="397"/>
      <c r="H678" s="397"/>
      <c r="I678" s="397"/>
      <c r="J678" s="397"/>
      <c r="K678" s="397"/>
      <c r="L678" s="398"/>
      <c r="M678" s="28"/>
      <c r="N678" s="64"/>
      <c r="O678" s="403" t="s">
        <v>42</v>
      </c>
      <c r="P678" s="404"/>
      <c r="Q678" s="404"/>
      <c r="R678" s="405"/>
      <c r="S678" s="65"/>
      <c r="T678" s="403" t="s">
        <v>43</v>
      </c>
      <c r="U678" s="404"/>
      <c r="V678" s="404"/>
      <c r="W678" s="404"/>
      <c r="X678" s="404"/>
      <c r="Y678" s="405"/>
      <c r="Z678" s="66"/>
      <c r="AA678" s="28"/>
    </row>
    <row r="679" spans="1:27" s="29" customFormat="1" ht="21" customHeight="1" x14ac:dyDescent="0.2">
      <c r="A679" s="30"/>
      <c r="C679" s="402" t="s">
        <v>83</v>
      </c>
      <c r="D679" s="402"/>
      <c r="E679" s="402"/>
      <c r="F679" s="402"/>
      <c r="G679" s="31" t="str">
        <f>$J$1</f>
        <v>June</v>
      </c>
      <c r="H679" s="409">
        <f>$K$1</f>
        <v>2023</v>
      </c>
      <c r="I679" s="409"/>
      <c r="K679" s="32"/>
      <c r="L679" s="33"/>
      <c r="M679" s="32"/>
      <c r="N679" s="67"/>
      <c r="O679" s="68" t="s">
        <v>53</v>
      </c>
      <c r="P679" s="68" t="s">
        <v>7</v>
      </c>
      <c r="Q679" s="68" t="s">
        <v>6</v>
      </c>
      <c r="R679" s="68" t="s">
        <v>54</v>
      </c>
      <c r="S679" s="69"/>
      <c r="T679" s="68" t="s">
        <v>53</v>
      </c>
      <c r="U679" s="68" t="s">
        <v>55</v>
      </c>
      <c r="V679" s="68" t="s">
        <v>20</v>
      </c>
      <c r="W679" s="68" t="s">
        <v>19</v>
      </c>
      <c r="X679" s="68" t="s">
        <v>21</v>
      </c>
      <c r="Y679" s="68" t="s">
        <v>59</v>
      </c>
      <c r="Z679" s="70"/>
      <c r="AA679" s="32"/>
    </row>
    <row r="680" spans="1:27" s="29" customFormat="1" ht="21" customHeight="1" x14ac:dyDescent="0.2">
      <c r="A680" s="30"/>
      <c r="D680" s="35"/>
      <c r="E680" s="35"/>
      <c r="F680" s="35"/>
      <c r="G680" s="35"/>
      <c r="H680" s="35"/>
      <c r="J680" s="36" t="s">
        <v>1</v>
      </c>
      <c r="K680" s="37"/>
      <c r="L680" s="38"/>
      <c r="N680" s="71"/>
      <c r="O680" s="72" t="s">
        <v>45</v>
      </c>
      <c r="P680" s="72"/>
      <c r="Q680" s="72"/>
      <c r="R680" s="72"/>
      <c r="S680" s="73"/>
      <c r="T680" s="72" t="s">
        <v>45</v>
      </c>
      <c r="U680" s="74"/>
      <c r="V680" s="74"/>
      <c r="W680" s="74">
        <f>V680+U680</f>
        <v>0</v>
      </c>
      <c r="X680" s="74"/>
      <c r="Y680" s="74">
        <f>W680-X680</f>
        <v>0</v>
      </c>
      <c r="Z680" s="70"/>
    </row>
    <row r="681" spans="1:27" s="29" customFormat="1" ht="21" customHeight="1" x14ac:dyDescent="0.2">
      <c r="A681" s="30"/>
      <c r="B681" s="29" t="s">
        <v>0</v>
      </c>
      <c r="C681" s="40" t="s">
        <v>201</v>
      </c>
      <c r="H681" s="41"/>
      <c r="I681" s="35"/>
      <c r="L681" s="42"/>
      <c r="M681" s="28"/>
      <c r="N681" s="75"/>
      <c r="O681" s="72" t="s">
        <v>71</v>
      </c>
      <c r="P681" s="72"/>
      <c r="Q681" s="72"/>
      <c r="R681" s="72" t="str">
        <f t="shared" ref="R681:R688" si="143">IF(Q681="","",R680-Q681)</f>
        <v/>
      </c>
      <c r="S681" s="63"/>
      <c r="T681" s="72" t="s">
        <v>71</v>
      </c>
      <c r="U681" s="105">
        <f>Y680</f>
        <v>0</v>
      </c>
      <c r="V681" s="74"/>
      <c r="W681" s="105">
        <f>IF(U681="","",U681+V681)</f>
        <v>0</v>
      </c>
      <c r="X681" s="74"/>
      <c r="Y681" s="105">
        <f>IF(W681="","",W681-X681)</f>
        <v>0</v>
      </c>
      <c r="Z681" s="76"/>
      <c r="AA681" s="28"/>
    </row>
    <row r="682" spans="1:27" s="29" customFormat="1" ht="21" customHeight="1" x14ac:dyDescent="0.2">
      <c r="A682" s="30"/>
      <c r="B682" s="44" t="s">
        <v>41</v>
      </c>
      <c r="C682" s="45"/>
      <c r="F682" s="391" t="s">
        <v>43</v>
      </c>
      <c r="G682" s="391"/>
      <c r="I682" s="391" t="s">
        <v>44</v>
      </c>
      <c r="J682" s="391"/>
      <c r="K682" s="391"/>
      <c r="L682" s="46"/>
      <c r="N682" s="71"/>
      <c r="O682" s="72" t="s">
        <v>46</v>
      </c>
      <c r="P682" s="72"/>
      <c r="Q682" s="72"/>
      <c r="R682" s="72" t="str">
        <f t="shared" si="143"/>
        <v/>
      </c>
      <c r="S682" s="63"/>
      <c r="T682" s="72" t="s">
        <v>46</v>
      </c>
      <c r="U682" s="105">
        <f>Y681</f>
        <v>0</v>
      </c>
      <c r="V682" s="74">
        <v>2000</v>
      </c>
      <c r="W682" s="105">
        <f t="shared" ref="W682:W691" si="144">IF(U682="","",U682+V682)</f>
        <v>2000</v>
      </c>
      <c r="X682" s="74"/>
      <c r="Y682" s="105">
        <f t="shared" ref="Y682:Y691" si="145">IF(W682="","",W682-X682)</f>
        <v>2000</v>
      </c>
      <c r="Z682" s="76"/>
    </row>
    <row r="683" spans="1:27" s="29" customFormat="1" ht="21" customHeight="1" x14ac:dyDescent="0.2">
      <c r="A683" s="30"/>
      <c r="H683" s="47"/>
      <c r="L683" s="34"/>
      <c r="N683" s="71"/>
      <c r="O683" s="72" t="s">
        <v>47</v>
      </c>
      <c r="P683" s="72"/>
      <c r="Q683" s="72"/>
      <c r="R683" s="72" t="str">
        <f t="shared" si="143"/>
        <v/>
      </c>
      <c r="S683" s="63"/>
      <c r="T683" s="72" t="s">
        <v>47</v>
      </c>
      <c r="U683" s="105">
        <f>IF($J$1="March","",Y682)</f>
        <v>2000</v>
      </c>
      <c r="V683" s="74"/>
      <c r="W683" s="105">
        <f t="shared" si="144"/>
        <v>2000</v>
      </c>
      <c r="X683" s="74">
        <v>2000</v>
      </c>
      <c r="Y683" s="105">
        <f t="shared" si="145"/>
        <v>0</v>
      </c>
      <c r="Z683" s="76"/>
    </row>
    <row r="684" spans="1:27" s="29" customFormat="1" ht="21" customHeight="1" x14ac:dyDescent="0.2">
      <c r="A684" s="30"/>
      <c r="B684" s="389" t="s">
        <v>42</v>
      </c>
      <c r="C684" s="390"/>
      <c r="F684" s="48" t="s">
        <v>64</v>
      </c>
      <c r="G684" s="93">
        <f>IF($J$1="January",U680,IF($J$1="February",U681,IF($J$1="March",U682,IF($J$1="April",U683,IF($J$1="May",U684,IF($J$1="June",U685,IF($J$1="July",U686,IF($J$1="August",U687,IF($J$1="August",U687,IF($J$1="September",U688,IF($J$1="October",U689,IF($J$1="November",U690,IF($J$1="December",U691)))))))))))))</f>
        <v>0</v>
      </c>
      <c r="H684" s="47"/>
      <c r="I684" s="49">
        <f>IF(C688&gt;0,$K$2,C686)</f>
        <v>30</v>
      </c>
      <c r="J684" s="50" t="s">
        <v>61</v>
      </c>
      <c r="K684" s="51">
        <f>K680/$K$2*I684</f>
        <v>0</v>
      </c>
      <c r="L684" s="52"/>
      <c r="N684" s="71"/>
      <c r="O684" s="72" t="s">
        <v>48</v>
      </c>
      <c r="P684" s="72"/>
      <c r="Q684" s="72"/>
      <c r="R684" s="72" t="str">
        <f t="shared" si="143"/>
        <v/>
      </c>
      <c r="S684" s="63"/>
      <c r="T684" s="72" t="s">
        <v>48</v>
      </c>
      <c r="U684" s="105">
        <f>Y683</f>
        <v>0</v>
      </c>
      <c r="V684" s="74"/>
      <c r="W684" s="105">
        <f t="shared" si="144"/>
        <v>0</v>
      </c>
      <c r="X684" s="74"/>
      <c r="Y684" s="105">
        <f t="shared" si="145"/>
        <v>0</v>
      </c>
      <c r="Z684" s="76"/>
    </row>
    <row r="685" spans="1:27" s="29" customFormat="1" ht="21" customHeight="1" x14ac:dyDescent="0.2">
      <c r="A685" s="30"/>
      <c r="B685" s="39"/>
      <c r="C685" s="39"/>
      <c r="F685" s="48" t="s">
        <v>20</v>
      </c>
      <c r="G685" s="93">
        <f>IF($J$1="January",V680,IF($J$1="February",V681,IF($J$1="March",V682,IF($J$1="April",V683,IF($J$1="May",V684,IF($J$1="June",V685,IF($J$1="July",V686,IF($J$1="August",V687,IF($J$1="August",V687,IF($J$1="September",V688,IF($J$1="October",V689,IF($J$1="November",V690,IF($J$1="December",V691)))))))))))))</f>
        <v>0</v>
      </c>
      <c r="H685" s="47"/>
      <c r="I685" s="84"/>
      <c r="J685" s="50" t="s">
        <v>62</v>
      </c>
      <c r="K685" s="53">
        <f>K680/$K$2/8*I685</f>
        <v>0</v>
      </c>
      <c r="L685" s="54"/>
      <c r="N685" s="71"/>
      <c r="O685" s="72" t="s">
        <v>49</v>
      </c>
      <c r="P685" s="72"/>
      <c r="Q685" s="72"/>
      <c r="R685" s="72" t="str">
        <f t="shared" si="143"/>
        <v/>
      </c>
      <c r="S685" s="63"/>
      <c r="T685" s="72" t="s">
        <v>49</v>
      </c>
      <c r="U685" s="105">
        <f>Y684</f>
        <v>0</v>
      </c>
      <c r="V685" s="74"/>
      <c r="W685" s="105">
        <f t="shared" si="144"/>
        <v>0</v>
      </c>
      <c r="X685" s="74"/>
      <c r="Y685" s="105">
        <f t="shared" si="145"/>
        <v>0</v>
      </c>
      <c r="Z685" s="76"/>
    </row>
    <row r="686" spans="1:27" s="29" customFormat="1" ht="21" customHeight="1" x14ac:dyDescent="0.2">
      <c r="A686" s="30"/>
      <c r="B686" s="48" t="s">
        <v>7</v>
      </c>
      <c r="C686" s="39">
        <f>IF($J$1="January",P680,IF($J$1="February",P681,IF($J$1="March",P682,IF($J$1="April",P683,IF($J$1="May",P684,IF($J$1="June",P685,IF($J$1="July",P686,IF($J$1="August",P687,IF($J$1="August",P687,IF($J$1="September",P688,IF($J$1="October",P689,IF($J$1="November",P690,IF($J$1="December",P691)))))))))))))</f>
        <v>0</v>
      </c>
      <c r="F686" s="48" t="s">
        <v>65</v>
      </c>
      <c r="G686" s="93">
        <f>IF($J$1="January",W680,IF($J$1="February",W681,IF($J$1="March",W682,IF($J$1="April",W683,IF($J$1="May",W684,IF($J$1="June",W685,IF($J$1="July",W686,IF($J$1="August",W687,IF($J$1="August",W687,IF($J$1="September",W688,IF($J$1="October",W689,IF($J$1="November",W690,IF($J$1="December",W691)))))))))))))</f>
        <v>0</v>
      </c>
      <c r="H686" s="47"/>
      <c r="I686" s="392" t="s">
        <v>69</v>
      </c>
      <c r="J686" s="393"/>
      <c r="K686" s="53">
        <f>K684+K685</f>
        <v>0</v>
      </c>
      <c r="L686" s="54"/>
      <c r="N686" s="71"/>
      <c r="O686" s="72" t="s">
        <v>50</v>
      </c>
      <c r="P686" s="72"/>
      <c r="Q686" s="72"/>
      <c r="R686" s="72" t="str">
        <f t="shared" si="143"/>
        <v/>
      </c>
      <c r="S686" s="63"/>
      <c r="T686" s="72" t="s">
        <v>50</v>
      </c>
      <c r="U686" s="105"/>
      <c r="V686" s="74"/>
      <c r="W686" s="105" t="str">
        <f t="shared" si="144"/>
        <v/>
      </c>
      <c r="X686" s="74"/>
      <c r="Y686" s="105" t="str">
        <f t="shared" si="145"/>
        <v/>
      </c>
      <c r="Z686" s="76"/>
    </row>
    <row r="687" spans="1:27" s="29" customFormat="1" ht="21" customHeight="1" x14ac:dyDescent="0.2">
      <c r="A687" s="30"/>
      <c r="B687" s="48" t="s">
        <v>6</v>
      </c>
      <c r="C687" s="39">
        <f>IF($J$1="January",Q680,IF($J$1="February",Q681,IF($J$1="March",Q682,IF($J$1="April",Q683,IF($J$1="May",Q684,IF($J$1="June",Q685,IF($J$1="July",Q686,IF($J$1="August",Q687,IF($J$1="August",Q687,IF($J$1="September",Q688,IF($J$1="October",Q689,IF($J$1="November",Q690,IF($J$1="December",Q691)))))))))))))</f>
        <v>0</v>
      </c>
      <c r="F687" s="48" t="s">
        <v>21</v>
      </c>
      <c r="G687" s="93">
        <f>IF($J$1="January",X680,IF($J$1="February",X681,IF($J$1="March",X682,IF($J$1="April",X683,IF($J$1="May",X684,IF($J$1="June",X685,IF($J$1="July",X686,IF($J$1="August",X687,IF($J$1="August",X687,IF($J$1="September",X688,IF($J$1="October",X689,IF($J$1="November",X690,IF($J$1="December",X691)))))))))))))</f>
        <v>0</v>
      </c>
      <c r="H687" s="47"/>
      <c r="I687" s="392" t="s">
        <v>70</v>
      </c>
      <c r="J687" s="393"/>
      <c r="K687" s="43">
        <f>G687</f>
        <v>0</v>
      </c>
      <c r="L687" s="55"/>
      <c r="N687" s="71"/>
      <c r="O687" s="72" t="s">
        <v>51</v>
      </c>
      <c r="P687" s="72"/>
      <c r="Q687" s="72"/>
      <c r="R687" s="72" t="str">
        <f t="shared" si="143"/>
        <v/>
      </c>
      <c r="S687" s="63"/>
      <c r="T687" s="72" t="s">
        <v>51</v>
      </c>
      <c r="U687" s="105">
        <v>0</v>
      </c>
      <c r="V687" s="74"/>
      <c r="W687" s="105">
        <f t="shared" si="144"/>
        <v>0</v>
      </c>
      <c r="X687" s="74"/>
      <c r="Y687" s="105">
        <f t="shared" si="145"/>
        <v>0</v>
      </c>
      <c r="Z687" s="76"/>
    </row>
    <row r="688" spans="1:27" s="29" customFormat="1" ht="21" customHeight="1" x14ac:dyDescent="0.2">
      <c r="A688" s="30"/>
      <c r="B688" s="56" t="s">
        <v>68</v>
      </c>
      <c r="C688" s="39" t="str">
        <f>IF($J$1="January",R680,IF($J$1="February",R681,IF($J$1="March",R682,IF($J$1="April",R683,IF($J$1="May",R684,IF($J$1="June",R685,IF($J$1="July",R686,IF($J$1="August",R687,IF($J$1="August",R687,IF($J$1="September",R688,IF($J$1="October",R689,IF($J$1="November",R690,IF($J$1="December",R691)))))))))))))</f>
        <v/>
      </c>
      <c r="F688" s="48" t="s">
        <v>67</v>
      </c>
      <c r="G688" s="93">
        <f>IF($J$1="January",Y680,IF($J$1="February",Y681,IF($J$1="March",Y682,IF($J$1="April",Y683,IF($J$1="May",Y684,IF($J$1="June",Y685,IF($J$1="July",Y686,IF($J$1="August",Y687,IF($J$1="August",Y687,IF($J$1="September",Y688,IF($J$1="October",Y689,IF($J$1="November",Y690,IF($J$1="December",Y691)))))))))))))</f>
        <v>0</v>
      </c>
      <c r="I688" s="387" t="s">
        <v>63</v>
      </c>
      <c r="J688" s="388"/>
      <c r="K688" s="57"/>
      <c r="L688" s="58"/>
      <c r="N688" s="71"/>
      <c r="O688" s="72" t="s">
        <v>56</v>
      </c>
      <c r="P688" s="72"/>
      <c r="Q688" s="72"/>
      <c r="R688" s="72" t="str">
        <f t="shared" si="143"/>
        <v/>
      </c>
      <c r="S688" s="63"/>
      <c r="T688" s="72" t="s">
        <v>56</v>
      </c>
      <c r="U688" s="105">
        <f>IF($J$1="August","",Y687)</f>
        <v>0</v>
      </c>
      <c r="V688" s="74"/>
      <c r="W688" s="105">
        <f t="shared" si="144"/>
        <v>0</v>
      </c>
      <c r="X688" s="74"/>
      <c r="Y688" s="105">
        <f t="shared" si="145"/>
        <v>0</v>
      </c>
      <c r="Z688" s="76"/>
    </row>
    <row r="689" spans="1:27" s="29" customFormat="1" ht="21" customHeight="1" x14ac:dyDescent="0.2">
      <c r="A689" s="30"/>
      <c r="I689" s="445"/>
      <c r="J689" s="445"/>
      <c r="L689" s="46"/>
      <c r="N689" s="71"/>
      <c r="O689" s="72" t="s">
        <v>52</v>
      </c>
      <c r="P689" s="72"/>
      <c r="Q689" s="72"/>
      <c r="R689" s="72"/>
      <c r="S689" s="63"/>
      <c r="T689" s="72" t="s">
        <v>52</v>
      </c>
      <c r="U689" s="105">
        <f>IF($J$1="September","",Y688)</f>
        <v>0</v>
      </c>
      <c r="V689" s="74"/>
      <c r="W689" s="105">
        <f t="shared" si="144"/>
        <v>0</v>
      </c>
      <c r="X689" s="74"/>
      <c r="Y689" s="105">
        <f t="shared" si="145"/>
        <v>0</v>
      </c>
      <c r="Z689" s="76"/>
    </row>
    <row r="690" spans="1:27" s="29" customFormat="1" ht="21" customHeight="1" x14ac:dyDescent="0.2">
      <c r="A690" s="30"/>
      <c r="B690" s="394" t="s">
        <v>85</v>
      </c>
      <c r="C690" s="394"/>
      <c r="D690" s="394"/>
      <c r="E690" s="394"/>
      <c r="F690" s="394"/>
      <c r="G690" s="394"/>
      <c r="H690" s="394"/>
      <c r="I690" s="394"/>
      <c r="J690" s="394"/>
      <c r="K690" s="394"/>
      <c r="L690" s="46"/>
      <c r="N690" s="71"/>
      <c r="O690" s="72" t="s">
        <v>57</v>
      </c>
      <c r="P690" s="72"/>
      <c r="Q690" s="72"/>
      <c r="R690" s="72"/>
      <c r="S690" s="63"/>
      <c r="T690" s="72" t="s">
        <v>57</v>
      </c>
      <c r="U690" s="105">
        <f>IF($J$1="October","",Y689)</f>
        <v>0</v>
      </c>
      <c r="V690" s="74"/>
      <c r="W690" s="105">
        <f t="shared" si="144"/>
        <v>0</v>
      </c>
      <c r="X690" s="74"/>
      <c r="Y690" s="105">
        <f t="shared" si="145"/>
        <v>0</v>
      </c>
      <c r="Z690" s="76"/>
    </row>
    <row r="691" spans="1:27" s="29" customFormat="1" ht="21" customHeight="1" x14ac:dyDescent="0.2">
      <c r="A691" s="30"/>
      <c r="B691" s="394"/>
      <c r="C691" s="394"/>
      <c r="D691" s="394"/>
      <c r="E691" s="394"/>
      <c r="F691" s="394"/>
      <c r="G691" s="394"/>
      <c r="H691" s="394"/>
      <c r="I691" s="394"/>
      <c r="J691" s="394"/>
      <c r="K691" s="394"/>
      <c r="L691" s="46"/>
      <c r="N691" s="71"/>
      <c r="O691" s="72" t="s">
        <v>58</v>
      </c>
      <c r="P691" s="72"/>
      <c r="Q691" s="72"/>
      <c r="R691" s="72" t="str">
        <f t="shared" ref="R691" si="146">IF(Q691="","",R690-Q691)</f>
        <v/>
      </c>
      <c r="S691" s="63"/>
      <c r="T691" s="72" t="s">
        <v>58</v>
      </c>
      <c r="U691" s="105">
        <f>IF($J$1="November","",Y690)</f>
        <v>0</v>
      </c>
      <c r="V691" s="74"/>
      <c r="W691" s="105">
        <f t="shared" si="144"/>
        <v>0</v>
      </c>
      <c r="X691" s="74"/>
      <c r="Y691" s="105">
        <f t="shared" si="145"/>
        <v>0</v>
      </c>
      <c r="Z691" s="76"/>
    </row>
    <row r="692" spans="1:27" s="29" customFormat="1" ht="21" customHeight="1" thickBot="1" x14ac:dyDescent="0.25">
      <c r="A692" s="59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1"/>
      <c r="N692" s="77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9"/>
    </row>
    <row r="693" spans="1:27" s="29" customFormat="1" ht="21" customHeight="1" thickBot="1" x14ac:dyDescent="0.25">
      <c r="A693" s="30"/>
      <c r="L693" s="46"/>
      <c r="N693" s="71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85"/>
    </row>
    <row r="694" spans="1:27" s="29" customFormat="1" ht="21" customHeight="1" x14ac:dyDescent="0.2">
      <c r="A694" s="413" t="s">
        <v>40</v>
      </c>
      <c r="B694" s="414"/>
      <c r="C694" s="414"/>
      <c r="D694" s="414"/>
      <c r="E694" s="414"/>
      <c r="F694" s="414"/>
      <c r="G694" s="414"/>
      <c r="H694" s="414"/>
      <c r="I694" s="414"/>
      <c r="J694" s="414"/>
      <c r="K694" s="414"/>
      <c r="L694" s="415"/>
      <c r="M694" s="28"/>
      <c r="N694" s="64"/>
      <c r="O694" s="403" t="s">
        <v>42</v>
      </c>
      <c r="P694" s="404"/>
      <c r="Q694" s="404"/>
      <c r="R694" s="405"/>
      <c r="S694" s="65"/>
      <c r="T694" s="403" t="s">
        <v>43</v>
      </c>
      <c r="U694" s="404"/>
      <c r="V694" s="404"/>
      <c r="W694" s="404"/>
      <c r="X694" s="404"/>
      <c r="Y694" s="405"/>
      <c r="Z694" s="66"/>
      <c r="AA694" s="28"/>
    </row>
    <row r="695" spans="1:27" s="29" customFormat="1" ht="21" customHeight="1" x14ac:dyDescent="0.2">
      <c r="A695" s="30"/>
      <c r="C695" s="402" t="s">
        <v>83</v>
      </c>
      <c r="D695" s="402"/>
      <c r="E695" s="402"/>
      <c r="F695" s="402"/>
      <c r="G695" s="31" t="str">
        <f>$J$1</f>
        <v>June</v>
      </c>
      <c r="H695" s="409">
        <f>$K$1</f>
        <v>2023</v>
      </c>
      <c r="I695" s="409"/>
      <c r="K695" s="32"/>
      <c r="L695" s="33"/>
      <c r="M695" s="32"/>
      <c r="N695" s="67"/>
      <c r="O695" s="68" t="s">
        <v>53</v>
      </c>
      <c r="P695" s="68" t="s">
        <v>7</v>
      </c>
      <c r="Q695" s="68" t="s">
        <v>6</v>
      </c>
      <c r="R695" s="68" t="s">
        <v>54</v>
      </c>
      <c r="S695" s="69"/>
      <c r="T695" s="68" t="s">
        <v>53</v>
      </c>
      <c r="U695" s="68" t="s">
        <v>55</v>
      </c>
      <c r="V695" s="68" t="s">
        <v>20</v>
      </c>
      <c r="W695" s="68" t="s">
        <v>19</v>
      </c>
      <c r="X695" s="68" t="s">
        <v>21</v>
      </c>
      <c r="Y695" s="68" t="s">
        <v>59</v>
      </c>
      <c r="Z695" s="70"/>
      <c r="AA695" s="32"/>
    </row>
    <row r="696" spans="1:27" s="29" customFormat="1" ht="21" customHeight="1" x14ac:dyDescent="0.2">
      <c r="A696" s="30"/>
      <c r="D696" s="35"/>
      <c r="E696" s="35"/>
      <c r="F696" s="35"/>
      <c r="G696" s="35"/>
      <c r="H696" s="35"/>
      <c r="J696" s="36" t="s">
        <v>1</v>
      </c>
      <c r="K696" s="37">
        <v>30000</v>
      </c>
      <c r="L696" s="38"/>
      <c r="N696" s="71"/>
      <c r="O696" s="72" t="s">
        <v>45</v>
      </c>
      <c r="P696" s="72"/>
      <c r="Q696" s="72"/>
      <c r="R696" s="72">
        <v>0</v>
      </c>
      <c r="S696" s="73"/>
      <c r="T696" s="72" t="s">
        <v>45</v>
      </c>
      <c r="U696" s="74"/>
      <c r="V696" s="74"/>
      <c r="W696" s="74">
        <f>V696+U696</f>
        <v>0</v>
      </c>
      <c r="X696" s="74"/>
      <c r="Y696" s="74">
        <f>W696-X696</f>
        <v>0</v>
      </c>
      <c r="Z696" s="70"/>
    </row>
    <row r="697" spans="1:27" s="29" customFormat="1" ht="21" customHeight="1" x14ac:dyDescent="0.2">
      <c r="A697" s="30"/>
      <c r="B697" s="29" t="s">
        <v>0</v>
      </c>
      <c r="C697" s="40" t="s">
        <v>223</v>
      </c>
      <c r="H697" s="41"/>
      <c r="I697" s="35"/>
      <c r="L697" s="42"/>
      <c r="M697" s="28"/>
      <c r="N697" s="75"/>
      <c r="O697" s="72" t="s">
        <v>71</v>
      </c>
      <c r="P697" s="72"/>
      <c r="Q697" s="72"/>
      <c r="R697" s="72">
        <v>0</v>
      </c>
      <c r="S697" s="63"/>
      <c r="T697" s="72" t="s">
        <v>71</v>
      </c>
      <c r="U697" s="105">
        <f>Y696</f>
        <v>0</v>
      </c>
      <c r="V697" s="74"/>
      <c r="W697" s="105">
        <f>IF(U697="","",U697+V697)</f>
        <v>0</v>
      </c>
      <c r="X697" s="74"/>
      <c r="Y697" s="105">
        <f>IF(W697="","",W697-X697)</f>
        <v>0</v>
      </c>
      <c r="Z697" s="76"/>
      <c r="AA697" s="28"/>
    </row>
    <row r="698" spans="1:27" s="29" customFormat="1" ht="21" customHeight="1" x14ac:dyDescent="0.2">
      <c r="A698" s="30"/>
      <c r="B698" s="44" t="s">
        <v>41</v>
      </c>
      <c r="C698" s="45"/>
      <c r="F698" s="391" t="s">
        <v>43</v>
      </c>
      <c r="G698" s="391"/>
      <c r="I698" s="391" t="s">
        <v>44</v>
      </c>
      <c r="J698" s="391"/>
      <c r="K698" s="391"/>
      <c r="L698" s="46"/>
      <c r="N698" s="71"/>
      <c r="O698" s="72" t="s">
        <v>46</v>
      </c>
      <c r="P698" s="72"/>
      <c r="Q698" s="72"/>
      <c r="R698" s="72">
        <v>0</v>
      </c>
      <c r="S698" s="63"/>
      <c r="T698" s="72" t="s">
        <v>46</v>
      </c>
      <c r="U698" s="105">
        <f>Y697</f>
        <v>0</v>
      </c>
      <c r="V698" s="74"/>
      <c r="W698" s="105">
        <f t="shared" ref="W698:W700" si="147">IF(U698="","",U698+V698)</f>
        <v>0</v>
      </c>
      <c r="X698" s="74"/>
      <c r="Y698" s="105">
        <f t="shared" ref="Y698:Y700" si="148">IF(W698="","",W698-X698)</f>
        <v>0</v>
      </c>
      <c r="Z698" s="76"/>
    </row>
    <row r="699" spans="1:27" s="29" customFormat="1" ht="21" customHeight="1" x14ac:dyDescent="0.2">
      <c r="A699" s="30"/>
      <c r="H699" s="47"/>
      <c r="L699" s="34"/>
      <c r="N699" s="71"/>
      <c r="O699" s="72" t="s">
        <v>47</v>
      </c>
      <c r="P699" s="72">
        <v>25</v>
      </c>
      <c r="Q699" s="72">
        <v>5</v>
      </c>
      <c r="R699" s="72">
        <v>0</v>
      </c>
      <c r="S699" s="63"/>
      <c r="T699" s="72" t="s">
        <v>47</v>
      </c>
      <c r="U699" s="105">
        <f>IF($J$1="March","",Y698)</f>
        <v>0</v>
      </c>
      <c r="V699" s="74">
        <v>28000</v>
      </c>
      <c r="W699" s="105">
        <f t="shared" si="147"/>
        <v>28000</v>
      </c>
      <c r="X699" s="74">
        <v>28000</v>
      </c>
      <c r="Y699" s="105">
        <f t="shared" si="148"/>
        <v>0</v>
      </c>
      <c r="Z699" s="76"/>
    </row>
    <row r="700" spans="1:27" s="29" customFormat="1" ht="21" customHeight="1" x14ac:dyDescent="0.2">
      <c r="A700" s="30"/>
      <c r="B700" s="389" t="s">
        <v>42</v>
      </c>
      <c r="C700" s="390"/>
      <c r="F700" s="48" t="s">
        <v>64</v>
      </c>
      <c r="G700" s="109">
        <f>IF($J$1="January",U696,IF($J$1="February",U697,IF($J$1="March",U698,IF($J$1="April",U699,IF($J$1="May",U700,IF($J$1="June",U701,IF($J$1="July",U702,IF($J$1="August",U703,IF($J$1="August",U703,IF($J$1="September",U704,IF($J$1="October",U705,IF($J$1="November",U706,IF($J$1="December",U707)))))))))))))</f>
        <v>0</v>
      </c>
      <c r="H700" s="47"/>
      <c r="I700" s="49">
        <f>IF(C704&gt;0,$K$2,C702)</f>
        <v>30</v>
      </c>
      <c r="J700" s="50" t="s">
        <v>61</v>
      </c>
      <c r="K700" s="51">
        <f>K696/$K$2*I700</f>
        <v>30000</v>
      </c>
      <c r="L700" s="52"/>
      <c r="N700" s="71"/>
      <c r="O700" s="72" t="s">
        <v>48</v>
      </c>
      <c r="P700" s="72">
        <v>28</v>
      </c>
      <c r="Q700" s="72">
        <v>3</v>
      </c>
      <c r="R700" s="72">
        <v>0</v>
      </c>
      <c r="S700" s="63"/>
      <c r="T700" s="72" t="s">
        <v>48</v>
      </c>
      <c r="U700" s="105">
        <f>Y699</f>
        <v>0</v>
      </c>
      <c r="V700" s="74">
        <v>2500</v>
      </c>
      <c r="W700" s="105">
        <f t="shared" si="147"/>
        <v>2500</v>
      </c>
      <c r="X700" s="74">
        <v>2500</v>
      </c>
      <c r="Y700" s="105">
        <f t="shared" si="148"/>
        <v>0</v>
      </c>
      <c r="Z700" s="76"/>
    </row>
    <row r="701" spans="1:27" s="29" customFormat="1" ht="21" customHeight="1" x14ac:dyDescent="0.2">
      <c r="A701" s="30"/>
      <c r="B701" s="39"/>
      <c r="C701" s="39"/>
      <c r="F701" s="48" t="s">
        <v>20</v>
      </c>
      <c r="G701" s="109">
        <f>IF($J$1="January",V696,IF($J$1="February",V697,IF($J$1="March",V698,IF($J$1="April",V699,IF($J$1="May",V700,IF($J$1="June",V701,IF($J$1="July",V702,IF($J$1="August",V703,IF($J$1="August",V703,IF($J$1="September",V704,IF($J$1="October",V705,IF($J$1="November",V706,IF($J$1="December",V707)))))))))))))</f>
        <v>25000</v>
      </c>
      <c r="H701" s="47"/>
      <c r="I701" s="84">
        <v>132</v>
      </c>
      <c r="J701" s="50" t="s">
        <v>62</v>
      </c>
      <c r="K701" s="53">
        <f>K696/$K$2/8*I701</f>
        <v>16500</v>
      </c>
      <c r="L701" s="54"/>
      <c r="N701" s="71"/>
      <c r="O701" s="72" t="s">
        <v>49</v>
      </c>
      <c r="P701" s="72">
        <v>30</v>
      </c>
      <c r="Q701" s="72">
        <v>0</v>
      </c>
      <c r="R701" s="72">
        <v>0</v>
      </c>
      <c r="S701" s="63"/>
      <c r="T701" s="72" t="s">
        <v>49</v>
      </c>
      <c r="U701" s="105">
        <f>Y700</f>
        <v>0</v>
      </c>
      <c r="V701" s="74">
        <v>25000</v>
      </c>
      <c r="W701" s="105">
        <f t="shared" ref="W701:W707" si="149">IF(U701="","",U701+V701)</f>
        <v>25000</v>
      </c>
      <c r="X701" s="175">
        <v>25000</v>
      </c>
      <c r="Y701" s="105">
        <f t="shared" ref="Y701:Y707" si="150">IF(W701="","",W701-X701)</f>
        <v>0</v>
      </c>
      <c r="Z701" s="76"/>
    </row>
    <row r="702" spans="1:27" s="29" customFormat="1" ht="21" customHeight="1" x14ac:dyDescent="0.2">
      <c r="A702" s="30"/>
      <c r="B702" s="48" t="s">
        <v>7</v>
      </c>
      <c r="C702" s="39">
        <f>IF($J$1="January",P696,IF($J$1="February",P697,IF($J$1="March",P698,IF($J$1="April",P699,IF($J$1="May",P700,IF($J$1="June",P701,IF($J$1="July",P702,IF($J$1="August",P703,IF($J$1="August",P703,IF($J$1="September",P704,IF($J$1="October",P705,IF($J$1="November",P706,IF($J$1="December",P707)))))))))))))</f>
        <v>30</v>
      </c>
      <c r="F702" s="48" t="s">
        <v>65</v>
      </c>
      <c r="G702" s="109">
        <f>IF($J$1="January",W696,IF($J$1="February",W697,IF($J$1="March",W698,IF($J$1="April",W699,IF($J$1="May",W700,IF($J$1="June",W701,IF($J$1="July",W702,IF($J$1="August",W703,IF($J$1="August",W703,IF($J$1="September",W704,IF($J$1="October",W705,IF($J$1="November",W706,IF($J$1="December",W707)))))))))))))</f>
        <v>25000</v>
      </c>
      <c r="H702" s="47"/>
      <c r="I702" s="392" t="s">
        <v>69</v>
      </c>
      <c r="J702" s="393"/>
      <c r="K702" s="53">
        <f>K700+K701</f>
        <v>46500</v>
      </c>
      <c r="L702" s="54"/>
      <c r="N702" s="71"/>
      <c r="O702" s="72" t="s">
        <v>50</v>
      </c>
      <c r="P702" s="72"/>
      <c r="Q702" s="72"/>
      <c r="R702" s="72">
        <v>0</v>
      </c>
      <c r="S702" s="63"/>
      <c r="T702" s="72" t="s">
        <v>50</v>
      </c>
      <c r="U702" s="105"/>
      <c r="V702" s="74"/>
      <c r="W702" s="105" t="str">
        <f t="shared" si="149"/>
        <v/>
      </c>
      <c r="X702" s="175"/>
      <c r="Y702" s="105" t="str">
        <f t="shared" si="150"/>
        <v/>
      </c>
      <c r="Z702" s="76"/>
    </row>
    <row r="703" spans="1:27" s="29" customFormat="1" ht="21" customHeight="1" x14ac:dyDescent="0.2">
      <c r="A703" s="30"/>
      <c r="B703" s="48" t="s">
        <v>6</v>
      </c>
      <c r="C703" s="39">
        <f>IF($J$1="January",Q696,IF($J$1="February",Q697,IF($J$1="March",Q698,IF($J$1="April",Q699,IF($J$1="May",Q700,IF($J$1="June",Q701,IF($J$1="July",Q702,IF($J$1="August",Q703,IF($J$1="August",Q703,IF($J$1="September",Q704,IF($J$1="October",Q705,IF($J$1="November",Q706,IF($J$1="December",Q707)))))))))))))</f>
        <v>0</v>
      </c>
      <c r="F703" s="48" t="s">
        <v>21</v>
      </c>
      <c r="G703" s="109">
        <f>IF($J$1="January",X696,IF($J$1="February",X697,IF($J$1="March",X698,IF($J$1="April",X699,IF($J$1="May",X700,IF($J$1="June",X701,IF($J$1="July",X702,IF($J$1="August",X703,IF($J$1="August",X703,IF($J$1="September",X704,IF($J$1="October",X705,IF($J$1="November",X706,IF($J$1="December",X707)))))))))))))</f>
        <v>25000</v>
      </c>
      <c r="H703" s="47"/>
      <c r="I703" s="392" t="s">
        <v>70</v>
      </c>
      <c r="J703" s="393"/>
      <c r="K703" s="43">
        <f>G703</f>
        <v>25000</v>
      </c>
      <c r="L703" s="55"/>
      <c r="N703" s="71"/>
      <c r="O703" s="72" t="s">
        <v>51</v>
      </c>
      <c r="P703" s="72"/>
      <c r="Q703" s="72"/>
      <c r="R703" s="72">
        <v>0</v>
      </c>
      <c r="S703" s="63"/>
      <c r="T703" s="72" t="s">
        <v>51</v>
      </c>
      <c r="U703" s="105"/>
      <c r="V703" s="74"/>
      <c r="W703" s="105" t="str">
        <f t="shared" si="149"/>
        <v/>
      </c>
      <c r="X703" s="175"/>
      <c r="Y703" s="105" t="str">
        <f t="shared" si="150"/>
        <v/>
      </c>
      <c r="Z703" s="76"/>
    </row>
    <row r="704" spans="1:27" s="29" customFormat="1" ht="21" customHeight="1" x14ac:dyDescent="0.2">
      <c r="A704" s="30"/>
      <c r="B704" s="56" t="s">
        <v>68</v>
      </c>
      <c r="C704" s="39">
        <f>IF($J$1="January",R696,IF($J$1="February",R697,IF($J$1="March",R698,IF($J$1="April",R699,IF($J$1="May",R700,IF($J$1="June",R701,IF($J$1="July",R702,IF($J$1="August",R703,IF($J$1="August",R703,IF($J$1="September",R704,IF($J$1="October",R705,IF($J$1="November",R706,IF($J$1="December",R707)))))))))))))</f>
        <v>0</v>
      </c>
      <c r="F704" s="48" t="s">
        <v>67</v>
      </c>
      <c r="G704" s="109">
        <f>IF($J$1="January",Y696,IF($J$1="February",Y697,IF($J$1="March",Y698,IF($J$1="April",Y699,IF($J$1="May",Y700,IF($J$1="June",Y701,IF($J$1="July",Y702,IF($J$1="August",Y703,IF($J$1="August",Y703,IF($J$1="September",Y704,IF($J$1="October",Y705,IF($J$1="November",Y706,IF($J$1="December",Y707)))))))))))))</f>
        <v>0</v>
      </c>
      <c r="I704" s="387" t="s">
        <v>63</v>
      </c>
      <c r="J704" s="388"/>
      <c r="K704" s="57">
        <f>K702-K703</f>
        <v>21500</v>
      </c>
      <c r="L704" s="58"/>
      <c r="N704" s="71"/>
      <c r="O704" s="72" t="s">
        <v>56</v>
      </c>
      <c r="P704" s="72"/>
      <c r="Q704" s="72"/>
      <c r="R704" s="72">
        <v>0</v>
      </c>
      <c r="S704" s="63"/>
      <c r="T704" s="72" t="s">
        <v>56</v>
      </c>
      <c r="U704" s="105"/>
      <c r="V704" s="74"/>
      <c r="W704" s="105" t="str">
        <f t="shared" si="149"/>
        <v/>
      </c>
      <c r="X704" s="74"/>
      <c r="Y704" s="105" t="str">
        <f t="shared" si="150"/>
        <v/>
      </c>
      <c r="Z704" s="76"/>
    </row>
    <row r="705" spans="1:26" s="29" customFormat="1" ht="21" customHeight="1" x14ac:dyDescent="0.2">
      <c r="A705" s="30"/>
      <c r="L705" s="46"/>
      <c r="N705" s="71"/>
      <c r="O705" s="72" t="s">
        <v>52</v>
      </c>
      <c r="P705" s="72"/>
      <c r="Q705" s="72"/>
      <c r="R705" s="72">
        <v>0</v>
      </c>
      <c r="S705" s="63"/>
      <c r="T705" s="72" t="s">
        <v>52</v>
      </c>
      <c r="U705" s="105"/>
      <c r="V705" s="74"/>
      <c r="W705" s="105" t="str">
        <f t="shared" si="149"/>
        <v/>
      </c>
      <c r="X705" s="74"/>
      <c r="Y705" s="105" t="str">
        <f t="shared" si="150"/>
        <v/>
      </c>
      <c r="Z705" s="76"/>
    </row>
    <row r="706" spans="1:26" s="29" customFormat="1" ht="21" customHeight="1" x14ac:dyDescent="0.2">
      <c r="A706" s="30"/>
      <c r="B706" s="394" t="s">
        <v>85</v>
      </c>
      <c r="C706" s="394"/>
      <c r="D706" s="394"/>
      <c r="E706" s="394"/>
      <c r="F706" s="394"/>
      <c r="G706" s="394"/>
      <c r="H706" s="394"/>
      <c r="I706" s="394"/>
      <c r="J706" s="394"/>
      <c r="K706" s="394"/>
      <c r="L706" s="46"/>
      <c r="N706" s="71"/>
      <c r="O706" s="72" t="s">
        <v>57</v>
      </c>
      <c r="P706" s="72"/>
      <c r="Q706" s="72"/>
      <c r="R706" s="72">
        <v>0</v>
      </c>
      <c r="S706" s="63"/>
      <c r="T706" s="72" t="s">
        <v>57</v>
      </c>
      <c r="U706" s="105"/>
      <c r="V706" s="74"/>
      <c r="W706" s="105" t="str">
        <f t="shared" si="149"/>
        <v/>
      </c>
      <c r="X706" s="74"/>
      <c r="Y706" s="105" t="str">
        <f t="shared" si="150"/>
        <v/>
      </c>
      <c r="Z706" s="76"/>
    </row>
    <row r="707" spans="1:26" s="29" customFormat="1" ht="21" customHeight="1" x14ac:dyDescent="0.2">
      <c r="A707" s="30"/>
      <c r="B707" s="394"/>
      <c r="C707" s="394"/>
      <c r="D707" s="394"/>
      <c r="E707" s="394"/>
      <c r="F707" s="394"/>
      <c r="G707" s="394"/>
      <c r="H707" s="394"/>
      <c r="I707" s="394"/>
      <c r="J707" s="394"/>
      <c r="K707" s="394"/>
      <c r="L707" s="46"/>
      <c r="N707" s="71"/>
      <c r="O707" s="72" t="s">
        <v>58</v>
      </c>
      <c r="P707" s="72"/>
      <c r="Q707" s="72"/>
      <c r="R707" s="72">
        <v>0</v>
      </c>
      <c r="S707" s="63"/>
      <c r="T707" s="72" t="s">
        <v>58</v>
      </c>
      <c r="U707" s="105"/>
      <c r="V707" s="74"/>
      <c r="W707" s="105" t="str">
        <f t="shared" si="149"/>
        <v/>
      </c>
      <c r="X707" s="74"/>
      <c r="Y707" s="105" t="str">
        <f t="shared" si="150"/>
        <v/>
      </c>
      <c r="Z707" s="76"/>
    </row>
    <row r="708" spans="1:26" s="29" customFormat="1" ht="21" customHeight="1" thickBot="1" x14ac:dyDescent="0.25">
      <c r="A708" s="59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1"/>
      <c r="N708" s="77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9"/>
    </row>
    <row r="709" spans="1:26" s="29" customFormat="1" ht="21" hidden="1" customHeight="1" thickBot="1" x14ac:dyDescent="0.25"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spans="1:26" s="29" customFormat="1" ht="21" hidden="1" customHeight="1" x14ac:dyDescent="0.2">
      <c r="A710" s="413" t="s">
        <v>40</v>
      </c>
      <c r="B710" s="414"/>
      <c r="C710" s="414"/>
      <c r="D710" s="414"/>
      <c r="E710" s="414"/>
      <c r="F710" s="414"/>
      <c r="G710" s="414"/>
      <c r="H710" s="414"/>
      <c r="I710" s="414"/>
      <c r="J710" s="414"/>
      <c r="K710" s="414"/>
      <c r="L710" s="415"/>
      <c r="M710" s="28"/>
      <c r="N710" s="64"/>
      <c r="O710" s="403" t="s">
        <v>42</v>
      </c>
      <c r="P710" s="404"/>
      <c r="Q710" s="404"/>
      <c r="R710" s="405"/>
      <c r="S710" s="65"/>
      <c r="T710" s="403" t="s">
        <v>43</v>
      </c>
      <c r="U710" s="404"/>
      <c r="V710" s="404"/>
      <c r="W710" s="404"/>
      <c r="X710" s="404"/>
      <c r="Y710" s="405"/>
      <c r="Z710" s="66"/>
    </row>
    <row r="711" spans="1:26" s="29" customFormat="1" ht="21" hidden="1" customHeight="1" x14ac:dyDescent="0.2">
      <c r="A711" s="30"/>
      <c r="C711" s="402" t="s">
        <v>83</v>
      </c>
      <c r="D711" s="402"/>
      <c r="E711" s="402"/>
      <c r="F711" s="402"/>
      <c r="G711" s="31" t="str">
        <f>$J$1</f>
        <v>June</v>
      </c>
      <c r="H711" s="409">
        <f>$K$1</f>
        <v>2023</v>
      </c>
      <c r="I711" s="409"/>
      <c r="K711" s="32"/>
      <c r="L711" s="33"/>
      <c r="M711" s="32"/>
      <c r="N711" s="67"/>
      <c r="O711" s="68" t="s">
        <v>53</v>
      </c>
      <c r="P711" s="68" t="s">
        <v>7</v>
      </c>
      <c r="Q711" s="68" t="s">
        <v>6</v>
      </c>
      <c r="R711" s="68" t="s">
        <v>54</v>
      </c>
      <c r="S711" s="69"/>
      <c r="T711" s="68" t="s">
        <v>53</v>
      </c>
      <c r="U711" s="68" t="s">
        <v>55</v>
      </c>
      <c r="V711" s="68" t="s">
        <v>20</v>
      </c>
      <c r="W711" s="68" t="s">
        <v>19</v>
      </c>
      <c r="X711" s="68" t="s">
        <v>21</v>
      </c>
      <c r="Y711" s="68" t="s">
        <v>59</v>
      </c>
      <c r="Z711" s="70"/>
    </row>
    <row r="712" spans="1:26" s="29" customFormat="1" ht="21" hidden="1" customHeight="1" x14ac:dyDescent="0.2">
      <c r="A712" s="30"/>
      <c r="D712" s="35"/>
      <c r="E712" s="35"/>
      <c r="F712" s="35"/>
      <c r="G712" s="35"/>
      <c r="H712" s="35"/>
      <c r="J712" s="36" t="s">
        <v>1</v>
      </c>
      <c r="K712" s="37">
        <v>1400</v>
      </c>
      <c r="L712" s="38"/>
      <c r="N712" s="71"/>
      <c r="O712" s="72" t="s">
        <v>45</v>
      </c>
      <c r="P712" s="72"/>
      <c r="Q712" s="72"/>
      <c r="R712" s="72">
        <f>15-Q712+3</f>
        <v>18</v>
      </c>
      <c r="S712" s="73"/>
      <c r="T712" s="72" t="s">
        <v>45</v>
      </c>
      <c r="U712" s="74"/>
      <c r="V712" s="74"/>
      <c r="W712" s="74"/>
      <c r="X712" s="74"/>
      <c r="Y712" s="74"/>
      <c r="Z712" s="70"/>
    </row>
    <row r="713" spans="1:26" s="29" customFormat="1" ht="21" hidden="1" customHeight="1" x14ac:dyDescent="0.2">
      <c r="A713" s="30"/>
      <c r="B713" s="29" t="s">
        <v>0</v>
      </c>
      <c r="C713" s="40" t="s">
        <v>140</v>
      </c>
      <c r="H713" s="41"/>
      <c r="I713" s="35"/>
      <c r="L713" s="42"/>
      <c r="M713" s="28"/>
      <c r="N713" s="75"/>
      <c r="O713" s="72" t="s">
        <v>71</v>
      </c>
      <c r="P713" s="72"/>
      <c r="Q713" s="72"/>
      <c r="R713" s="127">
        <f>R712-Q713+5</f>
        <v>23</v>
      </c>
      <c r="S713" s="63"/>
      <c r="T713" s="72" t="s">
        <v>71</v>
      </c>
      <c r="U713" s="105"/>
      <c r="V713" s="74"/>
      <c r="W713" s="105"/>
      <c r="X713" s="74"/>
      <c r="Y713" s="105"/>
      <c r="Z713" s="76"/>
    </row>
    <row r="714" spans="1:26" s="29" customFormat="1" ht="21" hidden="1" customHeight="1" x14ac:dyDescent="0.2">
      <c r="A714" s="30"/>
      <c r="B714" s="44" t="s">
        <v>41</v>
      </c>
      <c r="C714" s="40"/>
      <c r="F714" s="391" t="s">
        <v>43</v>
      </c>
      <c r="G714" s="391"/>
      <c r="I714" s="391" t="s">
        <v>44</v>
      </c>
      <c r="J714" s="391"/>
      <c r="K714" s="391"/>
      <c r="L714" s="46"/>
      <c r="N714" s="71"/>
      <c r="O714" s="72" t="s">
        <v>46</v>
      </c>
      <c r="P714" s="72"/>
      <c r="Q714" s="72"/>
      <c r="R714" s="127">
        <f>R713-Q714+5</f>
        <v>28</v>
      </c>
      <c r="S714" s="63"/>
      <c r="T714" s="72" t="s">
        <v>46</v>
      </c>
      <c r="U714" s="105"/>
      <c r="V714" s="74"/>
      <c r="W714" s="105"/>
      <c r="X714" s="74"/>
      <c r="Y714" s="105"/>
      <c r="Z714" s="76"/>
    </row>
    <row r="715" spans="1:26" s="29" customFormat="1" ht="21" hidden="1" customHeight="1" x14ac:dyDescent="0.2">
      <c r="A715" s="30"/>
      <c r="H715" s="47"/>
      <c r="L715" s="34"/>
      <c r="N715" s="71"/>
      <c r="O715" s="72" t="s">
        <v>47</v>
      </c>
      <c r="P715" s="72">
        <v>25</v>
      </c>
      <c r="Q715" s="72">
        <v>5</v>
      </c>
      <c r="R715" s="72">
        <v>0</v>
      </c>
      <c r="S715" s="63"/>
      <c r="T715" s="72" t="s">
        <v>47</v>
      </c>
      <c r="U715" s="105"/>
      <c r="V715" s="74"/>
      <c r="W715" s="105"/>
      <c r="X715" s="74"/>
      <c r="Y715" s="105"/>
      <c r="Z715" s="76"/>
    </row>
    <row r="716" spans="1:26" s="29" customFormat="1" ht="21" hidden="1" customHeight="1" x14ac:dyDescent="0.2">
      <c r="A716" s="30"/>
      <c r="B716" s="389" t="s">
        <v>42</v>
      </c>
      <c r="C716" s="390"/>
      <c r="F716" s="48" t="s">
        <v>64</v>
      </c>
      <c r="G716" s="43">
        <f>IF($J$1="January",U712,IF($J$1="February",U713,IF($J$1="March",U714,IF($J$1="April",U715,IF($J$1="May",U716,IF($J$1="June",U717,IF($J$1="July",U718,IF($J$1="August",U719,IF($J$1="August",U719,IF($J$1="September",U720,IF($J$1="October",U721,IF($J$1="November",U722,IF($J$1="December",U723)))))))))))))</f>
        <v>0</v>
      </c>
      <c r="H716" s="47"/>
      <c r="I716" s="49"/>
      <c r="J716" s="50" t="s">
        <v>61</v>
      </c>
      <c r="K716" s="51">
        <f>K712*I716</f>
        <v>0</v>
      </c>
      <c r="L716" s="52"/>
      <c r="N716" s="71"/>
      <c r="O716" s="72" t="s">
        <v>48</v>
      </c>
      <c r="P716" s="72">
        <v>28</v>
      </c>
      <c r="Q716" s="72">
        <v>3</v>
      </c>
      <c r="R716" s="72">
        <v>0</v>
      </c>
      <c r="S716" s="63"/>
      <c r="T716" s="72" t="s">
        <v>48</v>
      </c>
      <c r="U716" s="105"/>
      <c r="V716" s="74"/>
      <c r="W716" s="105"/>
      <c r="X716" s="74"/>
      <c r="Y716" s="105"/>
      <c r="Z716" s="76"/>
    </row>
    <row r="717" spans="1:26" s="29" customFormat="1" ht="21" hidden="1" customHeight="1" x14ac:dyDescent="0.2">
      <c r="A717" s="30"/>
      <c r="B717" s="39"/>
      <c r="C717" s="39"/>
      <c r="F717" s="48" t="s">
        <v>20</v>
      </c>
      <c r="G717" s="43">
        <f>IF($J$1="January",V712,IF($J$1="February",V713,IF($J$1="March",V714,IF($J$1="April",V715,IF($J$1="May",V716,IF($J$1="June",V717,IF($J$1="July",V718,IF($J$1="August",V719,IF($J$1="August",V719,IF($J$1="September",V720,IF($J$1="October",V721,IF($J$1="November",V722,IF($J$1="December",V723)))))))))))))</f>
        <v>0</v>
      </c>
      <c r="H717" s="47"/>
      <c r="I717" s="84"/>
      <c r="J717" s="50" t="s">
        <v>62</v>
      </c>
      <c r="K717" s="53">
        <f>K712/8*I717</f>
        <v>0</v>
      </c>
      <c r="L717" s="54"/>
      <c r="N717" s="71"/>
      <c r="O717" s="72" t="s">
        <v>49</v>
      </c>
      <c r="P717" s="72"/>
      <c r="Q717" s="72"/>
      <c r="R717" s="72">
        <v>0</v>
      </c>
      <c r="S717" s="63"/>
      <c r="T717" s="72" t="s">
        <v>49</v>
      </c>
      <c r="U717" s="105"/>
      <c r="V717" s="74"/>
      <c r="W717" s="105"/>
      <c r="X717" s="74"/>
      <c r="Y717" s="105"/>
      <c r="Z717" s="76"/>
    </row>
    <row r="718" spans="1:26" s="29" customFormat="1" ht="21" hidden="1" customHeight="1" x14ac:dyDescent="0.2">
      <c r="A718" s="30"/>
      <c r="B718" s="48" t="s">
        <v>7</v>
      </c>
      <c r="C718" s="39">
        <f>IF($J$1="January",P712,IF($J$1="February",P713,IF($J$1="March",P714,IF($J$1="April",P715,IF($J$1="May",P716,IF($J$1="June",P717,IF($J$1="July",P718,IF($J$1="August",P719,IF($J$1="August",P719,IF($J$1="September",P720,IF($J$1="October",P721,IF($J$1="November",P722,IF($J$1="December",P723)))))))))))))</f>
        <v>0</v>
      </c>
      <c r="F718" s="48" t="s">
        <v>65</v>
      </c>
      <c r="G718" s="43">
        <f>IF($J$1="January",W712,IF($J$1="February",W713,IF($J$1="March",W714,IF($J$1="April",W715,IF($J$1="May",W716,IF($J$1="June",W717,IF($J$1="July",W718,IF($J$1="August",W719,IF($J$1="August",W719,IF($J$1="September",W720,IF($J$1="October",W721,IF($J$1="November",W722,IF($J$1="December",W723)))))))))))))</f>
        <v>0</v>
      </c>
      <c r="H718" s="47"/>
      <c r="I718" s="392" t="s">
        <v>69</v>
      </c>
      <c r="J718" s="393"/>
      <c r="K718" s="53">
        <f>K716+K717</f>
        <v>0</v>
      </c>
      <c r="L718" s="54"/>
      <c r="N718" s="71"/>
      <c r="O718" s="72" t="s">
        <v>50</v>
      </c>
      <c r="P718" s="72"/>
      <c r="Q718" s="72"/>
      <c r="R718" s="72">
        <v>0</v>
      </c>
      <c r="S718" s="63"/>
      <c r="T718" s="72" t="s">
        <v>50</v>
      </c>
      <c r="U718" s="105"/>
      <c r="V718" s="74"/>
      <c r="W718" s="105"/>
      <c r="X718" s="74"/>
      <c r="Y718" s="105"/>
      <c r="Z718" s="76"/>
    </row>
    <row r="719" spans="1:26" s="29" customFormat="1" ht="21" hidden="1" customHeight="1" x14ac:dyDescent="0.2">
      <c r="A719" s="30"/>
      <c r="B719" s="48" t="s">
        <v>6</v>
      </c>
      <c r="C719" s="39">
        <f>IF($J$1="January",Q712,IF($J$1="February",Q713,IF($J$1="March",Q714,IF($J$1="April",Q715,IF($J$1="May",Q716,IF($J$1="June",Q717,IF($J$1="July",Q718,IF($J$1="August",Q719,IF($J$1="August",Q719,IF($J$1="September",Q720,IF($J$1="October",Q721,IF($J$1="November",Q722,IF($J$1="December",Q723)))))))))))))</f>
        <v>0</v>
      </c>
      <c r="F719" s="48" t="s">
        <v>21</v>
      </c>
      <c r="G719" s="43">
        <f>IF($J$1="January",X712,IF($J$1="February",X713,IF($J$1="March",X714,IF($J$1="April",X715,IF($J$1="May",X716,IF($J$1="June",X717,IF($J$1="July",X718,IF($J$1="August",X719,IF($J$1="August",X719,IF($J$1="September",X720,IF($J$1="October",X721,IF($J$1="November",X722,IF($J$1="December",X723)))))))))))))</f>
        <v>0</v>
      </c>
      <c r="H719" s="47"/>
      <c r="I719" s="392" t="s">
        <v>70</v>
      </c>
      <c r="J719" s="393"/>
      <c r="K719" s="43">
        <f>G719</f>
        <v>0</v>
      </c>
      <c r="L719" s="55"/>
      <c r="N719" s="71"/>
      <c r="O719" s="72" t="s">
        <v>51</v>
      </c>
      <c r="P719" s="72"/>
      <c r="Q719" s="72"/>
      <c r="R719" s="72">
        <v>0</v>
      </c>
      <c r="S719" s="63"/>
      <c r="T719" s="72" t="s">
        <v>51</v>
      </c>
      <c r="U719" s="105"/>
      <c r="V719" s="74"/>
      <c r="W719" s="105"/>
      <c r="X719" s="74"/>
      <c r="Y719" s="105"/>
      <c r="Z719" s="76"/>
    </row>
    <row r="720" spans="1:26" s="29" customFormat="1" ht="21" hidden="1" customHeight="1" x14ac:dyDescent="0.2">
      <c r="A720" s="30"/>
      <c r="B720" s="56" t="s">
        <v>68</v>
      </c>
      <c r="C720" s="39">
        <f>IF($J$1="January",R712,IF($J$1="February",R713,IF($J$1="March",R714,IF($J$1="April",R715,IF($J$1="May",R716,IF($J$1="June",R717,IF($J$1="July",R718,IF($J$1="August",R719,IF($J$1="August",R719,IF($J$1="September",R720,IF($J$1="October",R721,IF($J$1="November",R722,IF($J$1="December",R723)))))))))))))</f>
        <v>0</v>
      </c>
      <c r="F720" s="48" t="s">
        <v>67</v>
      </c>
      <c r="G720" s="43">
        <f>IF($J$1="January",Y712,IF($J$1="February",Y713,IF($J$1="March",Y714,IF($J$1="April",Y715,IF($J$1="May",Y716,IF($J$1="June",Y717,IF($J$1="July",Y718,IF($J$1="August",Y719,IF($J$1="August",Y719,IF($J$1="September",Y720,IF($J$1="October",Y721,IF($J$1="November",Y722,IF($J$1="December",Y723)))))))))))))</f>
        <v>0</v>
      </c>
      <c r="I720" s="387" t="s">
        <v>63</v>
      </c>
      <c r="J720" s="388"/>
      <c r="K720" s="57">
        <f>K718-K719</f>
        <v>0</v>
      </c>
      <c r="L720" s="58"/>
      <c r="N720" s="71"/>
      <c r="O720" s="72" t="s">
        <v>56</v>
      </c>
      <c r="P720" s="72"/>
      <c r="Q720" s="72"/>
      <c r="R720" s="72">
        <v>0</v>
      </c>
      <c r="S720" s="63"/>
      <c r="T720" s="72" t="s">
        <v>56</v>
      </c>
      <c r="U720" s="105"/>
      <c r="V720" s="74"/>
      <c r="W720" s="105"/>
      <c r="X720" s="74"/>
      <c r="Y720" s="105"/>
      <c r="Z720" s="76"/>
    </row>
    <row r="721" spans="1:26" s="29" customFormat="1" ht="21" hidden="1" customHeight="1" x14ac:dyDescent="0.2">
      <c r="A721" s="30"/>
      <c r="L721" s="46"/>
      <c r="N721" s="71"/>
      <c r="O721" s="72" t="s">
        <v>52</v>
      </c>
      <c r="P721" s="72"/>
      <c r="Q721" s="72"/>
      <c r="R721" s="72">
        <v>0</v>
      </c>
      <c r="S721" s="63"/>
      <c r="T721" s="72" t="s">
        <v>52</v>
      </c>
      <c r="U721" s="105"/>
      <c r="V721" s="74"/>
      <c r="W721" s="105"/>
      <c r="X721" s="74"/>
      <c r="Y721" s="105"/>
      <c r="Z721" s="76"/>
    </row>
    <row r="722" spans="1:26" s="29" customFormat="1" ht="21" hidden="1" customHeight="1" x14ac:dyDescent="0.2">
      <c r="A722" s="30"/>
      <c r="B722" s="394" t="s">
        <v>85</v>
      </c>
      <c r="C722" s="394"/>
      <c r="D722" s="394"/>
      <c r="E722" s="394"/>
      <c r="F722" s="394"/>
      <c r="G722" s="394"/>
      <c r="H722" s="394"/>
      <c r="I722" s="394"/>
      <c r="J722" s="394"/>
      <c r="K722" s="394"/>
      <c r="L722" s="46"/>
      <c r="N722" s="71"/>
      <c r="O722" s="72" t="s">
        <v>57</v>
      </c>
      <c r="P722" s="72"/>
      <c r="Q722" s="72">
        <v>0</v>
      </c>
      <c r="R722" s="72">
        <v>0</v>
      </c>
      <c r="S722" s="63"/>
      <c r="T722" s="72" t="s">
        <v>57</v>
      </c>
      <c r="U722" s="105">
        <f>IF($J$1="October","",Y721)</f>
        <v>0</v>
      </c>
      <c r="V722" s="74"/>
      <c r="W722" s="105">
        <f t="shared" ref="W722:W723" si="151">IF(U722="","",U722+V722)</f>
        <v>0</v>
      </c>
      <c r="X722" s="74"/>
      <c r="Y722" s="105">
        <f t="shared" ref="Y722:Y723" si="152">IF(W722="","",W722-X722)</f>
        <v>0</v>
      </c>
      <c r="Z722" s="76"/>
    </row>
    <row r="723" spans="1:26" s="29" customFormat="1" ht="21" hidden="1" customHeight="1" x14ac:dyDescent="0.2">
      <c r="A723" s="30"/>
      <c r="B723" s="394"/>
      <c r="C723" s="394"/>
      <c r="D723" s="394"/>
      <c r="E723" s="394"/>
      <c r="F723" s="394"/>
      <c r="G723" s="394"/>
      <c r="H723" s="394"/>
      <c r="I723" s="394"/>
      <c r="J723" s="394"/>
      <c r="K723" s="394"/>
      <c r="L723" s="46"/>
      <c r="N723" s="71"/>
      <c r="O723" s="72" t="s">
        <v>58</v>
      </c>
      <c r="P723" s="72"/>
      <c r="Q723" s="72"/>
      <c r="R723" s="72">
        <v>0</v>
      </c>
      <c r="S723" s="63"/>
      <c r="T723" s="72" t="s">
        <v>58</v>
      </c>
      <c r="U723" s="105">
        <f>IF($J$1="November","",Y722)</f>
        <v>0</v>
      </c>
      <c r="V723" s="74"/>
      <c r="W723" s="105">
        <f t="shared" si="151"/>
        <v>0</v>
      </c>
      <c r="X723" s="74"/>
      <c r="Y723" s="105">
        <f t="shared" si="152"/>
        <v>0</v>
      </c>
      <c r="Z723" s="76"/>
    </row>
    <row r="724" spans="1:26" s="29" customFormat="1" ht="21" hidden="1" customHeight="1" thickBot="1" x14ac:dyDescent="0.25">
      <c r="A724" s="59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1"/>
      <c r="N724" s="77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9"/>
    </row>
    <row r="725" spans="1:26" ht="15.75" hidden="1" thickBot="1" x14ac:dyDescent="0.3"/>
    <row r="726" spans="1:26" s="29" customFormat="1" ht="21.4" hidden="1" customHeight="1" x14ac:dyDescent="0.2">
      <c r="A726" s="413" t="s">
        <v>40</v>
      </c>
      <c r="B726" s="414"/>
      <c r="C726" s="414"/>
      <c r="D726" s="414"/>
      <c r="E726" s="414"/>
      <c r="F726" s="414"/>
      <c r="G726" s="414"/>
      <c r="H726" s="414"/>
      <c r="I726" s="414"/>
      <c r="J726" s="414"/>
      <c r="K726" s="414"/>
      <c r="L726" s="415"/>
      <c r="M726" s="28"/>
      <c r="N726" s="64"/>
      <c r="O726" s="403" t="s">
        <v>42</v>
      </c>
      <c r="P726" s="404"/>
      <c r="Q726" s="404"/>
      <c r="R726" s="405"/>
      <c r="S726" s="65"/>
      <c r="T726" s="403" t="s">
        <v>43</v>
      </c>
      <c r="U726" s="404"/>
      <c r="V726" s="404"/>
      <c r="W726" s="404"/>
      <c r="X726" s="404"/>
      <c r="Y726" s="405"/>
      <c r="Z726" s="63"/>
    </row>
    <row r="727" spans="1:26" s="29" customFormat="1" ht="21.4" hidden="1" customHeight="1" x14ac:dyDescent="0.2">
      <c r="A727" s="30"/>
      <c r="C727" s="402" t="s">
        <v>83</v>
      </c>
      <c r="D727" s="402"/>
      <c r="E727" s="402"/>
      <c r="F727" s="402"/>
      <c r="G727" s="31" t="str">
        <f>$J$1</f>
        <v>June</v>
      </c>
      <c r="H727" s="409">
        <f>$K$1</f>
        <v>2023</v>
      </c>
      <c r="I727" s="409"/>
      <c r="K727" s="32"/>
      <c r="L727" s="33"/>
      <c r="M727" s="32"/>
      <c r="N727" s="67"/>
      <c r="O727" s="68" t="s">
        <v>53</v>
      </c>
      <c r="P727" s="68" t="s">
        <v>7</v>
      </c>
      <c r="Q727" s="68" t="s">
        <v>6</v>
      </c>
      <c r="R727" s="68" t="s">
        <v>54</v>
      </c>
      <c r="S727" s="69"/>
      <c r="T727" s="68" t="s">
        <v>53</v>
      </c>
      <c r="U727" s="68" t="s">
        <v>55</v>
      </c>
      <c r="V727" s="68" t="s">
        <v>20</v>
      </c>
      <c r="W727" s="68" t="s">
        <v>19</v>
      </c>
      <c r="X727" s="68" t="s">
        <v>21</v>
      </c>
      <c r="Y727" s="68" t="s">
        <v>59</v>
      </c>
      <c r="Z727" s="63"/>
    </row>
    <row r="728" spans="1:26" s="29" customFormat="1" ht="21.4" hidden="1" customHeight="1" x14ac:dyDescent="0.2">
      <c r="A728" s="30"/>
      <c r="D728" s="35"/>
      <c r="E728" s="35"/>
      <c r="F728" s="35"/>
      <c r="G728" s="35"/>
      <c r="H728" s="35"/>
      <c r="J728" s="36" t="s">
        <v>1</v>
      </c>
      <c r="K728" s="37"/>
      <c r="L728" s="38"/>
      <c r="N728" s="71"/>
      <c r="O728" s="72" t="s">
        <v>45</v>
      </c>
      <c r="P728" s="72"/>
      <c r="Q728" s="72"/>
      <c r="R728" s="72">
        <v>0</v>
      </c>
      <c r="S728" s="73"/>
      <c r="T728" s="72" t="s">
        <v>45</v>
      </c>
      <c r="U728" s="74"/>
      <c r="V728" s="74"/>
      <c r="W728" s="74">
        <f>V728+U728</f>
        <v>0</v>
      </c>
      <c r="X728" s="74"/>
      <c r="Y728" s="74">
        <f>W728-X728</f>
        <v>0</v>
      </c>
      <c r="Z728" s="63"/>
    </row>
    <row r="729" spans="1:26" s="29" customFormat="1" ht="21.4" hidden="1" customHeight="1" x14ac:dyDescent="0.2">
      <c r="A729" s="30"/>
      <c r="B729" s="29" t="s">
        <v>0</v>
      </c>
      <c r="C729" s="40" t="s">
        <v>223</v>
      </c>
      <c r="H729" s="41"/>
      <c r="I729" s="35"/>
      <c r="L729" s="42"/>
      <c r="M729" s="28"/>
      <c r="N729" s="75"/>
      <c r="O729" s="72" t="s">
        <v>71</v>
      </c>
      <c r="P729" s="72"/>
      <c r="Q729" s="72"/>
      <c r="R729" s="72">
        <v>0</v>
      </c>
      <c r="S729" s="63"/>
      <c r="T729" s="72" t="s">
        <v>71</v>
      </c>
      <c r="U729" s="105">
        <f>Y728</f>
        <v>0</v>
      </c>
      <c r="V729" s="74"/>
      <c r="W729" s="105">
        <f>IF(U729="","",U729+V729)</f>
        <v>0</v>
      </c>
      <c r="X729" s="74"/>
      <c r="Y729" s="105">
        <f>IF(W729="","",W729-X729)</f>
        <v>0</v>
      </c>
      <c r="Z729" s="63"/>
    </row>
    <row r="730" spans="1:26" s="29" customFormat="1" ht="21.4" hidden="1" customHeight="1" x14ac:dyDescent="0.2">
      <c r="A730" s="30"/>
      <c r="B730" s="44" t="s">
        <v>41</v>
      </c>
      <c r="C730" s="45"/>
      <c r="F730" s="391" t="s">
        <v>43</v>
      </c>
      <c r="G730" s="391"/>
      <c r="I730" s="391" t="s">
        <v>44</v>
      </c>
      <c r="J730" s="391"/>
      <c r="K730" s="391"/>
      <c r="L730" s="46"/>
      <c r="N730" s="71"/>
      <c r="O730" s="72" t="s">
        <v>46</v>
      </c>
      <c r="P730" s="72"/>
      <c r="Q730" s="72"/>
      <c r="R730" s="72">
        <v>0</v>
      </c>
      <c r="S730" s="63"/>
      <c r="T730" s="72" t="s">
        <v>46</v>
      </c>
      <c r="U730" s="105">
        <f>Y729</f>
        <v>0</v>
      </c>
      <c r="V730" s="74"/>
      <c r="W730" s="105">
        <f t="shared" ref="W730:W732" si="153">IF(U730="","",U730+V730)</f>
        <v>0</v>
      </c>
      <c r="X730" s="74"/>
      <c r="Y730" s="105">
        <f t="shared" ref="Y730:Y732" si="154">IF(W730="","",W730-X730)</f>
        <v>0</v>
      </c>
      <c r="Z730" s="63"/>
    </row>
    <row r="731" spans="1:26" s="29" customFormat="1" ht="21.4" hidden="1" customHeight="1" x14ac:dyDescent="0.2">
      <c r="A731" s="30"/>
      <c r="H731" s="47"/>
      <c r="L731" s="34"/>
      <c r="N731" s="71"/>
      <c r="O731" s="72" t="s">
        <v>47</v>
      </c>
      <c r="P731" s="72">
        <v>25</v>
      </c>
      <c r="Q731" s="72">
        <v>5</v>
      </c>
      <c r="R731" s="72">
        <v>0</v>
      </c>
      <c r="S731" s="63"/>
      <c r="T731" s="72" t="s">
        <v>47</v>
      </c>
      <c r="U731" s="105">
        <f>IF($J$1="March","",Y730)</f>
        <v>0</v>
      </c>
      <c r="V731" s="74"/>
      <c r="W731" s="105">
        <f t="shared" si="153"/>
        <v>0</v>
      </c>
      <c r="X731" s="74"/>
      <c r="Y731" s="105">
        <f t="shared" si="154"/>
        <v>0</v>
      </c>
      <c r="Z731" s="63"/>
    </row>
    <row r="732" spans="1:26" s="29" customFormat="1" ht="21.4" hidden="1" customHeight="1" x14ac:dyDescent="0.2">
      <c r="A732" s="30"/>
      <c r="B732" s="389" t="s">
        <v>42</v>
      </c>
      <c r="C732" s="390"/>
      <c r="F732" s="48" t="s">
        <v>64</v>
      </c>
      <c r="G732" s="43">
        <f>IF($J$1="January",U728,IF($J$1="February",U729,IF($J$1="March",U730,IF($J$1="April",U731,IF($J$1="May",U732,IF($J$1="June",U733,IF($J$1="July",U734,IF($J$1="August",U735,IF($J$1="August",U735,IF($J$1="September",U736,IF($J$1="October",U737,IF($J$1="November",U738,IF($J$1="December",U739)))))))))))))</f>
        <v>0</v>
      </c>
      <c r="H732" s="47"/>
      <c r="I732" s="49"/>
      <c r="J732" s="50" t="s">
        <v>61</v>
      </c>
      <c r="K732" s="51">
        <f>K728/$K$2*I732</f>
        <v>0</v>
      </c>
      <c r="L732" s="52"/>
      <c r="N732" s="71"/>
      <c r="O732" s="72" t="s">
        <v>48</v>
      </c>
      <c r="P732" s="72">
        <v>28</v>
      </c>
      <c r="Q732" s="72">
        <v>3</v>
      </c>
      <c r="R732" s="72">
        <v>0</v>
      </c>
      <c r="S732" s="63"/>
      <c r="T732" s="72" t="s">
        <v>48</v>
      </c>
      <c r="U732" s="105">
        <f>Y731</f>
        <v>0</v>
      </c>
      <c r="V732" s="74"/>
      <c r="W732" s="105">
        <f t="shared" si="153"/>
        <v>0</v>
      </c>
      <c r="X732" s="74"/>
      <c r="Y732" s="105">
        <f t="shared" si="154"/>
        <v>0</v>
      </c>
      <c r="Z732" s="63"/>
    </row>
    <row r="733" spans="1:26" s="29" customFormat="1" ht="21.4" hidden="1" customHeight="1" x14ac:dyDescent="0.2">
      <c r="A733" s="30"/>
      <c r="B733" s="39"/>
      <c r="C733" s="39"/>
      <c r="F733" s="48" t="s">
        <v>20</v>
      </c>
      <c r="G733" s="43">
        <f>IF($J$1="January",V728,IF($J$1="February",V729,IF($J$1="March",V730,IF($J$1="April",V731,IF($J$1="May",V732,IF($J$1="June",V733,IF($J$1="July",V734,IF($J$1="August",V735,IF($J$1="August",V735,IF($J$1="September",V736,IF($J$1="October",V737,IF($J$1="November",V738,IF($J$1="December",V739)))))))))))))</f>
        <v>0</v>
      </c>
      <c r="H733" s="47"/>
      <c r="I733" s="84"/>
      <c r="J733" s="50" t="s">
        <v>62</v>
      </c>
      <c r="K733" s="53">
        <f>K728/$K$2/8*I733</f>
        <v>0</v>
      </c>
      <c r="L733" s="54"/>
      <c r="N733" s="71"/>
      <c r="O733" s="72" t="s">
        <v>49</v>
      </c>
      <c r="P733" s="72"/>
      <c r="Q733" s="72"/>
      <c r="R733" s="72">
        <v>0</v>
      </c>
      <c r="S733" s="63"/>
      <c r="T733" s="72" t="s">
        <v>49</v>
      </c>
      <c r="U733" s="105"/>
      <c r="V733" s="74"/>
      <c r="W733" s="105"/>
      <c r="X733" s="74"/>
      <c r="Y733" s="105"/>
      <c r="Z733" s="63"/>
    </row>
    <row r="734" spans="1:26" s="29" customFormat="1" ht="21.4" hidden="1" customHeight="1" x14ac:dyDescent="0.2">
      <c r="A734" s="30"/>
      <c r="B734" s="48" t="s">
        <v>7</v>
      </c>
      <c r="C734" s="39">
        <f>IF($J$1="January",P728,IF($J$1="February",P729,IF($J$1="March",P730,IF($J$1="April",P731,IF($J$1="May",P732,IF($J$1="June",P733,IF($J$1="July",P734,IF($J$1="August",P735,IF($J$1="August",P735,IF($J$1="September",P736,IF($J$1="October",P737,IF($J$1="November",P738,IF($J$1="December",P739)))))))))))))</f>
        <v>0</v>
      </c>
      <c r="F734" s="48" t="s">
        <v>65</v>
      </c>
      <c r="G734" s="43">
        <f>IF($J$1="January",W728,IF($J$1="February",W729,IF($J$1="March",W730,IF($J$1="April",W731,IF($J$1="May",W732,IF($J$1="June",W733,IF($J$1="July",W734,IF($J$1="August",W735,IF($J$1="August",W735,IF($J$1="September",W736,IF($J$1="October",W737,IF($J$1="November",W738,IF($J$1="December",W739)))))))))))))</f>
        <v>0</v>
      </c>
      <c r="H734" s="47"/>
      <c r="I734" s="392" t="s">
        <v>69</v>
      </c>
      <c r="J734" s="393"/>
      <c r="K734" s="53">
        <f>K732+K733</f>
        <v>0</v>
      </c>
      <c r="L734" s="54"/>
      <c r="N734" s="71"/>
      <c r="O734" s="72" t="s">
        <v>50</v>
      </c>
      <c r="P734" s="72"/>
      <c r="Q734" s="72"/>
      <c r="R734" s="72">
        <v>0</v>
      </c>
      <c r="S734" s="63"/>
      <c r="T734" s="72" t="s">
        <v>50</v>
      </c>
      <c r="U734" s="105"/>
      <c r="V734" s="74"/>
      <c r="W734" s="105"/>
      <c r="X734" s="74"/>
      <c r="Y734" s="105"/>
      <c r="Z734" s="63"/>
    </row>
    <row r="735" spans="1:26" s="29" customFormat="1" ht="21.4" hidden="1" customHeight="1" x14ac:dyDescent="0.2">
      <c r="A735" s="30"/>
      <c r="B735" s="48" t="s">
        <v>6</v>
      </c>
      <c r="C735" s="39">
        <f>IF($J$1="January",Q728,IF($J$1="February",Q729,IF($J$1="March",Q730,IF($J$1="April",Q731,IF($J$1="May",Q732,IF($J$1="June",Q733,IF($J$1="July",Q734,IF($J$1="August",Q735,IF($J$1="August",Q735,IF($J$1="September",Q736,IF($J$1="October",Q737,IF($J$1="November",Q738,IF($J$1="December",Q739)))))))))))))</f>
        <v>0</v>
      </c>
      <c r="F735" s="48" t="s">
        <v>21</v>
      </c>
      <c r="G735" s="43">
        <f>IF($J$1="January",X728,IF($J$1="February",X729,IF($J$1="March",X730,IF($J$1="April",X731,IF($J$1="May",X732,IF($J$1="June",X733,IF($J$1="July",X734,IF($J$1="August",X735,IF($J$1="August",X735,IF($J$1="September",X736,IF($J$1="October",X737,IF($J$1="November",X738,IF($J$1="December",X739)))))))))))))</f>
        <v>0</v>
      </c>
      <c r="H735" s="47"/>
      <c r="I735" s="392" t="s">
        <v>70</v>
      </c>
      <c r="J735" s="393"/>
      <c r="K735" s="43">
        <f>G735</f>
        <v>0</v>
      </c>
      <c r="L735" s="55"/>
      <c r="N735" s="71"/>
      <c r="O735" s="72" t="s">
        <v>51</v>
      </c>
      <c r="P735" s="72"/>
      <c r="Q735" s="72"/>
      <c r="R735" s="72">
        <v>0</v>
      </c>
      <c r="S735" s="63"/>
      <c r="T735" s="72" t="s">
        <v>51</v>
      </c>
      <c r="U735" s="105"/>
      <c r="V735" s="74"/>
      <c r="W735" s="105"/>
      <c r="X735" s="74"/>
      <c r="Y735" s="105"/>
      <c r="Z735" s="63"/>
    </row>
    <row r="736" spans="1:26" s="29" customFormat="1" ht="21.4" hidden="1" customHeight="1" x14ac:dyDescent="0.2">
      <c r="A736" s="30"/>
      <c r="B736" s="56" t="s">
        <v>68</v>
      </c>
      <c r="C736" s="39">
        <f>IF($J$1="January",R728,IF($J$1="February",R729,IF($J$1="March",R730,IF($J$1="April",R731,IF($J$1="May",R732,IF($J$1="June",R733,IF($J$1="July",R734,IF($J$1="August",R735,IF($J$1="August",R735,IF($J$1="September",R736,IF($J$1="October",R737,IF($J$1="November",R738,IF($J$1="December",R739)))))))))))))</f>
        <v>0</v>
      </c>
      <c r="F736" s="48" t="s">
        <v>67</v>
      </c>
      <c r="G736" s="43">
        <f>IF($J$1="January",Y728,IF($J$1="February",Y729,IF($J$1="March",Y730,IF($J$1="April",Y731,IF($J$1="May",Y732,IF($J$1="June",Y733,IF($J$1="July",Y734,IF($J$1="August",Y735,IF($J$1="August",Y735,IF($J$1="September",Y736,IF($J$1="October",Y737,IF($J$1="November",Y738,IF($J$1="December",Y739)))))))))))))</f>
        <v>0</v>
      </c>
      <c r="I736" s="387" t="s">
        <v>63</v>
      </c>
      <c r="J736" s="388"/>
      <c r="K736" s="57">
        <f>K734-K735</f>
        <v>0</v>
      </c>
      <c r="L736" s="58"/>
      <c r="N736" s="71"/>
      <c r="O736" s="72" t="s">
        <v>56</v>
      </c>
      <c r="P736" s="72"/>
      <c r="Q736" s="72"/>
      <c r="R736" s="72" t="str">
        <f t="shared" ref="R736:R738" si="155">IF(Q736="","",R735-Q736)</f>
        <v/>
      </c>
      <c r="S736" s="63"/>
      <c r="T736" s="72" t="s">
        <v>56</v>
      </c>
      <c r="U736" s="105"/>
      <c r="V736" s="74"/>
      <c r="W736" s="105"/>
      <c r="X736" s="74"/>
      <c r="Y736" s="105"/>
      <c r="Z736" s="63"/>
    </row>
    <row r="737" spans="1:27" s="29" customFormat="1" ht="21.4" hidden="1" customHeight="1" x14ac:dyDescent="0.2">
      <c r="A737" s="30"/>
      <c r="K737" s="107"/>
      <c r="L737" s="46"/>
      <c r="N737" s="71"/>
      <c r="O737" s="72" t="s">
        <v>52</v>
      </c>
      <c r="P737" s="72"/>
      <c r="Q737" s="72"/>
      <c r="R737" s="72" t="str">
        <f t="shared" si="155"/>
        <v/>
      </c>
      <c r="S737" s="63"/>
      <c r="T737" s="72" t="s">
        <v>52</v>
      </c>
      <c r="U737" s="105"/>
      <c r="V737" s="74"/>
      <c r="W737" s="105"/>
      <c r="X737" s="74"/>
      <c r="Y737" s="105"/>
      <c r="Z737" s="63"/>
    </row>
    <row r="738" spans="1:27" s="29" customFormat="1" ht="21.4" hidden="1" customHeight="1" x14ac:dyDescent="0.2">
      <c r="A738" s="30"/>
      <c r="B738" s="394" t="s">
        <v>85</v>
      </c>
      <c r="C738" s="394"/>
      <c r="D738" s="394"/>
      <c r="E738" s="394"/>
      <c r="F738" s="394"/>
      <c r="G738" s="394"/>
      <c r="H738" s="394"/>
      <c r="I738" s="394"/>
      <c r="J738" s="394"/>
      <c r="K738" s="394"/>
      <c r="L738" s="46"/>
      <c r="N738" s="71"/>
      <c r="O738" s="72" t="s">
        <v>57</v>
      </c>
      <c r="P738" s="72"/>
      <c r="Q738" s="72"/>
      <c r="R738" s="72" t="str">
        <f t="shared" si="155"/>
        <v/>
      </c>
      <c r="S738" s="63"/>
      <c r="T738" s="72" t="s">
        <v>57</v>
      </c>
      <c r="U738" s="105"/>
      <c r="V738" s="74"/>
      <c r="W738" s="105"/>
      <c r="X738" s="74"/>
      <c r="Y738" s="105"/>
      <c r="Z738" s="63"/>
    </row>
    <row r="739" spans="1:27" s="29" customFormat="1" ht="21.4" hidden="1" customHeight="1" x14ac:dyDescent="0.2">
      <c r="A739" s="30"/>
      <c r="B739" s="394"/>
      <c r="C739" s="394"/>
      <c r="D739" s="394"/>
      <c r="E739" s="394"/>
      <c r="F739" s="394"/>
      <c r="G739" s="394"/>
      <c r="H739" s="394"/>
      <c r="I739" s="394"/>
      <c r="J739" s="394"/>
      <c r="K739" s="394"/>
      <c r="L739" s="46"/>
      <c r="N739" s="71"/>
      <c r="O739" s="72" t="s">
        <v>58</v>
      </c>
      <c r="P739" s="72"/>
      <c r="Q739" s="72"/>
      <c r="R739" s="72">
        <v>0</v>
      </c>
      <c r="S739" s="63"/>
      <c r="T739" s="72" t="s">
        <v>58</v>
      </c>
      <c r="U739" s="105"/>
      <c r="V739" s="74"/>
      <c r="W739" s="105"/>
      <c r="X739" s="74"/>
      <c r="Y739" s="105"/>
      <c r="Z739" s="63"/>
    </row>
    <row r="740" spans="1:27" s="29" customFormat="1" ht="21.4" hidden="1" customHeight="1" thickBot="1" x14ac:dyDescent="0.25">
      <c r="A740" s="59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1"/>
      <c r="N740" s="77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63"/>
    </row>
    <row r="741" spans="1:27" s="29" customFormat="1" ht="21" hidden="1" customHeight="1" x14ac:dyDescent="0.2"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spans="1:27" s="29" customFormat="1" ht="21" hidden="1" customHeight="1" thickBot="1" x14ac:dyDescent="0.25"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spans="1:27" s="29" customFormat="1" ht="21.4" hidden="1" customHeight="1" x14ac:dyDescent="0.2">
      <c r="A743" s="433" t="s">
        <v>40</v>
      </c>
      <c r="B743" s="434"/>
      <c r="C743" s="434"/>
      <c r="D743" s="434"/>
      <c r="E743" s="434"/>
      <c r="F743" s="434"/>
      <c r="G743" s="434"/>
      <c r="H743" s="434"/>
      <c r="I743" s="434"/>
      <c r="J743" s="434"/>
      <c r="K743" s="434"/>
      <c r="L743" s="435"/>
      <c r="M743" s="28"/>
      <c r="N743" s="64"/>
      <c r="O743" s="403" t="s">
        <v>42</v>
      </c>
      <c r="P743" s="404"/>
      <c r="Q743" s="404"/>
      <c r="R743" s="405"/>
      <c r="S743" s="65"/>
      <c r="T743" s="403" t="s">
        <v>43</v>
      </c>
      <c r="U743" s="404"/>
      <c r="V743" s="404"/>
      <c r="W743" s="404"/>
      <c r="X743" s="404"/>
      <c r="Y743" s="405"/>
      <c r="Z743" s="66"/>
      <c r="AA743" s="28"/>
    </row>
    <row r="744" spans="1:27" s="29" customFormat="1" ht="21.4" hidden="1" customHeight="1" x14ac:dyDescent="0.2">
      <c r="A744" s="30"/>
      <c r="C744" s="402" t="s">
        <v>83</v>
      </c>
      <c r="D744" s="402"/>
      <c r="E744" s="402"/>
      <c r="F744" s="402"/>
      <c r="G744" s="31" t="str">
        <f>$J$1</f>
        <v>June</v>
      </c>
      <c r="H744" s="409">
        <f>$K$1</f>
        <v>2023</v>
      </c>
      <c r="I744" s="409"/>
      <c r="K744" s="32"/>
      <c r="L744" s="33"/>
      <c r="M744" s="32"/>
      <c r="N744" s="67"/>
      <c r="O744" s="68" t="s">
        <v>53</v>
      </c>
      <c r="P744" s="68" t="s">
        <v>7</v>
      </c>
      <c r="Q744" s="68" t="s">
        <v>6</v>
      </c>
      <c r="R744" s="68" t="s">
        <v>54</v>
      </c>
      <c r="S744" s="69"/>
      <c r="T744" s="68" t="s">
        <v>53</v>
      </c>
      <c r="U744" s="68" t="s">
        <v>55</v>
      </c>
      <c r="V744" s="68" t="s">
        <v>20</v>
      </c>
      <c r="W744" s="68" t="s">
        <v>19</v>
      </c>
      <c r="X744" s="68" t="s">
        <v>21</v>
      </c>
      <c r="Y744" s="68" t="s">
        <v>59</v>
      </c>
      <c r="Z744" s="70"/>
      <c r="AA744" s="32"/>
    </row>
    <row r="745" spans="1:27" s="29" customFormat="1" ht="21.4" hidden="1" customHeight="1" x14ac:dyDescent="0.2">
      <c r="A745" s="30"/>
      <c r="D745" s="35"/>
      <c r="E745" s="35"/>
      <c r="F745" s="35"/>
      <c r="G745" s="35"/>
      <c r="H745" s="35"/>
      <c r="J745" s="36" t="s">
        <v>1</v>
      </c>
      <c r="K745" s="37"/>
      <c r="L745" s="38"/>
      <c r="N745" s="71"/>
      <c r="O745" s="72" t="s">
        <v>45</v>
      </c>
      <c r="P745" s="72">
        <v>22</v>
      </c>
      <c r="Q745" s="72">
        <v>9</v>
      </c>
      <c r="R745" s="72"/>
      <c r="S745" s="73"/>
      <c r="T745" s="72" t="s">
        <v>45</v>
      </c>
      <c r="U745" s="74"/>
      <c r="V745" s="74"/>
      <c r="W745" s="74">
        <f>V745+U745</f>
        <v>0</v>
      </c>
      <c r="X745" s="74"/>
      <c r="Y745" s="74">
        <f>W745-X745</f>
        <v>0</v>
      </c>
      <c r="Z745" s="70"/>
    </row>
    <row r="746" spans="1:27" s="29" customFormat="1" ht="21.4" hidden="1" customHeight="1" x14ac:dyDescent="0.2">
      <c r="A746" s="30"/>
      <c r="B746" s="29" t="s">
        <v>0</v>
      </c>
      <c r="C746" s="40"/>
      <c r="H746" s="41"/>
      <c r="I746" s="35"/>
      <c r="L746" s="42"/>
      <c r="M746" s="28"/>
      <c r="N746" s="75"/>
      <c r="O746" s="72" t="s">
        <v>71</v>
      </c>
      <c r="P746" s="72"/>
      <c r="Q746" s="72"/>
      <c r="R746" s="72" t="str">
        <f t="shared" ref="R746:R753" si="156">IF(Q746="","",R745-Q746)</f>
        <v/>
      </c>
      <c r="S746" s="63"/>
      <c r="T746" s="72" t="s">
        <v>71</v>
      </c>
      <c r="U746" s="105">
        <f>Y745</f>
        <v>0</v>
      </c>
      <c r="V746" s="74"/>
      <c r="W746" s="105">
        <f>IF(U746="","",U746+V746)</f>
        <v>0</v>
      </c>
      <c r="X746" s="74"/>
      <c r="Y746" s="105">
        <f>IF(W746="","",W746-X746)</f>
        <v>0</v>
      </c>
      <c r="Z746" s="76"/>
      <c r="AA746" s="28"/>
    </row>
    <row r="747" spans="1:27" s="29" customFormat="1" ht="21.4" hidden="1" customHeight="1" x14ac:dyDescent="0.2">
      <c r="A747" s="30"/>
      <c r="B747" s="44" t="s">
        <v>41</v>
      </c>
      <c r="C747" s="45"/>
      <c r="F747" s="391" t="s">
        <v>43</v>
      </c>
      <c r="G747" s="391"/>
      <c r="I747" s="391" t="s">
        <v>44</v>
      </c>
      <c r="J747" s="391"/>
      <c r="K747" s="391"/>
      <c r="L747" s="46"/>
      <c r="N747" s="71"/>
      <c r="O747" s="72" t="s">
        <v>46</v>
      </c>
      <c r="P747" s="72"/>
      <c r="Q747" s="72"/>
      <c r="R747" s="72" t="str">
        <f t="shared" si="156"/>
        <v/>
      </c>
      <c r="S747" s="63"/>
      <c r="T747" s="72" t="s">
        <v>46</v>
      </c>
      <c r="U747" s="105">
        <f>IF($J$1="April",Y746,Y746)</f>
        <v>0</v>
      </c>
      <c r="V747" s="74"/>
      <c r="W747" s="105">
        <f t="shared" ref="W747:W756" si="157">IF(U747="","",U747+V747)</f>
        <v>0</v>
      </c>
      <c r="X747" s="74"/>
      <c r="Y747" s="105">
        <f t="shared" ref="Y747:Y756" si="158">IF(W747="","",W747-X747)</f>
        <v>0</v>
      </c>
      <c r="Z747" s="76"/>
    </row>
    <row r="748" spans="1:27" s="29" customFormat="1" ht="21.4" hidden="1" customHeight="1" x14ac:dyDescent="0.2">
      <c r="A748" s="30"/>
      <c r="H748" s="47"/>
      <c r="L748" s="34"/>
      <c r="N748" s="71"/>
      <c r="O748" s="72" t="s">
        <v>47</v>
      </c>
      <c r="P748" s="72"/>
      <c r="Q748" s="72"/>
      <c r="R748" s="72">
        <v>0</v>
      </c>
      <c r="S748" s="63"/>
      <c r="T748" s="72" t="s">
        <v>47</v>
      </c>
      <c r="U748" s="105">
        <f>IF($J$1="April",Y747,Y747)</f>
        <v>0</v>
      </c>
      <c r="V748" s="74"/>
      <c r="W748" s="105">
        <f t="shared" si="157"/>
        <v>0</v>
      </c>
      <c r="X748" s="74"/>
      <c r="Y748" s="105">
        <f t="shared" si="158"/>
        <v>0</v>
      </c>
      <c r="Z748" s="76"/>
    </row>
    <row r="749" spans="1:27" s="29" customFormat="1" ht="21.4" hidden="1" customHeight="1" x14ac:dyDescent="0.2">
      <c r="A749" s="30"/>
      <c r="B749" s="389" t="s">
        <v>42</v>
      </c>
      <c r="C749" s="390"/>
      <c r="F749" s="48" t="s">
        <v>64</v>
      </c>
      <c r="G749" s="43">
        <f>IF($J$1="January",U745,IF($J$1="February",U746,IF($J$1="March",U747,IF($J$1="April",U748,IF($J$1="May",U749,IF($J$1="June",U750,IF($J$1="July",U751,IF($J$1="August",U752,IF($J$1="August",U752,IF($J$1="September",U753,IF($J$1="October",U754,IF($J$1="November",U755,IF($J$1="December",U756)))))))))))))</f>
        <v>0</v>
      </c>
      <c r="H749" s="47"/>
      <c r="I749" s="49"/>
      <c r="J749" s="50" t="s">
        <v>61</v>
      </c>
      <c r="K749" s="51">
        <f>K745/$K$2*I749</f>
        <v>0</v>
      </c>
      <c r="L749" s="52"/>
      <c r="N749" s="71"/>
      <c r="O749" s="72" t="s">
        <v>48</v>
      </c>
      <c r="P749" s="72"/>
      <c r="Q749" s="72"/>
      <c r="R749" s="72">
        <v>0</v>
      </c>
      <c r="S749" s="63"/>
      <c r="T749" s="72" t="s">
        <v>48</v>
      </c>
      <c r="U749" s="105">
        <f>IF($J$1="May",Y748,Y748)</f>
        <v>0</v>
      </c>
      <c r="V749" s="74"/>
      <c r="W749" s="105">
        <f t="shared" si="157"/>
        <v>0</v>
      </c>
      <c r="X749" s="74"/>
      <c r="Y749" s="105">
        <f t="shared" si="158"/>
        <v>0</v>
      </c>
      <c r="Z749" s="76"/>
    </row>
    <row r="750" spans="1:27" s="29" customFormat="1" ht="21.4" hidden="1" customHeight="1" x14ac:dyDescent="0.2">
      <c r="A750" s="30"/>
      <c r="B750" s="39"/>
      <c r="C750" s="39"/>
      <c r="F750" s="48" t="s">
        <v>20</v>
      </c>
      <c r="G750" s="43">
        <f>IF($J$1="January",V745,IF($J$1="February",V746,IF($J$1="March",V747,IF($J$1="April",V748,IF($J$1="May",V749,IF($J$1="June",V750,IF($J$1="July",V751,IF($J$1="August",V752,IF($J$1="August",V752,IF($J$1="September",V753,IF($J$1="October",V754,IF($J$1="November",V755,IF($J$1="December",V756)))))))))))))</f>
        <v>0</v>
      </c>
      <c r="H750" s="47"/>
      <c r="I750" s="84"/>
      <c r="J750" s="50" t="s">
        <v>62</v>
      </c>
      <c r="K750" s="53">
        <f>K745/$K$2/8*I750</f>
        <v>0</v>
      </c>
      <c r="L750" s="54"/>
      <c r="N750" s="71"/>
      <c r="O750" s="72" t="s">
        <v>49</v>
      </c>
      <c r="P750" s="72"/>
      <c r="Q750" s="72"/>
      <c r="R750" s="72" t="str">
        <f t="shared" si="156"/>
        <v/>
      </c>
      <c r="S750" s="63"/>
      <c r="T750" s="72" t="s">
        <v>49</v>
      </c>
      <c r="U750" s="105">
        <f>IF($J$1="May",Y749,Y749)</f>
        <v>0</v>
      </c>
      <c r="V750" s="74"/>
      <c r="W750" s="105">
        <f t="shared" si="157"/>
        <v>0</v>
      </c>
      <c r="X750" s="74"/>
      <c r="Y750" s="105">
        <f t="shared" si="158"/>
        <v>0</v>
      </c>
      <c r="Z750" s="76"/>
    </row>
    <row r="751" spans="1:27" s="29" customFormat="1" ht="21.4" hidden="1" customHeight="1" x14ac:dyDescent="0.2">
      <c r="A751" s="30"/>
      <c r="B751" s="48" t="s">
        <v>7</v>
      </c>
      <c r="C751" s="39">
        <f>IF($J$1="January",P745,IF($J$1="February",P746,IF($J$1="March",P747,IF($J$1="April",P748,IF($J$1="May",P749,IF($J$1="June",P750,IF($J$1="July",P751,IF($J$1="August",P752,IF($J$1="August",P752,IF($J$1="September",P753,IF($J$1="October",P754,IF($J$1="November",P755,IF($J$1="December",P756)))))))))))))</f>
        <v>0</v>
      </c>
      <c r="F751" s="48" t="s">
        <v>65</v>
      </c>
      <c r="G751" s="43">
        <f>IF($J$1="January",W745,IF($J$1="February",W746,IF($J$1="March",W747,IF($J$1="April",W748,IF($J$1="May",W749,IF($J$1="June",W750,IF($J$1="July",W751,IF($J$1="August",W752,IF($J$1="August",W752,IF($J$1="September",W753,IF($J$1="October",W754,IF($J$1="November",W755,IF($J$1="December",W756)))))))))))))</f>
        <v>0</v>
      </c>
      <c r="H751" s="47"/>
      <c r="I751" s="392" t="s">
        <v>69</v>
      </c>
      <c r="J751" s="393"/>
      <c r="K751" s="53">
        <f>K749+K750</f>
        <v>0</v>
      </c>
      <c r="L751" s="54"/>
      <c r="N751" s="71"/>
      <c r="O751" s="72" t="s">
        <v>50</v>
      </c>
      <c r="P751" s="72"/>
      <c r="Q751" s="72"/>
      <c r="R751" s="72">
        <v>0</v>
      </c>
      <c r="S751" s="63"/>
      <c r="T751" s="72" t="s">
        <v>50</v>
      </c>
      <c r="U751" s="105" t="str">
        <f>IF($J$1="July",Y750,"")</f>
        <v/>
      </c>
      <c r="V751" s="74"/>
      <c r="W751" s="105" t="str">
        <f t="shared" si="157"/>
        <v/>
      </c>
      <c r="X751" s="74"/>
      <c r="Y751" s="105" t="str">
        <f t="shared" si="158"/>
        <v/>
      </c>
      <c r="Z751" s="76"/>
    </row>
    <row r="752" spans="1:27" s="29" customFormat="1" ht="21.4" hidden="1" customHeight="1" x14ac:dyDescent="0.2">
      <c r="A752" s="30"/>
      <c r="B752" s="48" t="s">
        <v>6</v>
      </c>
      <c r="C752" s="39">
        <f>IF($J$1="January",Q745,IF($J$1="February",Q746,IF($J$1="March",Q747,IF($J$1="April",Q748,IF($J$1="May",Q749,IF($J$1="June",Q750,IF($J$1="July",Q751,IF($J$1="August",Q752,IF($J$1="August",Q752,IF($J$1="September",Q753,IF($J$1="October",Q754,IF($J$1="November",Q755,IF($J$1="December",Q756)))))))))))))</f>
        <v>0</v>
      </c>
      <c r="F752" s="48" t="s">
        <v>21</v>
      </c>
      <c r="G752" s="43">
        <f>IF($J$1="January",X745,IF($J$1="February",X746,IF($J$1="March",X747,IF($J$1="April",X748,IF($J$1="May",X749,IF($J$1="June",X750,IF($J$1="July",X751,IF($J$1="August",X752,IF($J$1="August",X752,IF($J$1="September",X753,IF($J$1="October",X754,IF($J$1="November",X755,IF($J$1="December",X756)))))))))))))</f>
        <v>0</v>
      </c>
      <c r="H752" s="47"/>
      <c r="I752" s="392" t="s">
        <v>70</v>
      </c>
      <c r="J752" s="393"/>
      <c r="K752" s="43">
        <f>G752</f>
        <v>0</v>
      </c>
      <c r="L752" s="55"/>
      <c r="N752" s="71"/>
      <c r="O752" s="72" t="s">
        <v>51</v>
      </c>
      <c r="P752" s="72"/>
      <c r="Q752" s="72"/>
      <c r="R752" s="72">
        <v>0</v>
      </c>
      <c r="S752" s="63"/>
      <c r="T752" s="72" t="s">
        <v>51</v>
      </c>
      <c r="U752" s="105" t="str">
        <f>IF($J$1="August",Y751,"")</f>
        <v/>
      </c>
      <c r="V752" s="74"/>
      <c r="W752" s="105" t="str">
        <f t="shared" si="157"/>
        <v/>
      </c>
      <c r="X752" s="74"/>
      <c r="Y752" s="105" t="str">
        <f t="shared" si="158"/>
        <v/>
      </c>
      <c r="Z752" s="76"/>
    </row>
    <row r="753" spans="1:27" s="29" customFormat="1" ht="21.4" hidden="1" customHeight="1" x14ac:dyDescent="0.2">
      <c r="A753" s="30"/>
      <c r="B753" s="56" t="s">
        <v>68</v>
      </c>
      <c r="C753" s="39" t="str">
        <f>IF($J$1="January",R745,IF($J$1="February",R746,IF($J$1="March",R747,IF($J$1="April",R748,IF($J$1="May",R749,IF($J$1="June",R750,IF($J$1="July",R751,IF($J$1="August",R752,IF($J$1="August",R752,IF($J$1="September",R753,IF($J$1="October",R754,IF($J$1="November",R755,IF($J$1="December",R756)))))))))))))</f>
        <v/>
      </c>
      <c r="F753" s="48" t="s">
        <v>67</v>
      </c>
      <c r="G753" s="43">
        <f>IF($J$1="January",Y745,IF($J$1="February",Y746,IF($J$1="March",Y747,IF($J$1="April",Y748,IF($J$1="May",Y749,IF($J$1="June",Y750,IF($J$1="July",Y751,IF($J$1="August",Y752,IF($J$1="August",Y752,IF($J$1="September",Y753,IF($J$1="October",Y754,IF($J$1="November",Y755,IF($J$1="December",Y756)))))))))))))</f>
        <v>0</v>
      </c>
      <c r="I753" s="387" t="s">
        <v>63</v>
      </c>
      <c r="J753" s="388"/>
      <c r="K753" s="57">
        <f>K751-K752</f>
        <v>0</v>
      </c>
      <c r="L753" s="58"/>
      <c r="N753" s="71"/>
      <c r="O753" s="72" t="s">
        <v>56</v>
      </c>
      <c r="P753" s="72"/>
      <c r="Q753" s="72"/>
      <c r="R753" s="72" t="str">
        <f t="shared" si="156"/>
        <v/>
      </c>
      <c r="S753" s="63"/>
      <c r="T753" s="72" t="s">
        <v>56</v>
      </c>
      <c r="U753" s="105" t="str">
        <f>IF($J$1="May",Y752,Y752)</f>
        <v/>
      </c>
      <c r="V753" s="74"/>
      <c r="W753" s="105" t="str">
        <f t="shared" si="157"/>
        <v/>
      </c>
      <c r="X753" s="74"/>
      <c r="Y753" s="105" t="str">
        <f t="shared" si="158"/>
        <v/>
      </c>
      <c r="Z753" s="76"/>
    </row>
    <row r="754" spans="1:27" s="29" customFormat="1" ht="21.4" hidden="1" customHeight="1" x14ac:dyDescent="0.2">
      <c r="A754" s="30"/>
      <c r="L754" s="46"/>
      <c r="N754" s="71"/>
      <c r="O754" s="72" t="s">
        <v>52</v>
      </c>
      <c r="P754" s="72"/>
      <c r="Q754" s="72"/>
      <c r="R754" s="72">
        <v>0</v>
      </c>
      <c r="S754" s="63"/>
      <c r="T754" s="72" t="s">
        <v>52</v>
      </c>
      <c r="U754" s="105" t="str">
        <f t="shared" ref="U754:U756" si="159">Y753</f>
        <v/>
      </c>
      <c r="V754" s="74"/>
      <c r="W754" s="105" t="str">
        <f t="shared" si="157"/>
        <v/>
      </c>
      <c r="X754" s="74"/>
      <c r="Y754" s="105" t="str">
        <f t="shared" si="158"/>
        <v/>
      </c>
      <c r="Z754" s="76"/>
    </row>
    <row r="755" spans="1:27" s="29" customFormat="1" ht="21.4" hidden="1" customHeight="1" x14ac:dyDescent="0.2">
      <c r="A755" s="30"/>
      <c r="B755" s="394" t="s">
        <v>85</v>
      </c>
      <c r="C755" s="394"/>
      <c r="D755" s="394"/>
      <c r="E755" s="394"/>
      <c r="F755" s="394"/>
      <c r="G755" s="394"/>
      <c r="H755" s="394"/>
      <c r="I755" s="394"/>
      <c r="J755" s="394"/>
      <c r="K755" s="394"/>
      <c r="L755" s="46"/>
      <c r="N755" s="71"/>
      <c r="O755" s="72" t="s">
        <v>57</v>
      </c>
      <c r="P755" s="72"/>
      <c r="Q755" s="72"/>
      <c r="R755" s="72">
        <v>0</v>
      </c>
      <c r="S755" s="63"/>
      <c r="T755" s="72" t="s">
        <v>57</v>
      </c>
      <c r="U755" s="105" t="str">
        <f t="shared" si="159"/>
        <v/>
      </c>
      <c r="V755" s="74"/>
      <c r="W755" s="105"/>
      <c r="X755" s="74"/>
      <c r="Y755" s="105" t="str">
        <f t="shared" si="158"/>
        <v/>
      </c>
      <c r="Z755" s="76"/>
    </row>
    <row r="756" spans="1:27" s="29" customFormat="1" ht="21.4" hidden="1" customHeight="1" x14ac:dyDescent="0.2">
      <c r="A756" s="30"/>
      <c r="B756" s="394"/>
      <c r="C756" s="394"/>
      <c r="D756" s="394"/>
      <c r="E756" s="394"/>
      <c r="F756" s="394"/>
      <c r="G756" s="394"/>
      <c r="H756" s="394"/>
      <c r="I756" s="394"/>
      <c r="J756" s="394"/>
      <c r="K756" s="394"/>
      <c r="L756" s="46"/>
      <c r="N756" s="71"/>
      <c r="O756" s="72" t="s">
        <v>58</v>
      </c>
      <c r="P756" s="72"/>
      <c r="Q756" s="72"/>
      <c r="R756" s="72">
        <v>0</v>
      </c>
      <c r="S756" s="63"/>
      <c r="T756" s="72" t="s">
        <v>58</v>
      </c>
      <c r="U756" s="105" t="str">
        <f t="shared" si="159"/>
        <v/>
      </c>
      <c r="V756" s="74"/>
      <c r="W756" s="105" t="str">
        <f t="shared" si="157"/>
        <v/>
      </c>
      <c r="X756" s="74"/>
      <c r="Y756" s="105" t="str">
        <f t="shared" si="158"/>
        <v/>
      </c>
      <c r="Z756" s="76"/>
    </row>
    <row r="757" spans="1:27" s="29" customFormat="1" ht="21.4" hidden="1" customHeight="1" thickBot="1" x14ac:dyDescent="0.25">
      <c r="A757" s="59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1"/>
      <c r="N757" s="77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9"/>
    </row>
    <row r="758" spans="1:27" s="29" customFormat="1" ht="21.4" hidden="1" customHeight="1" thickBot="1" x14ac:dyDescent="0.25"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spans="1:27" s="29" customFormat="1" ht="21.4" hidden="1" customHeight="1" x14ac:dyDescent="0.2">
      <c r="A759" s="413" t="s">
        <v>40</v>
      </c>
      <c r="B759" s="414"/>
      <c r="C759" s="414"/>
      <c r="D759" s="414"/>
      <c r="E759" s="414"/>
      <c r="F759" s="414"/>
      <c r="G759" s="414"/>
      <c r="H759" s="414"/>
      <c r="I759" s="414"/>
      <c r="J759" s="414"/>
      <c r="K759" s="414"/>
      <c r="L759" s="415"/>
      <c r="M759" s="28"/>
      <c r="N759" s="64"/>
      <c r="O759" s="403" t="s">
        <v>42</v>
      </c>
      <c r="P759" s="404"/>
      <c r="Q759" s="404"/>
      <c r="R759" s="405"/>
      <c r="S759" s="65"/>
      <c r="T759" s="403" t="s">
        <v>43</v>
      </c>
      <c r="U759" s="404"/>
      <c r="V759" s="404"/>
      <c r="W759" s="404"/>
      <c r="X759" s="404"/>
      <c r="Y759" s="405"/>
      <c r="Z759" s="66"/>
      <c r="AA759" s="28"/>
    </row>
    <row r="760" spans="1:27" s="29" customFormat="1" ht="21.4" hidden="1" customHeight="1" x14ac:dyDescent="0.2">
      <c r="A760" s="30"/>
      <c r="C760" s="402" t="s">
        <v>83</v>
      </c>
      <c r="D760" s="402"/>
      <c r="E760" s="402"/>
      <c r="F760" s="402"/>
      <c r="G760" s="31" t="str">
        <f>$J$1</f>
        <v>June</v>
      </c>
      <c r="H760" s="409">
        <f>$K$1</f>
        <v>2023</v>
      </c>
      <c r="I760" s="409"/>
      <c r="K760" s="32"/>
      <c r="L760" s="33"/>
      <c r="M760" s="32"/>
      <c r="N760" s="67"/>
      <c r="O760" s="68" t="s">
        <v>53</v>
      </c>
      <c r="P760" s="68" t="s">
        <v>7</v>
      </c>
      <c r="Q760" s="68" t="s">
        <v>6</v>
      </c>
      <c r="R760" s="68" t="s">
        <v>54</v>
      </c>
      <c r="S760" s="69"/>
      <c r="T760" s="68" t="s">
        <v>53</v>
      </c>
      <c r="U760" s="68" t="s">
        <v>55</v>
      </c>
      <c r="V760" s="68" t="s">
        <v>20</v>
      </c>
      <c r="W760" s="68" t="s">
        <v>19</v>
      </c>
      <c r="X760" s="68" t="s">
        <v>21</v>
      </c>
      <c r="Y760" s="68" t="s">
        <v>59</v>
      </c>
      <c r="Z760" s="70"/>
      <c r="AA760" s="32"/>
    </row>
    <row r="761" spans="1:27" s="29" customFormat="1" ht="21.4" hidden="1" customHeight="1" x14ac:dyDescent="0.2">
      <c r="A761" s="30"/>
      <c r="D761" s="35"/>
      <c r="E761" s="35"/>
      <c r="F761" s="35"/>
      <c r="G761" s="35"/>
      <c r="H761" s="35"/>
      <c r="J761" s="36" t="s">
        <v>1</v>
      </c>
      <c r="K761" s="37"/>
      <c r="L761" s="38"/>
      <c r="N761" s="71"/>
      <c r="O761" s="72" t="s">
        <v>45</v>
      </c>
      <c r="P761" s="72"/>
      <c r="Q761" s="72"/>
      <c r="R761" s="72"/>
      <c r="S761" s="73"/>
      <c r="T761" s="72" t="s">
        <v>45</v>
      </c>
      <c r="U761" s="74"/>
      <c r="V761" s="74"/>
      <c r="W761" s="74">
        <f>V761+U761</f>
        <v>0</v>
      </c>
      <c r="X761" s="74"/>
      <c r="Y761" s="74">
        <f>W761-X761</f>
        <v>0</v>
      </c>
      <c r="Z761" s="70"/>
    </row>
    <row r="762" spans="1:27" s="29" customFormat="1" ht="21.4" hidden="1" customHeight="1" x14ac:dyDescent="0.2">
      <c r="A762" s="30"/>
      <c r="B762" s="29" t="s">
        <v>0</v>
      </c>
      <c r="C762" s="40"/>
      <c r="H762" s="41"/>
      <c r="I762" s="35"/>
      <c r="L762" s="42"/>
      <c r="M762" s="28"/>
      <c r="N762" s="75"/>
      <c r="O762" s="72" t="s">
        <v>71</v>
      </c>
      <c r="P762" s="72"/>
      <c r="Q762" s="72"/>
      <c r="R762" s="72" t="str">
        <f>IF(Q762="","",R761-Q762)</f>
        <v/>
      </c>
      <c r="S762" s="63"/>
      <c r="T762" s="72" t="s">
        <v>71</v>
      </c>
      <c r="U762" s="105">
        <f>Y761</f>
        <v>0</v>
      </c>
      <c r="V762" s="74"/>
      <c r="W762" s="105">
        <f>IF(U762="","",U762+V762)</f>
        <v>0</v>
      </c>
      <c r="X762" s="74"/>
      <c r="Y762" s="105">
        <f>IF(W762="","",W762-X762)</f>
        <v>0</v>
      </c>
      <c r="Z762" s="76"/>
      <c r="AA762" s="28"/>
    </row>
    <row r="763" spans="1:27" s="29" customFormat="1" ht="21.4" hidden="1" customHeight="1" x14ac:dyDescent="0.2">
      <c r="A763" s="30"/>
      <c r="B763" s="44" t="s">
        <v>41</v>
      </c>
      <c r="C763" s="45"/>
      <c r="F763" s="391" t="s">
        <v>43</v>
      </c>
      <c r="G763" s="391"/>
      <c r="I763" s="391" t="s">
        <v>44</v>
      </c>
      <c r="J763" s="391"/>
      <c r="K763" s="391"/>
      <c r="L763" s="46"/>
      <c r="N763" s="71"/>
      <c r="O763" s="72" t="s">
        <v>46</v>
      </c>
      <c r="P763" s="72"/>
      <c r="Q763" s="72"/>
      <c r="R763" s="72" t="str">
        <f t="shared" ref="R763:R772" si="160">IF(Q763="","",R762-Q763)</f>
        <v/>
      </c>
      <c r="S763" s="63"/>
      <c r="T763" s="72" t="s">
        <v>46</v>
      </c>
      <c r="U763" s="105">
        <f>IF($J$1="April",Y762,Y762)</f>
        <v>0</v>
      </c>
      <c r="V763" s="74"/>
      <c r="W763" s="105">
        <f t="shared" ref="W763:W772" si="161">IF(U763="","",U763+V763)</f>
        <v>0</v>
      </c>
      <c r="X763" s="74"/>
      <c r="Y763" s="105">
        <f t="shared" ref="Y763:Y772" si="162">IF(W763="","",W763-X763)</f>
        <v>0</v>
      </c>
      <c r="Z763" s="76"/>
    </row>
    <row r="764" spans="1:27" s="29" customFormat="1" ht="21.4" hidden="1" customHeight="1" x14ac:dyDescent="0.2">
      <c r="A764" s="30"/>
      <c r="H764" s="47"/>
      <c r="L764" s="34"/>
      <c r="N764" s="71"/>
      <c r="O764" s="72" t="s">
        <v>47</v>
      </c>
      <c r="P764" s="72"/>
      <c r="Q764" s="72"/>
      <c r="R764" s="72" t="str">
        <f t="shared" si="160"/>
        <v/>
      </c>
      <c r="S764" s="63"/>
      <c r="T764" s="72" t="s">
        <v>47</v>
      </c>
      <c r="U764" s="105">
        <f>IF($J$1="April",Y763,Y763)</f>
        <v>0</v>
      </c>
      <c r="V764" s="74"/>
      <c r="W764" s="105">
        <f t="shared" si="161"/>
        <v>0</v>
      </c>
      <c r="X764" s="74"/>
      <c r="Y764" s="105">
        <f t="shared" si="162"/>
        <v>0</v>
      </c>
      <c r="Z764" s="76"/>
    </row>
    <row r="765" spans="1:27" s="29" customFormat="1" ht="21.4" hidden="1" customHeight="1" x14ac:dyDescent="0.2">
      <c r="A765" s="30"/>
      <c r="B765" s="389" t="s">
        <v>42</v>
      </c>
      <c r="C765" s="390"/>
      <c r="F765" s="48" t="s">
        <v>64</v>
      </c>
      <c r="G765" s="43">
        <f>IF($J$1="January",U761,IF($J$1="February",U762,IF($J$1="March",U763,IF($J$1="April",U764,IF($J$1="May",U765,IF($J$1="June",U766,IF($J$1="July",U767,IF($J$1="August",U768,IF($J$1="August",U768,IF($J$1="September",U769,IF($J$1="October",U770,IF($J$1="November",U771,IF($J$1="December",U772)))))))))))))</f>
        <v>0</v>
      </c>
      <c r="H765" s="47"/>
      <c r="I765" s="49"/>
      <c r="J765" s="50" t="s">
        <v>61</v>
      </c>
      <c r="K765" s="51">
        <f>K761/$K$2*I765</f>
        <v>0</v>
      </c>
      <c r="L765" s="52"/>
      <c r="N765" s="71"/>
      <c r="O765" s="72" t="s">
        <v>48</v>
      </c>
      <c r="P765" s="72"/>
      <c r="Q765" s="72"/>
      <c r="R765" s="72" t="str">
        <f t="shared" si="160"/>
        <v/>
      </c>
      <c r="S765" s="63"/>
      <c r="T765" s="72" t="s">
        <v>48</v>
      </c>
      <c r="U765" s="105">
        <f>IF($J$1="May",Y764,Y764)</f>
        <v>0</v>
      </c>
      <c r="V765" s="74"/>
      <c r="W765" s="105">
        <f t="shared" si="161"/>
        <v>0</v>
      </c>
      <c r="X765" s="74"/>
      <c r="Y765" s="105">
        <f t="shared" si="162"/>
        <v>0</v>
      </c>
      <c r="Z765" s="76"/>
    </row>
    <row r="766" spans="1:27" s="29" customFormat="1" ht="21.4" hidden="1" customHeight="1" x14ac:dyDescent="0.2">
      <c r="A766" s="30"/>
      <c r="B766" s="39"/>
      <c r="C766" s="39"/>
      <c r="F766" s="48" t="s">
        <v>20</v>
      </c>
      <c r="G766" s="43">
        <f>IF($J$1="January",V761,IF($J$1="February",V762,IF($J$1="March",V763,IF($J$1="April",V764,IF($J$1="May",V765,IF($J$1="June",V766,IF($J$1="July",V767,IF($J$1="August",V768,IF($J$1="August",V768,IF($J$1="September",V769,IF($J$1="October",V770,IF($J$1="November",V771,IF($J$1="December",V772)))))))))))))</f>
        <v>0</v>
      </c>
      <c r="H766" s="47"/>
      <c r="I766" s="84"/>
      <c r="J766" s="50" t="s">
        <v>62</v>
      </c>
      <c r="K766" s="53">
        <f>K761/$K$2/8*I766</f>
        <v>0</v>
      </c>
      <c r="L766" s="54"/>
      <c r="N766" s="71"/>
      <c r="O766" s="72" t="s">
        <v>49</v>
      </c>
      <c r="P766" s="72"/>
      <c r="Q766" s="72"/>
      <c r="R766" s="72" t="str">
        <f t="shared" si="160"/>
        <v/>
      </c>
      <c r="S766" s="63"/>
      <c r="T766" s="72" t="s">
        <v>49</v>
      </c>
      <c r="U766" s="105">
        <f>IF($J$1="May",Y765,Y765)</f>
        <v>0</v>
      </c>
      <c r="V766" s="74"/>
      <c r="W766" s="105">
        <f t="shared" si="161"/>
        <v>0</v>
      </c>
      <c r="X766" s="74"/>
      <c r="Y766" s="105">
        <f t="shared" si="162"/>
        <v>0</v>
      </c>
      <c r="Z766" s="76"/>
    </row>
    <row r="767" spans="1:27" s="29" customFormat="1" ht="21.4" hidden="1" customHeight="1" x14ac:dyDescent="0.2">
      <c r="A767" s="30"/>
      <c r="B767" s="48" t="s">
        <v>7</v>
      </c>
      <c r="C767" s="39">
        <f>IF($J$1="January",P761,IF($J$1="February",P762,IF($J$1="March",P763,IF($J$1="April",P764,IF($J$1="May",P765,IF($J$1="June",P766,IF($J$1="July",P767,IF($J$1="August",P768,IF($J$1="August",P768,IF($J$1="September",P769,IF($J$1="October",P770,IF($J$1="November",P771,IF($J$1="December",P772)))))))))))))</f>
        <v>0</v>
      </c>
      <c r="F767" s="48" t="s">
        <v>65</v>
      </c>
      <c r="G767" s="43">
        <f>IF($J$1="January",W761,IF($J$1="February",W762,IF($J$1="March",W763,IF($J$1="April",W764,IF($J$1="May",W765,IF($J$1="June",W766,IF($J$1="July",W767,IF($J$1="August",W768,IF($J$1="August",W768,IF($J$1="September",W769,IF($J$1="October",W770,IF($J$1="November",W771,IF($J$1="December",W772)))))))))))))</f>
        <v>0</v>
      </c>
      <c r="H767" s="47"/>
      <c r="I767" s="392" t="s">
        <v>69</v>
      </c>
      <c r="J767" s="393"/>
      <c r="K767" s="53">
        <f>K765+K766</f>
        <v>0</v>
      </c>
      <c r="L767" s="54"/>
      <c r="N767" s="71"/>
      <c r="O767" s="72" t="s">
        <v>50</v>
      </c>
      <c r="P767" s="72"/>
      <c r="Q767" s="72"/>
      <c r="R767" s="72" t="str">
        <f t="shared" si="160"/>
        <v/>
      </c>
      <c r="S767" s="63"/>
      <c r="T767" s="72" t="s">
        <v>50</v>
      </c>
      <c r="U767" s="105" t="str">
        <f>IF($J$1="July",Y766,"")</f>
        <v/>
      </c>
      <c r="V767" s="74"/>
      <c r="W767" s="105" t="str">
        <f t="shared" si="161"/>
        <v/>
      </c>
      <c r="X767" s="74"/>
      <c r="Y767" s="105" t="str">
        <f t="shared" si="162"/>
        <v/>
      </c>
      <c r="Z767" s="76"/>
    </row>
    <row r="768" spans="1:27" s="29" customFormat="1" ht="21.4" hidden="1" customHeight="1" x14ac:dyDescent="0.2">
      <c r="A768" s="30"/>
      <c r="B768" s="48" t="s">
        <v>6</v>
      </c>
      <c r="C768" s="39">
        <f>IF($J$1="January",Q761,IF($J$1="February",Q762,IF($J$1="March",Q763,IF($J$1="April",Q764,IF($J$1="May",Q765,IF($J$1="June",Q766,IF($J$1="July",Q767,IF($J$1="August",Q768,IF($J$1="August",Q768,IF($J$1="September",Q769,IF($J$1="October",Q770,IF($J$1="November",Q771,IF($J$1="December",Q772)))))))))))))</f>
        <v>0</v>
      </c>
      <c r="F768" s="48" t="s">
        <v>21</v>
      </c>
      <c r="G768" s="43">
        <f>IF($J$1="January",X761,IF($J$1="February",X762,IF($J$1="March",X763,IF($J$1="April",X764,IF($J$1="May",X765,IF($J$1="June",X766,IF($J$1="July",X767,IF($J$1="August",X768,IF($J$1="August",X768,IF($J$1="September",X769,IF($J$1="October",X770,IF($J$1="November",X771,IF($J$1="December",X772)))))))))))))</f>
        <v>0</v>
      </c>
      <c r="H768" s="47"/>
      <c r="I768" s="392" t="s">
        <v>70</v>
      </c>
      <c r="J768" s="393"/>
      <c r="K768" s="43">
        <f>G768</f>
        <v>0</v>
      </c>
      <c r="L768" s="55"/>
      <c r="N768" s="71"/>
      <c r="O768" s="72" t="s">
        <v>51</v>
      </c>
      <c r="P768" s="72"/>
      <c r="Q768" s="72"/>
      <c r="R768" s="72" t="str">
        <f t="shared" si="160"/>
        <v/>
      </c>
      <c r="S768" s="63"/>
      <c r="T768" s="72" t="s">
        <v>51</v>
      </c>
      <c r="U768" s="105" t="str">
        <f>IF($J$1="August",Y767,"")</f>
        <v/>
      </c>
      <c r="V768" s="74"/>
      <c r="W768" s="105" t="str">
        <f t="shared" si="161"/>
        <v/>
      </c>
      <c r="X768" s="74"/>
      <c r="Y768" s="105" t="str">
        <f t="shared" si="162"/>
        <v/>
      </c>
      <c r="Z768" s="76"/>
    </row>
    <row r="769" spans="1:27" s="29" customFormat="1" ht="21.4" hidden="1" customHeight="1" x14ac:dyDescent="0.2">
      <c r="A769" s="30"/>
      <c r="B769" s="56" t="s">
        <v>68</v>
      </c>
      <c r="C769" s="39" t="str">
        <f>IF($J$1="January",R761,IF($J$1="February",R762,IF($J$1="March",R763,IF($J$1="April",R764,IF($J$1="May",R765,IF($J$1="June",R766,IF($J$1="July",R767,IF($J$1="August",R768,IF($J$1="August",R768,IF($J$1="September",R769,IF($J$1="October",R770,IF($J$1="November",R771,IF($J$1="December",R772)))))))))))))</f>
        <v/>
      </c>
      <c r="F769" s="48" t="s">
        <v>67</v>
      </c>
      <c r="G769" s="43">
        <f>IF($J$1="January",Y761,IF($J$1="February",Y762,IF($J$1="March",Y763,IF($J$1="April",Y764,IF($J$1="May",Y765,IF($J$1="June",Y766,IF($J$1="July",Y767,IF($J$1="August",Y768,IF($J$1="August",Y768,IF($J$1="September",Y769,IF($J$1="October",Y770,IF($J$1="November",Y771,IF($J$1="December",Y772)))))))))))))</f>
        <v>0</v>
      </c>
      <c r="I769" s="387" t="s">
        <v>63</v>
      </c>
      <c r="J769" s="388"/>
      <c r="K769" s="57">
        <f>K767-K768</f>
        <v>0</v>
      </c>
      <c r="L769" s="58"/>
      <c r="N769" s="71"/>
      <c r="O769" s="72" t="s">
        <v>56</v>
      </c>
      <c r="P769" s="72"/>
      <c r="Q769" s="72"/>
      <c r="R769" s="72" t="str">
        <f t="shared" si="160"/>
        <v/>
      </c>
      <c r="S769" s="63"/>
      <c r="T769" s="72" t="s">
        <v>56</v>
      </c>
      <c r="U769" s="105" t="str">
        <f>IF($J$1="Sept",Y768,"")</f>
        <v/>
      </c>
      <c r="V769" s="74"/>
      <c r="W769" s="105" t="str">
        <f t="shared" si="161"/>
        <v/>
      </c>
      <c r="X769" s="74"/>
      <c r="Y769" s="105" t="str">
        <f t="shared" si="162"/>
        <v/>
      </c>
      <c r="Z769" s="76"/>
    </row>
    <row r="770" spans="1:27" s="29" customFormat="1" ht="21.4" hidden="1" customHeight="1" x14ac:dyDescent="0.2">
      <c r="A770" s="30"/>
      <c r="L770" s="46"/>
      <c r="N770" s="71"/>
      <c r="O770" s="72" t="s">
        <v>52</v>
      </c>
      <c r="P770" s="72"/>
      <c r="Q770" s="72"/>
      <c r="R770" s="72" t="str">
        <f t="shared" si="160"/>
        <v/>
      </c>
      <c r="S770" s="63"/>
      <c r="T770" s="72" t="s">
        <v>52</v>
      </c>
      <c r="U770" s="105" t="str">
        <f>IF($J$1="October",Y769,"")</f>
        <v/>
      </c>
      <c r="V770" s="74"/>
      <c r="W770" s="105" t="str">
        <f t="shared" si="161"/>
        <v/>
      </c>
      <c r="X770" s="74"/>
      <c r="Y770" s="105" t="str">
        <f t="shared" si="162"/>
        <v/>
      </c>
      <c r="Z770" s="76"/>
    </row>
    <row r="771" spans="1:27" s="29" customFormat="1" ht="21.4" hidden="1" customHeight="1" x14ac:dyDescent="0.2">
      <c r="A771" s="30"/>
      <c r="B771" s="394" t="s">
        <v>85</v>
      </c>
      <c r="C771" s="394"/>
      <c r="D771" s="394"/>
      <c r="E771" s="394"/>
      <c r="F771" s="394"/>
      <c r="G771" s="394"/>
      <c r="H771" s="394"/>
      <c r="I771" s="394"/>
      <c r="J771" s="394"/>
      <c r="K771" s="394"/>
      <c r="L771" s="46"/>
      <c r="N771" s="71"/>
      <c r="O771" s="72" t="s">
        <v>57</v>
      </c>
      <c r="P771" s="72"/>
      <c r="Q771" s="72"/>
      <c r="R771" s="72" t="str">
        <f t="shared" si="160"/>
        <v/>
      </c>
      <c r="S771" s="63"/>
      <c r="T771" s="72" t="s">
        <v>57</v>
      </c>
      <c r="U771" s="105" t="str">
        <f>IF($J$1="November",Y770,"")</f>
        <v/>
      </c>
      <c r="V771" s="74"/>
      <c r="W771" s="105" t="str">
        <f t="shared" si="161"/>
        <v/>
      </c>
      <c r="X771" s="74"/>
      <c r="Y771" s="105" t="str">
        <f t="shared" si="162"/>
        <v/>
      </c>
      <c r="Z771" s="76"/>
    </row>
    <row r="772" spans="1:27" s="29" customFormat="1" ht="21.4" hidden="1" customHeight="1" x14ac:dyDescent="0.2">
      <c r="A772" s="30"/>
      <c r="B772" s="394"/>
      <c r="C772" s="394"/>
      <c r="D772" s="394"/>
      <c r="E772" s="394"/>
      <c r="F772" s="394"/>
      <c r="G772" s="394"/>
      <c r="H772" s="394"/>
      <c r="I772" s="394"/>
      <c r="J772" s="394"/>
      <c r="K772" s="394"/>
      <c r="L772" s="46"/>
      <c r="N772" s="71"/>
      <c r="O772" s="72" t="s">
        <v>58</v>
      </c>
      <c r="P772" s="72"/>
      <c r="Q772" s="72"/>
      <c r="R772" s="72" t="str">
        <f t="shared" si="160"/>
        <v/>
      </c>
      <c r="S772" s="63"/>
      <c r="T772" s="72" t="s">
        <v>58</v>
      </c>
      <c r="U772" s="105" t="str">
        <f>IF($J$1="Dec",Y771,"")</f>
        <v/>
      </c>
      <c r="V772" s="74"/>
      <c r="W772" s="105" t="str">
        <f t="shared" si="161"/>
        <v/>
      </c>
      <c r="X772" s="74"/>
      <c r="Y772" s="105" t="str">
        <f t="shared" si="162"/>
        <v/>
      </c>
      <c r="Z772" s="76"/>
    </row>
    <row r="773" spans="1:27" s="29" customFormat="1" ht="21.4" hidden="1" customHeight="1" thickBot="1" x14ac:dyDescent="0.25">
      <c r="A773" s="59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1"/>
      <c r="N773" s="77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9"/>
    </row>
    <row r="774" spans="1:27" s="29" customFormat="1" ht="21.4" hidden="1" customHeight="1" thickBot="1" x14ac:dyDescent="0.25"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spans="1:27" s="29" customFormat="1" ht="21.4" hidden="1" customHeight="1" x14ac:dyDescent="0.2">
      <c r="A775" s="436" t="s">
        <v>40</v>
      </c>
      <c r="B775" s="437"/>
      <c r="C775" s="437"/>
      <c r="D775" s="437"/>
      <c r="E775" s="437"/>
      <c r="F775" s="437"/>
      <c r="G775" s="437"/>
      <c r="H775" s="437"/>
      <c r="I775" s="437"/>
      <c r="J775" s="437"/>
      <c r="K775" s="437"/>
      <c r="L775" s="438"/>
      <c r="M775" s="28"/>
      <c r="N775" s="64"/>
      <c r="O775" s="403" t="s">
        <v>42</v>
      </c>
      <c r="P775" s="404"/>
      <c r="Q775" s="404"/>
      <c r="R775" s="405"/>
      <c r="S775" s="65"/>
      <c r="T775" s="403" t="s">
        <v>43</v>
      </c>
      <c r="U775" s="404"/>
      <c r="V775" s="404"/>
      <c r="W775" s="404"/>
      <c r="X775" s="404"/>
      <c r="Y775" s="405"/>
      <c r="Z775" s="66"/>
      <c r="AA775" s="28"/>
    </row>
    <row r="776" spans="1:27" s="29" customFormat="1" ht="21.4" hidden="1" customHeight="1" x14ac:dyDescent="0.2">
      <c r="A776" s="30"/>
      <c r="C776" s="402" t="s">
        <v>83</v>
      </c>
      <c r="D776" s="402"/>
      <c r="E776" s="402"/>
      <c r="F776" s="402"/>
      <c r="G776" s="31" t="str">
        <f>$J$1</f>
        <v>June</v>
      </c>
      <c r="H776" s="409">
        <f>$K$1</f>
        <v>2023</v>
      </c>
      <c r="I776" s="409"/>
      <c r="K776" s="32"/>
      <c r="L776" s="33"/>
      <c r="M776" s="32"/>
      <c r="N776" s="67"/>
      <c r="O776" s="68" t="s">
        <v>53</v>
      </c>
      <c r="P776" s="68" t="s">
        <v>7</v>
      </c>
      <c r="Q776" s="68" t="s">
        <v>6</v>
      </c>
      <c r="R776" s="68" t="s">
        <v>54</v>
      </c>
      <c r="S776" s="69"/>
      <c r="T776" s="68" t="s">
        <v>53</v>
      </c>
      <c r="U776" s="68" t="s">
        <v>55</v>
      </c>
      <c r="V776" s="68" t="s">
        <v>20</v>
      </c>
      <c r="W776" s="68" t="s">
        <v>19</v>
      </c>
      <c r="X776" s="68" t="s">
        <v>21</v>
      </c>
      <c r="Y776" s="68" t="s">
        <v>59</v>
      </c>
      <c r="Z776" s="70"/>
      <c r="AA776" s="32"/>
    </row>
    <row r="777" spans="1:27" s="29" customFormat="1" ht="21.4" hidden="1" customHeight="1" x14ac:dyDescent="0.2">
      <c r="A777" s="30"/>
      <c r="D777" s="35"/>
      <c r="E777" s="35"/>
      <c r="F777" s="35"/>
      <c r="G777" s="35"/>
      <c r="H777" s="35"/>
      <c r="J777" s="36" t="s">
        <v>1</v>
      </c>
      <c r="K777" s="37">
        <v>800</v>
      </c>
      <c r="L777" s="38"/>
      <c r="N777" s="71"/>
      <c r="O777" s="72" t="s">
        <v>45</v>
      </c>
      <c r="P777" s="72"/>
      <c r="Q777" s="72"/>
      <c r="R777" s="72">
        <v>0</v>
      </c>
      <c r="S777" s="73"/>
      <c r="T777" s="72" t="s">
        <v>45</v>
      </c>
      <c r="U777" s="74"/>
      <c r="V777" s="74"/>
      <c r="W777" s="74">
        <f>V777+U777</f>
        <v>0</v>
      </c>
      <c r="X777" s="74"/>
      <c r="Y777" s="74">
        <f>W777-X777</f>
        <v>0</v>
      </c>
      <c r="Z777" s="70"/>
    </row>
    <row r="778" spans="1:27" s="29" customFormat="1" ht="21.4" hidden="1" customHeight="1" x14ac:dyDescent="0.2">
      <c r="A778" s="30"/>
      <c r="B778" s="29" t="s">
        <v>0</v>
      </c>
      <c r="C778" s="40"/>
      <c r="H778" s="41"/>
      <c r="I778" s="35"/>
      <c r="L778" s="42"/>
      <c r="M778" s="28"/>
      <c r="N778" s="75"/>
      <c r="O778" s="72" t="s">
        <v>71</v>
      </c>
      <c r="P778" s="72"/>
      <c r="Q778" s="72"/>
      <c r="R778" s="72" t="str">
        <f>IF(Q778="","",R777-Q778)</f>
        <v/>
      </c>
      <c r="S778" s="63"/>
      <c r="T778" s="72" t="s">
        <v>71</v>
      </c>
      <c r="U778" s="105"/>
      <c r="V778" s="74"/>
      <c r="W778" s="105" t="str">
        <f>IF(U778="","",U778+V778)</f>
        <v/>
      </c>
      <c r="X778" s="74"/>
      <c r="Y778" s="105" t="str">
        <f>IF(W778="","",W778-X778)</f>
        <v/>
      </c>
      <c r="Z778" s="76"/>
      <c r="AA778" s="28"/>
    </row>
    <row r="779" spans="1:27" s="29" customFormat="1" ht="21.4" hidden="1" customHeight="1" x14ac:dyDescent="0.2">
      <c r="A779" s="30"/>
      <c r="B779" s="44" t="s">
        <v>41</v>
      </c>
      <c r="C779" s="45"/>
      <c r="F779" s="391" t="s">
        <v>43</v>
      </c>
      <c r="G779" s="391"/>
      <c r="I779" s="391" t="s">
        <v>44</v>
      </c>
      <c r="J779" s="391"/>
      <c r="K779" s="391"/>
      <c r="L779" s="46"/>
      <c r="N779" s="71"/>
      <c r="O779" s="72" t="s">
        <v>46</v>
      </c>
      <c r="P779" s="72"/>
      <c r="Q779" s="72"/>
      <c r="R779" s="72" t="str">
        <f t="shared" ref="R779:R788" si="163">IF(Q779="","",R778-Q779)</f>
        <v/>
      </c>
      <c r="S779" s="63"/>
      <c r="T779" s="72" t="s">
        <v>46</v>
      </c>
      <c r="U779" s="105"/>
      <c r="V779" s="74"/>
      <c r="W779" s="105" t="str">
        <f t="shared" ref="W779:W788" si="164">IF(U779="","",U779+V779)</f>
        <v/>
      </c>
      <c r="X779" s="74"/>
      <c r="Y779" s="105" t="str">
        <f t="shared" ref="Y779:Y788" si="165">IF(W779="","",W779-X779)</f>
        <v/>
      </c>
      <c r="Z779" s="76"/>
    </row>
    <row r="780" spans="1:27" s="29" customFormat="1" ht="21.4" hidden="1" customHeight="1" x14ac:dyDescent="0.2">
      <c r="A780" s="30"/>
      <c r="H780" s="47"/>
      <c r="L780" s="34"/>
      <c r="N780" s="71"/>
      <c r="O780" s="72" t="s">
        <v>47</v>
      </c>
      <c r="P780" s="72"/>
      <c r="Q780" s="72"/>
      <c r="R780" s="72" t="str">
        <f t="shared" si="163"/>
        <v/>
      </c>
      <c r="S780" s="63"/>
      <c r="T780" s="72" t="s">
        <v>47</v>
      </c>
      <c r="U780" s="105"/>
      <c r="V780" s="74"/>
      <c r="W780" s="105" t="str">
        <f t="shared" si="164"/>
        <v/>
      </c>
      <c r="X780" s="74"/>
      <c r="Y780" s="105" t="str">
        <f t="shared" si="165"/>
        <v/>
      </c>
      <c r="Z780" s="76"/>
    </row>
    <row r="781" spans="1:27" s="29" customFormat="1" ht="21.4" hidden="1" customHeight="1" x14ac:dyDescent="0.2">
      <c r="A781" s="30"/>
      <c r="B781" s="389" t="s">
        <v>42</v>
      </c>
      <c r="C781" s="390"/>
      <c r="F781" s="48" t="s">
        <v>64</v>
      </c>
      <c r="G781" s="43">
        <f>IF($J$1="January",U777,IF($J$1="February",U778,IF($J$1="March",U779,IF($J$1="April",U780,IF($J$1="May",U781,IF($J$1="June",U782,IF($J$1="July",U783,IF($J$1="August",U784,IF($J$1="August",U784,IF($J$1="September",U785,IF($J$1="October",U786,IF($J$1="November",U787,IF($J$1="December",U788)))))))))))))</f>
        <v>0</v>
      </c>
      <c r="H781" s="47"/>
      <c r="I781" s="49">
        <v>31</v>
      </c>
      <c r="J781" s="50" t="s">
        <v>61</v>
      </c>
      <c r="K781" s="51">
        <f>K777*I781</f>
        <v>24800</v>
      </c>
      <c r="L781" s="52"/>
      <c r="N781" s="71"/>
      <c r="O781" s="72" t="s">
        <v>48</v>
      </c>
      <c r="P781" s="72"/>
      <c r="Q781" s="72"/>
      <c r="R781" s="72" t="str">
        <f t="shared" si="163"/>
        <v/>
      </c>
      <c r="S781" s="63"/>
      <c r="T781" s="72" t="s">
        <v>48</v>
      </c>
      <c r="U781" s="105"/>
      <c r="V781" s="74"/>
      <c r="W781" s="105" t="str">
        <f t="shared" si="164"/>
        <v/>
      </c>
      <c r="X781" s="74"/>
      <c r="Y781" s="105" t="str">
        <f t="shared" si="165"/>
        <v/>
      </c>
      <c r="Z781" s="76"/>
    </row>
    <row r="782" spans="1:27" s="29" customFormat="1" ht="21.4" hidden="1" customHeight="1" x14ac:dyDescent="0.2">
      <c r="A782" s="30"/>
      <c r="B782" s="39"/>
      <c r="C782" s="39"/>
      <c r="F782" s="48" t="s">
        <v>20</v>
      </c>
      <c r="G782" s="43">
        <f>IF($J$1="January",V777,IF($J$1="February",V778,IF($J$1="March",V779,IF($J$1="April",V780,IF($J$1="May",V781,IF($J$1="June",V782,IF($J$1="July",V783,IF($J$1="August",V784,IF($J$1="August",V784,IF($J$1="September",V785,IF($J$1="October",V786,IF($J$1="November",V787,IF($J$1="December",V788)))))))))))))</f>
        <v>0</v>
      </c>
      <c r="H782" s="47"/>
      <c r="I782" s="49"/>
      <c r="J782" s="50" t="s">
        <v>62</v>
      </c>
      <c r="K782" s="53">
        <f>K777/8*I782</f>
        <v>0</v>
      </c>
      <c r="L782" s="54"/>
      <c r="N782" s="71"/>
      <c r="O782" s="72" t="s">
        <v>49</v>
      </c>
      <c r="P782" s="72"/>
      <c r="Q782" s="72"/>
      <c r="R782" s="72" t="str">
        <f t="shared" si="163"/>
        <v/>
      </c>
      <c r="S782" s="63"/>
      <c r="T782" s="72" t="s">
        <v>49</v>
      </c>
      <c r="U782" s="105"/>
      <c r="V782" s="74"/>
      <c r="W782" s="105" t="str">
        <f t="shared" si="164"/>
        <v/>
      </c>
      <c r="X782" s="74"/>
      <c r="Y782" s="105" t="str">
        <f t="shared" si="165"/>
        <v/>
      </c>
      <c r="Z782" s="76"/>
    </row>
    <row r="783" spans="1:27" s="29" customFormat="1" ht="21.4" hidden="1" customHeight="1" x14ac:dyDescent="0.2">
      <c r="A783" s="30"/>
      <c r="B783" s="48" t="s">
        <v>7</v>
      </c>
      <c r="C783" s="39">
        <f>IF($J$1="January",P777,IF($J$1="February",P778,IF($J$1="March",P779,IF($J$1="April",P780,IF($J$1="May",P781,IF($J$1="June",P782,IF($J$1="July",P783,IF($J$1="August",P784,IF($J$1="August",P784,IF($J$1="September",P785,IF($J$1="October",P786,IF($J$1="November",P787,IF($J$1="December",P788)))))))))))))</f>
        <v>0</v>
      </c>
      <c r="F783" s="48" t="s">
        <v>65</v>
      </c>
      <c r="G783" s="43" t="str">
        <f>IF($J$1="January",W777,IF($J$1="February",W778,IF($J$1="March",W779,IF($J$1="April",W780,IF($J$1="May",W781,IF($J$1="June",W782,IF($J$1="July",W783,IF($J$1="August",W784,IF($J$1="August",W784,IF($J$1="September",W785,IF($J$1="October",W786,IF($J$1="November",W787,IF($J$1="December",W788)))))))))))))</f>
        <v/>
      </c>
      <c r="H783" s="47"/>
      <c r="I783" s="392" t="s">
        <v>69</v>
      </c>
      <c r="J783" s="393"/>
      <c r="K783" s="53">
        <f>K781+K782</f>
        <v>24800</v>
      </c>
      <c r="L783" s="54"/>
      <c r="N783" s="71"/>
      <c r="O783" s="72" t="s">
        <v>50</v>
      </c>
      <c r="P783" s="72"/>
      <c r="Q783" s="72"/>
      <c r="R783" s="72" t="str">
        <f t="shared" si="163"/>
        <v/>
      </c>
      <c r="S783" s="63"/>
      <c r="T783" s="72" t="s">
        <v>50</v>
      </c>
      <c r="U783" s="105"/>
      <c r="V783" s="74"/>
      <c r="W783" s="105" t="str">
        <f t="shared" si="164"/>
        <v/>
      </c>
      <c r="X783" s="74"/>
      <c r="Y783" s="105" t="str">
        <f t="shared" si="165"/>
        <v/>
      </c>
      <c r="Z783" s="76"/>
    </row>
    <row r="784" spans="1:27" s="29" customFormat="1" ht="21.4" hidden="1" customHeight="1" x14ac:dyDescent="0.2">
      <c r="A784" s="30"/>
      <c r="B784" s="48" t="s">
        <v>6</v>
      </c>
      <c r="C784" s="39">
        <f>IF($J$1="January",Q777,IF($J$1="February",Q778,IF($J$1="March",Q779,IF($J$1="April",Q780,IF($J$1="May",Q781,IF($J$1="June",Q782,IF($J$1="July",Q783,IF($J$1="August",Q784,IF($J$1="August",Q784,IF($J$1="September",Q785,IF($J$1="October",Q786,IF($J$1="November",Q787,IF($J$1="December",Q788)))))))))))))</f>
        <v>0</v>
      </c>
      <c r="F784" s="48" t="s">
        <v>21</v>
      </c>
      <c r="G784" s="43">
        <f>IF($J$1="January",X777,IF($J$1="February",X778,IF($J$1="March",X779,IF($J$1="April",X780,IF($J$1="May",X781,IF($J$1="June",X782,IF($J$1="July",X783,IF($J$1="August",X784,IF($J$1="August",X784,IF($J$1="September",X785,IF($J$1="October",X786,IF($J$1="November",X787,IF($J$1="December",X788)))))))))))))</f>
        <v>0</v>
      </c>
      <c r="H784" s="47"/>
      <c r="I784" s="392" t="s">
        <v>70</v>
      </c>
      <c r="J784" s="393"/>
      <c r="K784" s="43">
        <f>G784</f>
        <v>0</v>
      </c>
      <c r="L784" s="55"/>
      <c r="N784" s="71"/>
      <c r="O784" s="72" t="s">
        <v>51</v>
      </c>
      <c r="P784" s="72"/>
      <c r="Q784" s="72"/>
      <c r="R784" s="72" t="str">
        <f t="shared" si="163"/>
        <v/>
      </c>
      <c r="S784" s="63"/>
      <c r="T784" s="72" t="s">
        <v>51</v>
      </c>
      <c r="U784" s="105"/>
      <c r="V784" s="74"/>
      <c r="W784" s="105" t="str">
        <f t="shared" si="164"/>
        <v/>
      </c>
      <c r="X784" s="74"/>
      <c r="Y784" s="105" t="str">
        <f t="shared" si="165"/>
        <v/>
      </c>
      <c r="Z784" s="76"/>
    </row>
    <row r="785" spans="1:26" s="29" customFormat="1" ht="21.4" hidden="1" customHeight="1" x14ac:dyDescent="0.2">
      <c r="A785" s="30"/>
      <c r="B785" s="56" t="s">
        <v>68</v>
      </c>
      <c r="C785" s="39" t="str">
        <f>IF($J$1="January",R777,IF($J$1="February",R778,IF($J$1="March",R779,IF($J$1="April",R780,IF($J$1="May",R781,IF($J$1="June",R782,IF($J$1="July",R783,IF($J$1="August",R784,IF($J$1="August",R784,IF($J$1="September",R785,IF($J$1="October",R786,IF($J$1="November",R787,IF($J$1="December",R788)))))))))))))</f>
        <v/>
      </c>
      <c r="F785" s="48" t="s">
        <v>67</v>
      </c>
      <c r="G785" s="43" t="str">
        <f>IF($J$1="January",Y777,IF($J$1="February",Y778,IF($J$1="March",Y779,IF($J$1="April",Y780,IF($J$1="May",Y781,IF($J$1="June",Y782,IF($J$1="July",Y783,IF($J$1="August",Y784,IF($J$1="August",Y784,IF($J$1="September",Y785,IF($J$1="October",Y786,IF($J$1="November",Y787,IF($J$1="December",Y788)))))))))))))</f>
        <v/>
      </c>
      <c r="I785" s="387" t="s">
        <v>63</v>
      </c>
      <c r="J785" s="388"/>
      <c r="K785" s="57"/>
      <c r="L785" s="58"/>
      <c r="N785" s="71"/>
      <c r="O785" s="72" t="s">
        <v>56</v>
      </c>
      <c r="P785" s="72"/>
      <c r="Q785" s="72"/>
      <c r="R785" s="72" t="str">
        <f t="shared" si="163"/>
        <v/>
      </c>
      <c r="S785" s="63"/>
      <c r="T785" s="72" t="s">
        <v>56</v>
      </c>
      <c r="U785" s="105"/>
      <c r="V785" s="74"/>
      <c r="W785" s="105" t="str">
        <f t="shared" si="164"/>
        <v/>
      </c>
      <c r="X785" s="74"/>
      <c r="Y785" s="105" t="str">
        <f t="shared" si="165"/>
        <v/>
      </c>
      <c r="Z785" s="76"/>
    </row>
    <row r="786" spans="1:26" s="29" customFormat="1" ht="21.4" hidden="1" customHeight="1" x14ac:dyDescent="0.2">
      <c r="A786" s="30"/>
      <c r="L786" s="46"/>
      <c r="N786" s="71"/>
      <c r="O786" s="72" t="s">
        <v>52</v>
      </c>
      <c r="P786" s="72"/>
      <c r="Q786" s="72"/>
      <c r="R786" s="72" t="str">
        <f t="shared" si="163"/>
        <v/>
      </c>
      <c r="S786" s="63"/>
      <c r="T786" s="72" t="s">
        <v>52</v>
      </c>
      <c r="U786" s="105"/>
      <c r="V786" s="74"/>
      <c r="W786" s="105" t="str">
        <f t="shared" si="164"/>
        <v/>
      </c>
      <c r="X786" s="74"/>
      <c r="Y786" s="105" t="str">
        <f t="shared" si="165"/>
        <v/>
      </c>
      <c r="Z786" s="76"/>
    </row>
    <row r="787" spans="1:26" s="29" customFormat="1" ht="21.4" hidden="1" customHeight="1" x14ac:dyDescent="0.2">
      <c r="A787" s="30"/>
      <c r="B787" s="394" t="s">
        <v>85</v>
      </c>
      <c r="C787" s="394"/>
      <c r="D787" s="394"/>
      <c r="E787" s="394"/>
      <c r="F787" s="394"/>
      <c r="G787" s="394"/>
      <c r="H787" s="394"/>
      <c r="I787" s="394"/>
      <c r="J787" s="394"/>
      <c r="K787" s="394"/>
      <c r="L787" s="46"/>
      <c r="N787" s="71"/>
      <c r="O787" s="72" t="s">
        <v>57</v>
      </c>
      <c r="P787" s="72"/>
      <c r="Q787" s="72"/>
      <c r="R787" s="72" t="str">
        <f t="shared" si="163"/>
        <v/>
      </c>
      <c r="S787" s="63"/>
      <c r="T787" s="72" t="s">
        <v>57</v>
      </c>
      <c r="U787" s="105"/>
      <c r="V787" s="74"/>
      <c r="W787" s="105" t="str">
        <f t="shared" si="164"/>
        <v/>
      </c>
      <c r="X787" s="74"/>
      <c r="Y787" s="105" t="str">
        <f t="shared" si="165"/>
        <v/>
      </c>
      <c r="Z787" s="76"/>
    </row>
    <row r="788" spans="1:26" s="29" customFormat="1" ht="21.4" hidden="1" customHeight="1" x14ac:dyDescent="0.2">
      <c r="A788" s="30"/>
      <c r="B788" s="394"/>
      <c r="C788" s="394"/>
      <c r="D788" s="394"/>
      <c r="E788" s="394"/>
      <c r="F788" s="394"/>
      <c r="G788" s="394"/>
      <c r="H788" s="394"/>
      <c r="I788" s="394"/>
      <c r="J788" s="394"/>
      <c r="K788" s="394"/>
      <c r="L788" s="46"/>
      <c r="N788" s="71"/>
      <c r="O788" s="72" t="s">
        <v>58</v>
      </c>
      <c r="P788" s="72"/>
      <c r="Q788" s="72"/>
      <c r="R788" s="72" t="str">
        <f t="shared" si="163"/>
        <v/>
      </c>
      <c r="S788" s="63"/>
      <c r="T788" s="72" t="s">
        <v>58</v>
      </c>
      <c r="U788" s="105"/>
      <c r="V788" s="74"/>
      <c r="W788" s="105" t="str">
        <f t="shared" si="164"/>
        <v/>
      </c>
      <c r="X788" s="74"/>
      <c r="Y788" s="105" t="str">
        <f t="shared" si="165"/>
        <v/>
      </c>
      <c r="Z788" s="76"/>
    </row>
    <row r="789" spans="1:26" s="29" customFormat="1" ht="21.4" hidden="1" customHeight="1" thickBot="1" x14ac:dyDescent="0.25">
      <c r="A789" s="59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1"/>
      <c r="N789" s="77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9"/>
    </row>
    <row r="790" spans="1:26" s="29" customFormat="1" ht="21.4" hidden="1" customHeight="1" x14ac:dyDescent="0.2">
      <c r="A790" s="442" t="s">
        <v>40</v>
      </c>
      <c r="B790" s="443"/>
      <c r="C790" s="443"/>
      <c r="D790" s="443"/>
      <c r="E790" s="443"/>
      <c r="F790" s="443"/>
      <c r="G790" s="443"/>
      <c r="H790" s="443"/>
      <c r="I790" s="443"/>
      <c r="J790" s="443"/>
      <c r="K790" s="443"/>
      <c r="L790" s="444"/>
      <c r="M790" s="28"/>
      <c r="N790" s="64"/>
      <c r="O790" s="403" t="s">
        <v>42</v>
      </c>
      <c r="P790" s="404"/>
      <c r="Q790" s="404"/>
      <c r="R790" s="405"/>
      <c r="S790" s="65"/>
      <c r="T790" s="403" t="s">
        <v>43</v>
      </c>
      <c r="U790" s="404"/>
      <c r="V790" s="404"/>
      <c r="W790" s="404"/>
      <c r="X790" s="404"/>
      <c r="Y790" s="405"/>
      <c r="Z790" s="63"/>
    </row>
    <row r="791" spans="1:26" s="29" customFormat="1" ht="21.4" hidden="1" customHeight="1" x14ac:dyDescent="0.2">
      <c r="A791" s="30"/>
      <c r="C791" s="402" t="s">
        <v>83</v>
      </c>
      <c r="D791" s="402"/>
      <c r="E791" s="402"/>
      <c r="F791" s="402"/>
      <c r="G791" s="31" t="str">
        <f>$J$1</f>
        <v>June</v>
      </c>
      <c r="H791" s="409">
        <f>$K$1</f>
        <v>2023</v>
      </c>
      <c r="I791" s="409"/>
      <c r="K791" s="32"/>
      <c r="L791" s="33"/>
      <c r="M791" s="32"/>
      <c r="N791" s="67"/>
      <c r="O791" s="68" t="s">
        <v>53</v>
      </c>
      <c r="P791" s="68" t="s">
        <v>7</v>
      </c>
      <c r="Q791" s="68" t="s">
        <v>6</v>
      </c>
      <c r="R791" s="68" t="s">
        <v>54</v>
      </c>
      <c r="S791" s="69"/>
      <c r="T791" s="68" t="s">
        <v>53</v>
      </c>
      <c r="U791" s="68" t="s">
        <v>55</v>
      </c>
      <c r="V791" s="68" t="s">
        <v>20</v>
      </c>
      <c r="W791" s="68" t="s">
        <v>19</v>
      </c>
      <c r="X791" s="68" t="s">
        <v>21</v>
      </c>
      <c r="Y791" s="68" t="s">
        <v>59</v>
      </c>
      <c r="Z791" s="63"/>
    </row>
    <row r="792" spans="1:26" s="29" customFormat="1" ht="21.4" hidden="1" customHeight="1" x14ac:dyDescent="0.2">
      <c r="A792" s="30"/>
      <c r="D792" s="35"/>
      <c r="E792" s="35"/>
      <c r="F792" s="35"/>
      <c r="G792" s="35"/>
      <c r="H792" s="35"/>
      <c r="J792" s="36" t="s">
        <v>1</v>
      </c>
      <c r="K792" s="37"/>
      <c r="L792" s="38"/>
      <c r="N792" s="71"/>
      <c r="O792" s="72" t="s">
        <v>45</v>
      </c>
      <c r="P792" s="72"/>
      <c r="Q792" s="72"/>
      <c r="R792" s="72">
        <v>0</v>
      </c>
      <c r="S792" s="73"/>
      <c r="T792" s="72" t="s">
        <v>45</v>
      </c>
      <c r="U792" s="74"/>
      <c r="V792" s="74"/>
      <c r="W792" s="74">
        <f>V792+U792</f>
        <v>0</v>
      </c>
      <c r="X792" s="74"/>
      <c r="Y792" s="74">
        <f>W792-X792</f>
        <v>0</v>
      </c>
      <c r="Z792" s="63"/>
    </row>
    <row r="793" spans="1:26" s="29" customFormat="1" ht="21.4" hidden="1" customHeight="1" x14ac:dyDescent="0.2">
      <c r="A793" s="30"/>
      <c r="B793" s="29" t="s">
        <v>0</v>
      </c>
      <c r="C793" s="40"/>
      <c r="H793" s="41"/>
      <c r="I793" s="35"/>
      <c r="L793" s="42"/>
      <c r="M793" s="28"/>
      <c r="N793" s="75"/>
      <c r="O793" s="72" t="s">
        <v>71</v>
      </c>
      <c r="P793" s="72"/>
      <c r="Q793" s="72"/>
      <c r="R793" s="72">
        <v>0</v>
      </c>
      <c r="S793" s="63"/>
      <c r="T793" s="72" t="s">
        <v>71</v>
      </c>
      <c r="U793" s="105">
        <f>Y792</f>
        <v>0</v>
      </c>
      <c r="V793" s="74"/>
      <c r="W793" s="105">
        <f>IF(U793="","",U793+V793)</f>
        <v>0</v>
      </c>
      <c r="X793" s="74"/>
      <c r="Y793" s="105">
        <f>IF(W793="","",W793-X793)</f>
        <v>0</v>
      </c>
      <c r="Z793" s="63"/>
    </row>
    <row r="794" spans="1:26" s="29" customFormat="1" ht="21.4" hidden="1" customHeight="1" x14ac:dyDescent="0.2">
      <c r="A794" s="30"/>
      <c r="B794" s="44" t="s">
        <v>41</v>
      </c>
      <c r="C794" s="45"/>
      <c r="F794" s="391" t="s">
        <v>43</v>
      </c>
      <c r="G794" s="391"/>
      <c r="I794" s="391" t="s">
        <v>44</v>
      </c>
      <c r="J794" s="391"/>
      <c r="K794" s="391"/>
      <c r="L794" s="46"/>
      <c r="N794" s="71"/>
      <c r="O794" s="72" t="s">
        <v>46</v>
      </c>
      <c r="P794" s="72"/>
      <c r="Q794" s="72"/>
      <c r="R794" s="72">
        <v>0</v>
      </c>
      <c r="S794" s="63"/>
      <c r="T794" s="72" t="s">
        <v>46</v>
      </c>
      <c r="U794" s="105">
        <f>IF($J$1="April",Y793,Y793)</f>
        <v>0</v>
      </c>
      <c r="V794" s="74"/>
      <c r="W794" s="105">
        <f t="shared" ref="W794:W803" si="166">IF(U794="","",U794+V794)</f>
        <v>0</v>
      </c>
      <c r="X794" s="74"/>
      <c r="Y794" s="105">
        <f t="shared" ref="Y794:Y803" si="167">IF(W794="","",W794-X794)</f>
        <v>0</v>
      </c>
      <c r="Z794" s="63"/>
    </row>
    <row r="795" spans="1:26" s="29" customFormat="1" ht="21.4" hidden="1" customHeight="1" x14ac:dyDescent="0.2">
      <c r="A795" s="30"/>
      <c r="H795" s="47"/>
      <c r="L795" s="34"/>
      <c r="N795" s="71"/>
      <c r="O795" s="72" t="s">
        <v>47</v>
      </c>
      <c r="P795" s="72"/>
      <c r="Q795" s="72"/>
      <c r="R795" s="72" t="str">
        <f t="shared" ref="R795:R803" si="168">IF(Q795="","",R794-Q795)</f>
        <v/>
      </c>
      <c r="S795" s="63"/>
      <c r="T795" s="72" t="s">
        <v>47</v>
      </c>
      <c r="U795" s="105">
        <f>IF($J$1="April",Y794,Y794)</f>
        <v>0</v>
      </c>
      <c r="V795" s="74"/>
      <c r="W795" s="105">
        <f t="shared" si="166"/>
        <v>0</v>
      </c>
      <c r="X795" s="74"/>
      <c r="Y795" s="105">
        <f t="shared" si="167"/>
        <v>0</v>
      </c>
      <c r="Z795" s="63"/>
    </row>
    <row r="796" spans="1:26" s="29" customFormat="1" ht="21.4" hidden="1" customHeight="1" x14ac:dyDescent="0.2">
      <c r="A796" s="30"/>
      <c r="B796" s="389" t="s">
        <v>42</v>
      </c>
      <c r="C796" s="390"/>
      <c r="F796" s="48" t="s">
        <v>64</v>
      </c>
      <c r="G796" s="43">
        <f>IF($J$1="January",U792,IF($J$1="February",U793,IF($J$1="March",U794,IF($J$1="April",U795,IF($J$1="May",U796,IF($J$1="June",U797,IF($J$1="July",U798,IF($J$1="August",U799,IF($J$1="August",U799,IF($J$1="September",U800,IF($J$1="October",U801,IF($J$1="November",U802,IF($J$1="December",U803)))))))))))))</f>
        <v>0</v>
      </c>
      <c r="H796" s="47"/>
      <c r="I796" s="49"/>
      <c r="J796" s="50" t="s">
        <v>61</v>
      </c>
      <c r="K796" s="51">
        <f>K792/$K$2*I796</f>
        <v>0</v>
      </c>
      <c r="L796" s="52"/>
      <c r="N796" s="71"/>
      <c r="O796" s="72" t="s">
        <v>48</v>
      </c>
      <c r="P796" s="72"/>
      <c r="Q796" s="72"/>
      <c r="R796" s="72" t="str">
        <f t="shared" si="168"/>
        <v/>
      </c>
      <c r="S796" s="63"/>
      <c r="T796" s="72" t="s">
        <v>48</v>
      </c>
      <c r="U796" s="105">
        <f>IF($J$1="May",Y795,Y795)</f>
        <v>0</v>
      </c>
      <c r="V796" s="74"/>
      <c r="W796" s="105">
        <f t="shared" si="166"/>
        <v>0</v>
      </c>
      <c r="X796" s="74"/>
      <c r="Y796" s="105">
        <f t="shared" si="167"/>
        <v>0</v>
      </c>
      <c r="Z796" s="63"/>
    </row>
    <row r="797" spans="1:26" s="29" customFormat="1" ht="21.4" hidden="1" customHeight="1" x14ac:dyDescent="0.2">
      <c r="A797" s="30"/>
      <c r="B797" s="39"/>
      <c r="C797" s="39"/>
      <c r="F797" s="48" t="s">
        <v>20</v>
      </c>
      <c r="G797" s="43">
        <f>IF($J$1="January",V792,IF($J$1="February",V793,IF($J$1="March",V794,IF($J$1="April",V795,IF($J$1="May",V796,IF($J$1="June",V797,IF($J$1="July",V798,IF($J$1="August",V799,IF($J$1="August",V799,IF($J$1="September",V800,IF($J$1="October",V801,IF($J$1="November",V802,IF($J$1="December",V803)))))))))))))</f>
        <v>0</v>
      </c>
      <c r="H797" s="47"/>
      <c r="I797" s="84"/>
      <c r="J797" s="50" t="s">
        <v>62</v>
      </c>
      <c r="K797" s="53">
        <f>K792/$K$2/8*I797</f>
        <v>0</v>
      </c>
      <c r="L797" s="54"/>
      <c r="N797" s="71"/>
      <c r="O797" s="72" t="s">
        <v>49</v>
      </c>
      <c r="P797" s="72"/>
      <c r="Q797" s="72"/>
      <c r="R797" s="72" t="str">
        <f t="shared" si="168"/>
        <v/>
      </c>
      <c r="S797" s="63"/>
      <c r="T797" s="72" t="s">
        <v>49</v>
      </c>
      <c r="U797" s="105">
        <f>IF($J$1="May",Y796,Y796)</f>
        <v>0</v>
      </c>
      <c r="V797" s="74"/>
      <c r="W797" s="105">
        <f t="shared" si="166"/>
        <v>0</v>
      </c>
      <c r="X797" s="74"/>
      <c r="Y797" s="105">
        <f t="shared" si="167"/>
        <v>0</v>
      </c>
      <c r="Z797" s="63"/>
    </row>
    <row r="798" spans="1:26" s="29" customFormat="1" ht="21.4" hidden="1" customHeight="1" x14ac:dyDescent="0.2">
      <c r="A798" s="30"/>
      <c r="B798" s="48" t="s">
        <v>7</v>
      </c>
      <c r="C798" s="39">
        <f>IF($J$1="January",P792,IF($J$1="February",P793,IF($J$1="March",P794,IF($J$1="April",P795,IF($J$1="May",P796,IF($J$1="June",P797,IF($J$1="July",P798,IF($J$1="August",P799,IF($J$1="August",P799,IF($J$1="September",P800,IF($J$1="October",P801,IF($J$1="November",P802,IF($J$1="December",P803)))))))))))))</f>
        <v>0</v>
      </c>
      <c r="F798" s="48" t="s">
        <v>65</v>
      </c>
      <c r="G798" s="43">
        <f>IF($J$1="January",W792,IF($J$1="February",W793,IF($J$1="March",W794,IF($J$1="April",W795,IF($J$1="May",W796,IF($J$1="June",W797,IF($J$1="July",W798,IF($J$1="August",W799,IF($J$1="August",W799,IF($J$1="September",W800,IF($J$1="October",W801,IF($J$1="November",W802,IF($J$1="December",W803)))))))))))))</f>
        <v>0</v>
      </c>
      <c r="H798" s="47"/>
      <c r="I798" s="392" t="s">
        <v>69</v>
      </c>
      <c r="J798" s="393"/>
      <c r="K798" s="53">
        <f>K796+K797</f>
        <v>0</v>
      </c>
      <c r="L798" s="54"/>
      <c r="N798" s="71"/>
      <c r="O798" s="72" t="s">
        <v>50</v>
      </c>
      <c r="P798" s="72"/>
      <c r="Q798" s="72"/>
      <c r="R798" s="72" t="str">
        <f t="shared" si="168"/>
        <v/>
      </c>
      <c r="S798" s="63"/>
      <c r="T798" s="72" t="s">
        <v>50</v>
      </c>
      <c r="U798" s="105" t="str">
        <f>IF($J$1="July",Y797,"")</f>
        <v/>
      </c>
      <c r="V798" s="74"/>
      <c r="W798" s="105" t="str">
        <f t="shared" si="166"/>
        <v/>
      </c>
      <c r="X798" s="74"/>
      <c r="Y798" s="105" t="str">
        <f t="shared" si="167"/>
        <v/>
      </c>
      <c r="Z798" s="63"/>
    </row>
    <row r="799" spans="1:26" s="29" customFormat="1" ht="21.4" hidden="1" customHeight="1" x14ac:dyDescent="0.2">
      <c r="A799" s="30"/>
      <c r="B799" s="48" t="s">
        <v>6</v>
      </c>
      <c r="C799" s="39">
        <f>IF($J$1="January",Q792,IF($J$1="February",Q793,IF($J$1="March",Q794,IF($J$1="April",Q795,IF($J$1="May",Q796,IF($J$1="June",Q797,IF($J$1="July",Q798,IF($J$1="August",Q799,IF($J$1="August",Q799,IF($J$1="September",Q800,IF($J$1="October",Q801,IF($J$1="November",Q802,IF($J$1="December",Q803)))))))))))))</f>
        <v>0</v>
      </c>
      <c r="F799" s="48" t="s">
        <v>21</v>
      </c>
      <c r="G799" s="43">
        <f>IF($J$1="January",X792,IF($J$1="February",X793,IF($J$1="March",X794,IF($J$1="April",X795,IF($J$1="May",X796,IF($J$1="June",X797,IF($J$1="July",X798,IF($J$1="August",X799,IF($J$1="August",X799,IF($J$1="September",X800,IF($J$1="October",X801,IF($J$1="November",X802,IF($J$1="December",X803)))))))))))))</f>
        <v>0</v>
      </c>
      <c r="H799" s="47"/>
      <c r="I799" s="392" t="s">
        <v>70</v>
      </c>
      <c r="J799" s="393"/>
      <c r="K799" s="43">
        <f>G799</f>
        <v>0</v>
      </c>
      <c r="L799" s="55"/>
      <c r="N799" s="71"/>
      <c r="O799" s="72" t="s">
        <v>51</v>
      </c>
      <c r="P799" s="72"/>
      <c r="Q799" s="72"/>
      <c r="R799" s="72" t="str">
        <f t="shared" si="168"/>
        <v/>
      </c>
      <c r="S799" s="63"/>
      <c r="T799" s="72" t="s">
        <v>51</v>
      </c>
      <c r="U799" s="105" t="str">
        <f>IF($J$1="August",Y798,"")</f>
        <v/>
      </c>
      <c r="V799" s="74"/>
      <c r="W799" s="105" t="str">
        <f t="shared" si="166"/>
        <v/>
      </c>
      <c r="X799" s="74"/>
      <c r="Y799" s="105" t="str">
        <f t="shared" si="167"/>
        <v/>
      </c>
      <c r="Z799" s="63"/>
    </row>
    <row r="800" spans="1:26" s="29" customFormat="1" ht="21.4" hidden="1" customHeight="1" x14ac:dyDescent="0.2">
      <c r="A800" s="30"/>
      <c r="B800" s="56" t="s">
        <v>68</v>
      </c>
      <c r="C800" s="39" t="str">
        <f>IF($J$1="January",R792,IF($J$1="February",R793,IF($J$1="March",R794,IF($J$1="April",R795,IF($J$1="May",R796,IF($J$1="June",R797,IF($J$1="July",R798,IF($J$1="August",R799,IF($J$1="August",R799,IF($J$1="September",R800,IF($J$1="October",R801,IF($J$1="November",R802,IF($J$1="December",R803)))))))))))))</f>
        <v/>
      </c>
      <c r="F800" s="48" t="s">
        <v>67</v>
      </c>
      <c r="G800" s="43">
        <f>IF($J$1="January",Y792,IF($J$1="February",Y793,IF($J$1="March",Y794,IF($J$1="April",Y795,IF($J$1="May",Y796,IF($J$1="June",Y797,IF($J$1="July",Y798,IF($J$1="August",Y799,IF($J$1="August",Y799,IF($J$1="September",Y800,IF($J$1="October",Y801,IF($J$1="November",Y802,IF($J$1="December",Y803)))))))))))))</f>
        <v>0</v>
      </c>
      <c r="I800" s="387" t="s">
        <v>63</v>
      </c>
      <c r="J800" s="388"/>
      <c r="K800" s="57">
        <f>K798-K799</f>
        <v>0</v>
      </c>
      <c r="L800" s="58"/>
      <c r="N800" s="71"/>
      <c r="O800" s="72" t="s">
        <v>56</v>
      </c>
      <c r="P800" s="72"/>
      <c r="Q800" s="72"/>
      <c r="R800" s="72" t="str">
        <f t="shared" si="168"/>
        <v/>
      </c>
      <c r="S800" s="63"/>
      <c r="T800" s="72" t="s">
        <v>56</v>
      </c>
      <c r="U800" s="105" t="str">
        <f>IF($J$1="Sept",Y799,"")</f>
        <v/>
      </c>
      <c r="V800" s="74"/>
      <c r="W800" s="105" t="str">
        <f t="shared" si="166"/>
        <v/>
      </c>
      <c r="X800" s="74"/>
      <c r="Y800" s="105" t="str">
        <f t="shared" si="167"/>
        <v/>
      </c>
      <c r="Z800" s="63"/>
    </row>
    <row r="801" spans="1:27" s="29" customFormat="1" ht="21.4" hidden="1" customHeight="1" x14ac:dyDescent="0.2">
      <c r="A801" s="30"/>
      <c r="L801" s="46"/>
      <c r="N801" s="71"/>
      <c r="O801" s="72" t="s">
        <v>52</v>
      </c>
      <c r="P801" s="72"/>
      <c r="Q801" s="72"/>
      <c r="R801" s="72" t="str">
        <f t="shared" si="168"/>
        <v/>
      </c>
      <c r="S801" s="63"/>
      <c r="T801" s="72" t="s">
        <v>52</v>
      </c>
      <c r="U801" s="105" t="str">
        <f>IF($J$1="October",Y800,"")</f>
        <v/>
      </c>
      <c r="V801" s="74"/>
      <c r="W801" s="105" t="str">
        <f t="shared" si="166"/>
        <v/>
      </c>
      <c r="X801" s="74"/>
      <c r="Y801" s="105" t="str">
        <f t="shared" si="167"/>
        <v/>
      </c>
      <c r="Z801" s="63"/>
    </row>
    <row r="802" spans="1:27" s="29" customFormat="1" ht="21.4" hidden="1" customHeight="1" x14ac:dyDescent="0.2">
      <c r="A802" s="30"/>
      <c r="B802" s="394" t="s">
        <v>85</v>
      </c>
      <c r="C802" s="394"/>
      <c r="D802" s="394"/>
      <c r="E802" s="394"/>
      <c r="F802" s="394"/>
      <c r="G802" s="394"/>
      <c r="H802" s="394"/>
      <c r="I802" s="394"/>
      <c r="J802" s="394"/>
      <c r="K802" s="394"/>
      <c r="L802" s="46"/>
      <c r="N802" s="71"/>
      <c r="O802" s="72" t="s">
        <v>57</v>
      </c>
      <c r="P802" s="72"/>
      <c r="Q802" s="72"/>
      <c r="R802" s="72" t="str">
        <f t="shared" si="168"/>
        <v/>
      </c>
      <c r="S802" s="63"/>
      <c r="T802" s="72" t="s">
        <v>57</v>
      </c>
      <c r="U802" s="105" t="str">
        <f>IF($J$1="November",Y801,"")</f>
        <v/>
      </c>
      <c r="V802" s="74"/>
      <c r="W802" s="105" t="str">
        <f t="shared" si="166"/>
        <v/>
      </c>
      <c r="X802" s="74"/>
      <c r="Y802" s="105" t="str">
        <f t="shared" si="167"/>
        <v/>
      </c>
      <c r="Z802" s="63"/>
    </row>
    <row r="803" spans="1:27" s="29" customFormat="1" ht="21.4" hidden="1" customHeight="1" x14ac:dyDescent="0.2">
      <c r="A803" s="30"/>
      <c r="B803" s="394"/>
      <c r="C803" s="394"/>
      <c r="D803" s="394"/>
      <c r="E803" s="394"/>
      <c r="F803" s="394"/>
      <c r="G803" s="394"/>
      <c r="H803" s="394"/>
      <c r="I803" s="394"/>
      <c r="J803" s="394"/>
      <c r="K803" s="394"/>
      <c r="L803" s="46"/>
      <c r="N803" s="71"/>
      <c r="O803" s="72" t="s">
        <v>58</v>
      </c>
      <c r="P803" s="72"/>
      <c r="Q803" s="72"/>
      <c r="R803" s="72" t="str">
        <f t="shared" si="168"/>
        <v/>
      </c>
      <c r="S803" s="63"/>
      <c r="T803" s="72" t="s">
        <v>58</v>
      </c>
      <c r="U803" s="105" t="str">
        <f>IF($J$1="Dec",Y802,"")</f>
        <v/>
      </c>
      <c r="V803" s="74"/>
      <c r="W803" s="105" t="str">
        <f t="shared" si="166"/>
        <v/>
      </c>
      <c r="X803" s="74"/>
      <c r="Y803" s="105" t="str">
        <f t="shared" si="167"/>
        <v/>
      </c>
      <c r="Z803" s="63"/>
    </row>
    <row r="804" spans="1:27" s="29" customFormat="1" ht="21.4" hidden="1" customHeight="1" thickBot="1" x14ac:dyDescent="0.25">
      <c r="A804" s="59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1"/>
      <c r="N804" s="77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63"/>
    </row>
    <row r="805" spans="1:27" ht="21.4" hidden="1" customHeight="1" thickBot="1" x14ac:dyDescent="0.3"/>
    <row r="806" spans="1:27" s="29" customFormat="1" ht="21.4" customHeight="1" x14ac:dyDescent="0.2">
      <c r="A806" s="427" t="s">
        <v>40</v>
      </c>
      <c r="B806" s="428"/>
      <c r="C806" s="428"/>
      <c r="D806" s="428"/>
      <c r="E806" s="428"/>
      <c r="F806" s="428"/>
      <c r="G806" s="428"/>
      <c r="H806" s="428"/>
      <c r="I806" s="428"/>
      <c r="J806" s="428"/>
      <c r="K806" s="428"/>
      <c r="L806" s="429"/>
      <c r="M806" s="28"/>
      <c r="N806" s="64"/>
      <c r="O806" s="403" t="s">
        <v>42</v>
      </c>
      <c r="P806" s="404"/>
      <c r="Q806" s="404"/>
      <c r="R806" s="405"/>
      <c r="S806" s="65"/>
      <c r="T806" s="403" t="s">
        <v>43</v>
      </c>
      <c r="U806" s="404"/>
      <c r="V806" s="404"/>
      <c r="W806" s="404"/>
      <c r="X806" s="404"/>
      <c r="Y806" s="405"/>
      <c r="Z806" s="66"/>
      <c r="AA806" s="28"/>
    </row>
    <row r="807" spans="1:27" s="29" customFormat="1" ht="21.4" customHeight="1" x14ac:dyDescent="0.2">
      <c r="A807" s="30"/>
      <c r="C807" s="402" t="s">
        <v>83</v>
      </c>
      <c r="D807" s="402"/>
      <c r="E807" s="402"/>
      <c r="F807" s="402"/>
      <c r="G807" s="31" t="str">
        <f>$J$1</f>
        <v>June</v>
      </c>
      <c r="H807" s="409">
        <f>$K$1</f>
        <v>2023</v>
      </c>
      <c r="I807" s="409"/>
      <c r="K807" s="32"/>
      <c r="L807" s="33"/>
      <c r="M807" s="32"/>
      <c r="N807" s="67"/>
      <c r="O807" s="68" t="s">
        <v>53</v>
      </c>
      <c r="P807" s="68" t="s">
        <v>7</v>
      </c>
      <c r="Q807" s="68" t="s">
        <v>6</v>
      </c>
      <c r="R807" s="68" t="s">
        <v>54</v>
      </c>
      <c r="S807" s="69"/>
      <c r="T807" s="68" t="s">
        <v>53</v>
      </c>
      <c r="U807" s="68" t="s">
        <v>55</v>
      </c>
      <c r="V807" s="68" t="s">
        <v>20</v>
      </c>
      <c r="W807" s="68" t="s">
        <v>19</v>
      </c>
      <c r="X807" s="68" t="s">
        <v>21</v>
      </c>
      <c r="Y807" s="68" t="s">
        <v>59</v>
      </c>
      <c r="Z807" s="70"/>
      <c r="AA807" s="32"/>
    </row>
    <row r="808" spans="1:27" s="29" customFormat="1" ht="21.4" customHeight="1" x14ac:dyDescent="0.2">
      <c r="A808" s="30"/>
      <c r="D808" s="35"/>
      <c r="E808" s="35"/>
      <c r="F808" s="35"/>
      <c r="G808" s="35"/>
      <c r="H808" s="35"/>
      <c r="J808" s="36" t="s">
        <v>1</v>
      </c>
      <c r="K808" s="37"/>
      <c r="L808" s="38"/>
      <c r="N808" s="71"/>
      <c r="O808" s="72" t="s">
        <v>45</v>
      </c>
      <c r="P808" s="72"/>
      <c r="Q808" s="72"/>
      <c r="R808" s="72">
        <v>0</v>
      </c>
      <c r="S808" s="73"/>
      <c r="T808" s="72" t="s">
        <v>45</v>
      </c>
      <c r="U808" s="74"/>
      <c r="V808" s="74"/>
      <c r="W808" s="74">
        <f>V808+U808</f>
        <v>0</v>
      </c>
      <c r="X808" s="74"/>
      <c r="Y808" s="74">
        <f>W808-X808</f>
        <v>0</v>
      </c>
      <c r="Z808" s="70"/>
    </row>
    <row r="809" spans="1:27" s="29" customFormat="1" ht="21.4" customHeight="1" x14ac:dyDescent="0.2">
      <c r="A809" s="30"/>
      <c r="B809" s="29" t="s">
        <v>0</v>
      </c>
      <c r="C809" s="40"/>
      <c r="H809" s="41"/>
      <c r="I809" s="35"/>
      <c r="L809" s="42"/>
      <c r="M809" s="28"/>
      <c r="N809" s="75"/>
      <c r="O809" s="72" t="s">
        <v>71</v>
      </c>
      <c r="P809" s="72"/>
      <c r="Q809" s="72"/>
      <c r="R809" s="72">
        <v>0</v>
      </c>
      <c r="S809" s="63"/>
      <c r="T809" s="72" t="s">
        <v>71</v>
      </c>
      <c r="U809" s="105">
        <f>Y808</f>
        <v>0</v>
      </c>
      <c r="V809" s="74"/>
      <c r="W809" s="105">
        <f>IF(U809="","",U809+V809)</f>
        <v>0</v>
      </c>
      <c r="X809" s="74"/>
      <c r="Y809" s="105">
        <f>IF(W809="","",W809-X809)</f>
        <v>0</v>
      </c>
      <c r="Z809" s="76"/>
      <c r="AA809" s="28"/>
    </row>
    <row r="810" spans="1:27" s="29" customFormat="1" ht="21.4" customHeight="1" x14ac:dyDescent="0.2">
      <c r="A810" s="30"/>
      <c r="B810" s="44" t="s">
        <v>41</v>
      </c>
      <c r="C810" s="45"/>
      <c r="F810" s="387" t="s">
        <v>43</v>
      </c>
      <c r="G810" s="388"/>
      <c r="I810" s="387" t="s">
        <v>44</v>
      </c>
      <c r="J810" s="447"/>
      <c r="K810" s="388"/>
      <c r="L810" s="46"/>
      <c r="N810" s="71"/>
      <c r="O810" s="72" t="s">
        <v>46</v>
      </c>
      <c r="P810" s="72"/>
      <c r="Q810" s="72"/>
      <c r="R810" s="72" t="str">
        <f>IF(Q810="","",R809-Q810)</f>
        <v/>
      </c>
      <c r="S810" s="63"/>
      <c r="T810" s="72" t="s">
        <v>46</v>
      </c>
      <c r="U810" s="105">
        <f>IF($J$1="April",Y809,Y809)</f>
        <v>0</v>
      </c>
      <c r="V810" s="74"/>
      <c r="W810" s="105">
        <f t="shared" ref="W810:W819" si="169">IF(U810="","",U810+V810)</f>
        <v>0</v>
      </c>
      <c r="X810" s="74"/>
      <c r="Y810" s="105">
        <f t="shared" ref="Y810:Y819" si="170">IF(W810="","",W810-X810)</f>
        <v>0</v>
      </c>
      <c r="Z810" s="76"/>
    </row>
    <row r="811" spans="1:27" s="29" customFormat="1" ht="21.4" customHeight="1" x14ac:dyDescent="0.2">
      <c r="A811" s="30"/>
      <c r="H811" s="47"/>
      <c r="L811" s="34"/>
      <c r="N811" s="71"/>
      <c r="O811" s="72" t="s">
        <v>47</v>
      </c>
      <c r="P811" s="72"/>
      <c r="Q811" s="72"/>
      <c r="R811" s="72">
        <v>0</v>
      </c>
      <c r="S811" s="63"/>
      <c r="T811" s="72" t="s">
        <v>47</v>
      </c>
      <c r="U811" s="105">
        <f>IF($J$1="April",Y810,Y810)</f>
        <v>0</v>
      </c>
      <c r="V811" s="74"/>
      <c r="W811" s="105">
        <f t="shared" si="169"/>
        <v>0</v>
      </c>
      <c r="X811" s="74"/>
      <c r="Y811" s="105">
        <f t="shared" si="170"/>
        <v>0</v>
      </c>
      <c r="Z811" s="76"/>
    </row>
    <row r="812" spans="1:27" s="29" customFormat="1" ht="21.4" customHeight="1" x14ac:dyDescent="0.2">
      <c r="A812" s="30"/>
      <c r="B812" s="389" t="s">
        <v>42</v>
      </c>
      <c r="C812" s="390"/>
      <c r="F812" s="48" t="s">
        <v>64</v>
      </c>
      <c r="G812" s="43">
        <f>IF($J$1="January",U808,IF($J$1="February",U809,IF($J$1="March",U810,IF($J$1="April",U811,IF($J$1="May",U812,IF($J$1="June",U813,IF($J$1="July",U814,IF($J$1="August",U815,IF($J$1="August",U815,IF($J$1="September",U816,IF($J$1="October",U817,IF($J$1="November",U818,IF($J$1="December",U819)))))))))))))</f>
        <v>0</v>
      </c>
      <c r="H812" s="47"/>
      <c r="I812" s="49"/>
      <c r="J812" s="50" t="s">
        <v>61</v>
      </c>
      <c r="K812" s="51">
        <f>K808/$K$2*I812</f>
        <v>0</v>
      </c>
      <c r="L812" s="52"/>
      <c r="N812" s="71"/>
      <c r="O812" s="72" t="s">
        <v>48</v>
      </c>
      <c r="P812" s="72"/>
      <c r="Q812" s="72"/>
      <c r="R812" s="72">
        <v>0</v>
      </c>
      <c r="S812" s="63"/>
      <c r="T812" s="72" t="s">
        <v>48</v>
      </c>
      <c r="U812" s="105">
        <f>IF($J$1="May",Y811,Y811)</f>
        <v>0</v>
      </c>
      <c r="V812" s="74"/>
      <c r="W812" s="105">
        <f t="shared" si="169"/>
        <v>0</v>
      </c>
      <c r="X812" s="74"/>
      <c r="Y812" s="105">
        <f t="shared" si="170"/>
        <v>0</v>
      </c>
      <c r="Z812" s="76"/>
    </row>
    <row r="813" spans="1:27" s="29" customFormat="1" ht="21.4" customHeight="1" x14ac:dyDescent="0.2">
      <c r="A813" s="30"/>
      <c r="B813" s="39"/>
      <c r="C813" s="39"/>
      <c r="F813" s="48" t="s">
        <v>20</v>
      </c>
      <c r="G813" s="43">
        <f>IF($J$1="January",V808,IF($J$1="February",V809,IF($J$1="March",V810,IF($J$1="April",V811,IF($J$1="May",V812,IF($J$1="June",V813,IF($J$1="July",V814,IF($J$1="August",V815,IF($J$1="August",V815,IF($J$1="September",V816,IF($J$1="October",V817,IF($J$1="November",V818,IF($J$1="December",V819)))))))))))))</f>
        <v>0</v>
      </c>
      <c r="H813" s="47"/>
      <c r="I813" s="108"/>
      <c r="J813" s="50" t="s">
        <v>62</v>
      </c>
      <c r="K813" s="53">
        <f>K808/$K$2/8*I813</f>
        <v>0</v>
      </c>
      <c r="L813" s="54"/>
      <c r="N813" s="71"/>
      <c r="O813" s="72" t="s">
        <v>49</v>
      </c>
      <c r="P813" s="72"/>
      <c r="Q813" s="72"/>
      <c r="R813" s="72">
        <v>0</v>
      </c>
      <c r="S813" s="63"/>
      <c r="T813" s="72" t="s">
        <v>49</v>
      </c>
      <c r="U813" s="105">
        <f>IF($J$1="May",Y812,Y812)</f>
        <v>0</v>
      </c>
      <c r="V813" s="74"/>
      <c r="W813" s="105">
        <f t="shared" si="169"/>
        <v>0</v>
      </c>
      <c r="X813" s="74"/>
      <c r="Y813" s="105">
        <f t="shared" si="170"/>
        <v>0</v>
      </c>
      <c r="Z813" s="76"/>
    </row>
    <row r="814" spans="1:27" s="29" customFormat="1" ht="21.4" customHeight="1" x14ac:dyDescent="0.2">
      <c r="A814" s="30"/>
      <c r="B814" s="48" t="s">
        <v>7</v>
      </c>
      <c r="C814" s="39">
        <f>IF($J$1="January",P808,IF($J$1="February",P809,IF($J$1="March",P810,IF($J$1="April",P811,IF($J$1="May",P812,IF($J$1="June",P813,IF($J$1="July",P814,IF($J$1="August",P815,IF($J$1="August",P815,IF($J$1="September",P816,IF($J$1="October",P817,IF($J$1="November",P818,IF($J$1="December",P819)))))))))))))</f>
        <v>0</v>
      </c>
      <c r="F814" s="48" t="s">
        <v>65</v>
      </c>
      <c r="G814" s="43">
        <f>IF($J$1="January",W808,IF($J$1="February",W809,IF($J$1="March",W810,IF($J$1="April",W811,IF($J$1="May",W812,IF($J$1="June",W813,IF($J$1="July",W814,IF($J$1="August",W815,IF($J$1="August",W815,IF($J$1="September",W816,IF($J$1="October",W817,IF($J$1="November",W818,IF($J$1="December",W819)))))))))))))</f>
        <v>0</v>
      </c>
      <c r="H814" s="47"/>
      <c r="I814" s="392" t="s">
        <v>69</v>
      </c>
      <c r="J814" s="393"/>
      <c r="K814" s="53">
        <f>K812+K813</f>
        <v>0</v>
      </c>
      <c r="L814" s="54"/>
      <c r="N814" s="71"/>
      <c r="O814" s="72" t="s">
        <v>50</v>
      </c>
      <c r="P814" s="72"/>
      <c r="Q814" s="72"/>
      <c r="R814" s="72">
        <v>0</v>
      </c>
      <c r="S814" s="63"/>
      <c r="T814" s="72" t="s">
        <v>50</v>
      </c>
      <c r="U814" s="105" t="str">
        <f>IF($J$1="July",Y813,"")</f>
        <v/>
      </c>
      <c r="V814" s="74"/>
      <c r="W814" s="105" t="str">
        <f t="shared" si="169"/>
        <v/>
      </c>
      <c r="X814" s="74"/>
      <c r="Y814" s="105" t="str">
        <f t="shared" si="170"/>
        <v/>
      </c>
      <c r="Z814" s="76"/>
    </row>
    <row r="815" spans="1:27" s="29" customFormat="1" ht="21.4" customHeight="1" x14ac:dyDescent="0.2">
      <c r="A815" s="30"/>
      <c r="B815" s="48" t="s">
        <v>6</v>
      </c>
      <c r="C815" s="39">
        <f>IF($J$1="January",Q808,IF($J$1="February",Q809,IF($J$1="March",Q810,IF($J$1="April",Q811,IF($J$1="May",Q812,IF($J$1="June",Q813,IF($J$1="July",Q814,IF($J$1="August",Q815,IF($J$1="August",Q815,IF($J$1="September",Q816,IF($J$1="October",Q817,IF($J$1="November",Q818,IF($J$1="December",Q819)))))))))))))</f>
        <v>0</v>
      </c>
      <c r="F815" s="48" t="s">
        <v>21</v>
      </c>
      <c r="G815" s="43">
        <f>IF($J$1="January",X808,IF($J$1="February",X809,IF($J$1="March",X810,IF($J$1="April",X811,IF($J$1="May",X812,IF($J$1="June",X813,IF($J$1="July",X814,IF($J$1="August",X815,IF($J$1="August",X815,IF($J$1="September",X816,IF($J$1="October",X817,IF($J$1="November",X818,IF($J$1="December",X819)))))))))))))</f>
        <v>0</v>
      </c>
      <c r="H815" s="47"/>
      <c r="I815" s="392" t="s">
        <v>70</v>
      </c>
      <c r="J815" s="393"/>
      <c r="K815" s="43">
        <f>G815</f>
        <v>0</v>
      </c>
      <c r="L815" s="55"/>
      <c r="N815" s="71"/>
      <c r="O815" s="72" t="s">
        <v>51</v>
      </c>
      <c r="P815" s="72"/>
      <c r="Q815" s="72"/>
      <c r="R815" s="72" t="str">
        <f>IF(Q815="","",R814-Q815)</f>
        <v/>
      </c>
      <c r="S815" s="63"/>
      <c r="T815" s="72" t="s">
        <v>51</v>
      </c>
      <c r="U815" s="105" t="str">
        <f>IF($J$1="August",Y814,"")</f>
        <v/>
      </c>
      <c r="V815" s="74"/>
      <c r="W815" s="105" t="str">
        <f t="shared" si="169"/>
        <v/>
      </c>
      <c r="X815" s="74"/>
      <c r="Y815" s="105" t="str">
        <f t="shared" si="170"/>
        <v/>
      </c>
      <c r="Z815" s="76"/>
    </row>
    <row r="816" spans="1:27" s="29" customFormat="1" ht="21.4" customHeight="1" x14ac:dyDescent="0.2">
      <c r="A816" s="30"/>
      <c r="B816" s="56" t="s">
        <v>68</v>
      </c>
      <c r="C816" s="39">
        <f>IF($J$1="January",R808,IF($J$1="February",R809,IF($J$1="March",R810,IF($J$1="April",R811,IF($J$1="May",R812,IF($J$1="June",R813,IF($J$1="July",R814,IF($J$1="August",R815,IF($J$1="August",R815,IF($J$1="September",R816,IF($J$1="October",R817,IF($J$1="November",R818,IF($J$1="December",R819)))))))))))))</f>
        <v>0</v>
      </c>
      <c r="F816" s="48" t="s">
        <v>67</v>
      </c>
      <c r="G816" s="43">
        <f>IF($J$1="January",Y808,IF($J$1="February",Y809,IF($J$1="March",Y810,IF($J$1="April",Y811,IF($J$1="May",Y812,IF($J$1="June",Y813,IF($J$1="July",Y814,IF($J$1="August",Y815,IF($J$1="August",Y815,IF($J$1="September",Y816,IF($J$1="October",Y817,IF($J$1="November",Y818,IF($J$1="December",Y819)))))))))))))</f>
        <v>0</v>
      </c>
      <c r="I816" s="387" t="s">
        <v>63</v>
      </c>
      <c r="J816" s="388"/>
      <c r="K816" s="57">
        <f>K814-K815</f>
        <v>0</v>
      </c>
      <c r="L816" s="58"/>
      <c r="N816" s="71"/>
      <c r="O816" s="72" t="s">
        <v>56</v>
      </c>
      <c r="P816" s="72"/>
      <c r="Q816" s="72"/>
      <c r="R816" s="72">
        <v>0</v>
      </c>
      <c r="S816" s="63"/>
      <c r="T816" s="72" t="s">
        <v>56</v>
      </c>
      <c r="U816" s="105" t="str">
        <f>IF($J$1="Sept",Y815,"")</f>
        <v/>
      </c>
      <c r="V816" s="74"/>
      <c r="W816" s="105" t="str">
        <f t="shared" si="169"/>
        <v/>
      </c>
      <c r="X816" s="74"/>
      <c r="Y816" s="105" t="str">
        <f t="shared" si="170"/>
        <v/>
      </c>
      <c r="Z816" s="76"/>
    </row>
    <row r="817" spans="1:27" s="29" customFormat="1" ht="21.4" customHeight="1" x14ac:dyDescent="0.2">
      <c r="A817" s="30"/>
      <c r="L817" s="46"/>
      <c r="N817" s="71"/>
      <c r="O817" s="72" t="s">
        <v>52</v>
      </c>
      <c r="P817" s="72"/>
      <c r="Q817" s="72"/>
      <c r="R817" s="72">
        <v>0</v>
      </c>
      <c r="S817" s="63"/>
      <c r="T817" s="72" t="s">
        <v>52</v>
      </c>
      <c r="U817" s="105" t="str">
        <f>IF($J$1="October",Y816,"")</f>
        <v/>
      </c>
      <c r="V817" s="74"/>
      <c r="W817" s="105" t="str">
        <f t="shared" si="169"/>
        <v/>
      </c>
      <c r="X817" s="74"/>
      <c r="Y817" s="105" t="str">
        <f t="shared" si="170"/>
        <v/>
      </c>
      <c r="Z817" s="76"/>
    </row>
    <row r="818" spans="1:27" s="29" customFormat="1" ht="21.4" customHeight="1" x14ac:dyDescent="0.2">
      <c r="A818" s="30"/>
      <c r="B818" s="394" t="s">
        <v>85</v>
      </c>
      <c r="C818" s="394"/>
      <c r="D818" s="394"/>
      <c r="E818" s="394"/>
      <c r="F818" s="394"/>
      <c r="G818" s="394"/>
      <c r="H818" s="394"/>
      <c r="I818" s="394"/>
      <c r="J818" s="394"/>
      <c r="K818" s="394"/>
      <c r="L818" s="46"/>
      <c r="N818" s="71"/>
      <c r="O818" s="72" t="s">
        <v>57</v>
      </c>
      <c r="P818" s="72"/>
      <c r="Q818" s="72"/>
      <c r="R818" s="72" t="str">
        <f>IF(Q818="","",R817-Q818)</f>
        <v/>
      </c>
      <c r="S818" s="63"/>
      <c r="T818" s="72" t="s">
        <v>57</v>
      </c>
      <c r="U818" s="105" t="str">
        <f>IF($J$1="November",Y817,"")</f>
        <v/>
      </c>
      <c r="V818" s="74"/>
      <c r="W818" s="105" t="str">
        <f t="shared" si="169"/>
        <v/>
      </c>
      <c r="X818" s="74"/>
      <c r="Y818" s="105" t="str">
        <f t="shared" si="170"/>
        <v/>
      </c>
      <c r="Z818" s="76"/>
    </row>
    <row r="819" spans="1:27" s="29" customFormat="1" ht="21.4" customHeight="1" x14ac:dyDescent="0.2">
      <c r="A819" s="30"/>
      <c r="B819" s="394"/>
      <c r="C819" s="394"/>
      <c r="D819" s="394"/>
      <c r="E819" s="394"/>
      <c r="F819" s="394"/>
      <c r="G819" s="394"/>
      <c r="H819" s="394"/>
      <c r="I819" s="394"/>
      <c r="J819" s="394"/>
      <c r="K819" s="394"/>
      <c r="L819" s="46"/>
      <c r="N819" s="71"/>
      <c r="O819" s="72" t="s">
        <v>58</v>
      </c>
      <c r="P819" s="72"/>
      <c r="Q819" s="72"/>
      <c r="R819" s="72">
        <v>0</v>
      </c>
      <c r="S819" s="63"/>
      <c r="T819" s="72" t="s">
        <v>58</v>
      </c>
      <c r="U819" s="105" t="str">
        <f>IF($J$1="Dec",Y818,"")</f>
        <v/>
      </c>
      <c r="V819" s="74"/>
      <c r="W819" s="105" t="str">
        <f t="shared" si="169"/>
        <v/>
      </c>
      <c r="X819" s="74"/>
      <c r="Y819" s="105" t="str">
        <f t="shared" si="170"/>
        <v/>
      </c>
      <c r="Z819" s="76"/>
    </row>
    <row r="820" spans="1:27" s="29" customFormat="1" ht="21.4" customHeight="1" thickBot="1" x14ac:dyDescent="0.25">
      <c r="A820" s="59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1"/>
      <c r="N820" s="77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9"/>
    </row>
    <row r="821" spans="1:27" s="29" customFormat="1" ht="21" customHeight="1" thickBot="1" x14ac:dyDescent="0.25"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spans="1:27" s="29" customFormat="1" ht="21.4" customHeight="1" x14ac:dyDescent="0.2">
      <c r="A822" s="439" t="s">
        <v>40</v>
      </c>
      <c r="B822" s="440"/>
      <c r="C822" s="440"/>
      <c r="D822" s="440"/>
      <c r="E822" s="440"/>
      <c r="F822" s="440"/>
      <c r="G822" s="440"/>
      <c r="H822" s="440"/>
      <c r="I822" s="440"/>
      <c r="J822" s="440"/>
      <c r="K822" s="440"/>
      <c r="L822" s="441"/>
      <c r="M822" s="28"/>
      <c r="N822" s="64"/>
      <c r="O822" s="403" t="s">
        <v>42</v>
      </c>
      <c r="P822" s="404"/>
      <c r="Q822" s="404"/>
      <c r="R822" s="405"/>
      <c r="S822" s="65"/>
      <c r="T822" s="403" t="s">
        <v>43</v>
      </c>
      <c r="U822" s="404"/>
      <c r="V822" s="404"/>
      <c r="W822" s="404"/>
      <c r="X822" s="404"/>
      <c r="Y822" s="405"/>
      <c r="Z822" s="66"/>
      <c r="AA822" s="28"/>
    </row>
    <row r="823" spans="1:27" s="29" customFormat="1" ht="21.4" customHeight="1" x14ac:dyDescent="0.2">
      <c r="A823" s="30"/>
      <c r="C823" s="402" t="s">
        <v>83</v>
      </c>
      <c r="D823" s="402"/>
      <c r="E823" s="402"/>
      <c r="F823" s="402"/>
      <c r="G823" s="31" t="str">
        <f>$J$1</f>
        <v>June</v>
      </c>
      <c r="H823" s="409">
        <f>$K$1</f>
        <v>2023</v>
      </c>
      <c r="I823" s="409"/>
      <c r="K823" s="32"/>
      <c r="L823" s="33"/>
      <c r="M823" s="32"/>
      <c r="N823" s="67"/>
      <c r="O823" s="68" t="s">
        <v>53</v>
      </c>
      <c r="P823" s="68" t="s">
        <v>7</v>
      </c>
      <c r="Q823" s="68" t="s">
        <v>6</v>
      </c>
      <c r="R823" s="68" t="s">
        <v>54</v>
      </c>
      <c r="S823" s="69"/>
      <c r="T823" s="68" t="s">
        <v>53</v>
      </c>
      <c r="U823" s="68" t="s">
        <v>55</v>
      </c>
      <c r="V823" s="68" t="s">
        <v>20</v>
      </c>
      <c r="W823" s="68" t="s">
        <v>19</v>
      </c>
      <c r="X823" s="68" t="s">
        <v>21</v>
      </c>
      <c r="Y823" s="68" t="s">
        <v>59</v>
      </c>
      <c r="Z823" s="70"/>
      <c r="AA823" s="32"/>
    </row>
    <row r="824" spans="1:27" s="29" customFormat="1" ht="21.4" customHeight="1" x14ac:dyDescent="0.2">
      <c r="A824" s="30"/>
      <c r="D824" s="35"/>
      <c r="E824" s="35"/>
      <c r="F824" s="35"/>
      <c r="G824" s="35"/>
      <c r="H824" s="35"/>
      <c r="J824" s="36" t="s">
        <v>1</v>
      </c>
      <c r="K824" s="37"/>
      <c r="L824" s="38"/>
      <c r="N824" s="71"/>
      <c r="O824" s="72" t="s">
        <v>45</v>
      </c>
      <c r="P824" s="72"/>
      <c r="Q824" s="72"/>
      <c r="R824" s="72">
        <v>15</v>
      </c>
      <c r="S824" s="73"/>
      <c r="T824" s="72" t="s">
        <v>45</v>
      </c>
      <c r="U824" s="74"/>
      <c r="V824" s="74"/>
      <c r="W824" s="74">
        <f>V824+U824</f>
        <v>0</v>
      </c>
      <c r="X824" s="74"/>
      <c r="Y824" s="74">
        <f>W824-X824</f>
        <v>0</v>
      </c>
      <c r="Z824" s="70"/>
    </row>
    <row r="825" spans="1:27" s="29" customFormat="1" ht="21.4" customHeight="1" x14ac:dyDescent="0.2">
      <c r="A825" s="30"/>
      <c r="B825" s="29" t="s">
        <v>0</v>
      </c>
      <c r="C825" s="40"/>
      <c r="H825" s="41"/>
      <c r="I825" s="35"/>
      <c r="L825" s="42"/>
      <c r="M825" s="28"/>
      <c r="N825" s="75"/>
      <c r="O825" s="72" t="s">
        <v>71</v>
      </c>
      <c r="P825" s="72"/>
      <c r="Q825" s="72"/>
      <c r="R825" s="72" t="str">
        <f>IF(Q825="","",R824-Q825)</f>
        <v/>
      </c>
      <c r="S825" s="63"/>
      <c r="T825" s="72" t="s">
        <v>71</v>
      </c>
      <c r="U825" s="105">
        <f>Y824</f>
        <v>0</v>
      </c>
      <c r="V825" s="74"/>
      <c r="W825" s="105">
        <f>IF(U825="","",U825+V825)</f>
        <v>0</v>
      </c>
      <c r="X825" s="74"/>
      <c r="Y825" s="105">
        <f>IF(W825="","",W825-X825)</f>
        <v>0</v>
      </c>
      <c r="Z825" s="76"/>
      <c r="AA825" s="28"/>
    </row>
    <row r="826" spans="1:27" s="29" customFormat="1" ht="21.4" customHeight="1" x14ac:dyDescent="0.2">
      <c r="A826" s="30"/>
      <c r="B826" s="44" t="s">
        <v>41</v>
      </c>
      <c r="C826" s="45"/>
      <c r="F826" s="391" t="s">
        <v>43</v>
      </c>
      <c r="G826" s="391"/>
      <c r="I826" s="391" t="s">
        <v>44</v>
      </c>
      <c r="J826" s="391"/>
      <c r="K826" s="391"/>
      <c r="L826" s="46"/>
      <c r="N826" s="71"/>
      <c r="O826" s="72" t="s">
        <v>46</v>
      </c>
      <c r="P826" s="72"/>
      <c r="Q826" s="72"/>
      <c r="R826" s="72" t="str">
        <f t="shared" ref="R826:R835" si="171">IF(Q826="","",R825-Q826)</f>
        <v/>
      </c>
      <c r="S826" s="63"/>
      <c r="T826" s="72" t="s">
        <v>46</v>
      </c>
      <c r="U826" s="105">
        <f>IF($J$1="April",Y825,Y825)</f>
        <v>0</v>
      </c>
      <c r="V826" s="74"/>
      <c r="W826" s="105">
        <f t="shared" ref="W826:W835" si="172">IF(U826="","",U826+V826)</f>
        <v>0</v>
      </c>
      <c r="X826" s="74"/>
      <c r="Y826" s="105">
        <f t="shared" ref="Y826:Y835" si="173">IF(W826="","",W826-X826)</f>
        <v>0</v>
      </c>
      <c r="Z826" s="76"/>
    </row>
    <row r="827" spans="1:27" s="29" customFormat="1" ht="21.4" customHeight="1" x14ac:dyDescent="0.2">
      <c r="A827" s="30"/>
      <c r="H827" s="47"/>
      <c r="L827" s="34"/>
      <c r="N827" s="71"/>
      <c r="O827" s="72" t="s">
        <v>47</v>
      </c>
      <c r="P827" s="72"/>
      <c r="Q827" s="72"/>
      <c r="R827" s="72" t="str">
        <f t="shared" si="171"/>
        <v/>
      </c>
      <c r="S827" s="63"/>
      <c r="T827" s="72" t="s">
        <v>47</v>
      </c>
      <c r="U827" s="105">
        <f>IF($J$1="April",Y826,Y826)</f>
        <v>0</v>
      </c>
      <c r="V827" s="74"/>
      <c r="W827" s="105">
        <f t="shared" si="172"/>
        <v>0</v>
      </c>
      <c r="X827" s="74"/>
      <c r="Y827" s="105">
        <f t="shared" si="173"/>
        <v>0</v>
      </c>
      <c r="Z827" s="76"/>
    </row>
    <row r="828" spans="1:27" s="29" customFormat="1" ht="21.4" customHeight="1" x14ac:dyDescent="0.2">
      <c r="A828" s="30"/>
      <c r="B828" s="389" t="s">
        <v>42</v>
      </c>
      <c r="C828" s="390"/>
      <c r="F828" s="48" t="s">
        <v>64</v>
      </c>
      <c r="G828" s="43">
        <f>IF($J$1="January",U824,IF($J$1="February",U825,IF($J$1="March",U826,IF($J$1="April",U827,IF($J$1="May",U828,IF($J$1="June",U829,IF($J$1="July",U830,IF($J$1="August",U831,IF($J$1="August",U831,IF($J$1="September",U832,IF($J$1="October",U833,IF($J$1="November",U834,IF($J$1="December",U835)))))))))))))</f>
        <v>0</v>
      </c>
      <c r="H828" s="47"/>
      <c r="I828" s="49"/>
      <c r="J828" s="50" t="s">
        <v>61</v>
      </c>
      <c r="K828" s="51">
        <f>K824/$K$2*I828</f>
        <v>0</v>
      </c>
      <c r="L828" s="52"/>
      <c r="N828" s="71"/>
      <c r="O828" s="72" t="s">
        <v>48</v>
      </c>
      <c r="P828" s="72"/>
      <c r="Q828" s="72"/>
      <c r="R828" s="72" t="str">
        <f t="shared" si="171"/>
        <v/>
      </c>
      <c r="S828" s="63"/>
      <c r="T828" s="72" t="s">
        <v>48</v>
      </c>
      <c r="U828" s="105">
        <f>IF($J$1="May",Y827,Y827)</f>
        <v>0</v>
      </c>
      <c r="V828" s="74"/>
      <c r="W828" s="105">
        <f t="shared" si="172"/>
        <v>0</v>
      </c>
      <c r="X828" s="74"/>
      <c r="Y828" s="105">
        <f t="shared" si="173"/>
        <v>0</v>
      </c>
      <c r="Z828" s="76"/>
    </row>
    <row r="829" spans="1:27" s="29" customFormat="1" ht="21.4" customHeight="1" x14ac:dyDescent="0.2">
      <c r="A829" s="30"/>
      <c r="B829" s="39"/>
      <c r="C829" s="39"/>
      <c r="F829" s="48" t="s">
        <v>20</v>
      </c>
      <c r="G829" s="43">
        <f>IF($J$1="January",V824,IF($J$1="February",V825,IF($J$1="March",V826,IF($J$1="April",V827,IF($J$1="May",V828,IF($J$1="June",V829,IF($J$1="July",V830,IF($J$1="August",V831,IF($J$1="August",V831,IF($J$1="September",V832,IF($J$1="October",V833,IF($J$1="November",V834,IF($J$1="December",V835)))))))))))))</f>
        <v>0</v>
      </c>
      <c r="H829" s="47"/>
      <c r="I829" s="49"/>
      <c r="J829" s="50" t="s">
        <v>62</v>
      </c>
      <c r="K829" s="53">
        <f>K824/$K$2/8*I829</f>
        <v>0</v>
      </c>
      <c r="L829" s="54"/>
      <c r="N829" s="71"/>
      <c r="O829" s="72" t="s">
        <v>49</v>
      </c>
      <c r="P829" s="72"/>
      <c r="Q829" s="72"/>
      <c r="R829" s="72" t="str">
        <f t="shared" si="171"/>
        <v/>
      </c>
      <c r="S829" s="63"/>
      <c r="T829" s="72" t="s">
        <v>49</v>
      </c>
      <c r="U829" s="105">
        <f>IF($J$1="May",Y828,Y828)</f>
        <v>0</v>
      </c>
      <c r="V829" s="74"/>
      <c r="W829" s="105">
        <f t="shared" si="172"/>
        <v>0</v>
      </c>
      <c r="X829" s="74"/>
      <c r="Y829" s="105">
        <f t="shared" si="173"/>
        <v>0</v>
      </c>
      <c r="Z829" s="76"/>
    </row>
    <row r="830" spans="1:27" s="29" customFormat="1" ht="21.4" customHeight="1" x14ac:dyDescent="0.2">
      <c r="A830" s="30"/>
      <c r="B830" s="48" t="s">
        <v>7</v>
      </c>
      <c r="C830" s="39">
        <f>IF($J$1="January",P824,IF($J$1="February",P825,IF($J$1="March",P826,IF($J$1="April",P827,IF($J$1="May",P828,IF($J$1="June",P829,IF($J$1="July",P830,IF($J$1="August",P831,IF($J$1="August",P831,IF($J$1="September",P832,IF($J$1="October",P833,IF($J$1="November",P834,IF($J$1="December",P835)))))))))))))</f>
        <v>0</v>
      </c>
      <c r="F830" s="48" t="s">
        <v>65</v>
      </c>
      <c r="G830" s="43">
        <f>IF($J$1="January",W824,IF($J$1="February",W825,IF($J$1="March",W826,IF($J$1="April",W827,IF($J$1="May",W828,IF($J$1="June",W829,IF($J$1="July",W830,IF($J$1="August",W831,IF($J$1="August",W831,IF($J$1="September",W832,IF($J$1="October",W833,IF($J$1="November",W834,IF($J$1="December",W835)))))))))))))</f>
        <v>0</v>
      </c>
      <c r="H830" s="47"/>
      <c r="I830" s="392" t="s">
        <v>69</v>
      </c>
      <c r="J830" s="393"/>
      <c r="K830" s="53">
        <f>K828+K829</f>
        <v>0</v>
      </c>
      <c r="L830" s="54"/>
      <c r="N830" s="71"/>
      <c r="O830" s="72" t="s">
        <v>50</v>
      </c>
      <c r="P830" s="72"/>
      <c r="Q830" s="72"/>
      <c r="R830" s="72" t="str">
        <f t="shared" si="171"/>
        <v/>
      </c>
      <c r="S830" s="63"/>
      <c r="T830" s="72" t="s">
        <v>50</v>
      </c>
      <c r="U830" s="105" t="str">
        <f>IF($J$1="September",Y829,"")</f>
        <v/>
      </c>
      <c r="V830" s="74"/>
      <c r="W830" s="105" t="str">
        <f t="shared" si="172"/>
        <v/>
      </c>
      <c r="X830" s="74"/>
      <c r="Y830" s="105" t="str">
        <f t="shared" si="173"/>
        <v/>
      </c>
      <c r="Z830" s="76"/>
    </row>
    <row r="831" spans="1:27" s="29" customFormat="1" ht="21.4" customHeight="1" x14ac:dyDescent="0.2">
      <c r="A831" s="30"/>
      <c r="B831" s="48" t="s">
        <v>6</v>
      </c>
      <c r="C831" s="39">
        <f>IF($J$1="January",Q824,IF($J$1="February",Q825,IF($J$1="March",Q826,IF($J$1="April",Q827,IF($J$1="May",Q828,IF($J$1="June",Q829,IF($J$1="July",Q830,IF($J$1="August",Q831,IF($J$1="August",Q831,IF($J$1="September",Q832,IF($J$1="October",Q833,IF($J$1="November",Q834,IF($J$1="December",Q835)))))))))))))</f>
        <v>0</v>
      </c>
      <c r="F831" s="48" t="s">
        <v>21</v>
      </c>
      <c r="G831" s="43">
        <f>IF($J$1="January",X824,IF($J$1="February",X825,IF($J$1="March",X826,IF($J$1="April",X827,IF($J$1="May",X828,IF($J$1="June",X829,IF($J$1="July",X830,IF($J$1="August",X831,IF($J$1="August",X831,IF($J$1="September",X832,IF($J$1="October",X833,IF($J$1="November",X834,IF($J$1="December",X835)))))))))))))</f>
        <v>0</v>
      </c>
      <c r="H831" s="47"/>
      <c r="I831" s="392" t="s">
        <v>70</v>
      </c>
      <c r="J831" s="393"/>
      <c r="K831" s="43">
        <f>G831</f>
        <v>0</v>
      </c>
      <c r="L831" s="55"/>
      <c r="N831" s="71"/>
      <c r="O831" s="72" t="s">
        <v>51</v>
      </c>
      <c r="P831" s="72"/>
      <c r="Q831" s="72"/>
      <c r="R831" s="72" t="str">
        <f t="shared" si="171"/>
        <v/>
      </c>
      <c r="S831" s="63"/>
      <c r="T831" s="72" t="s">
        <v>51</v>
      </c>
      <c r="U831" s="105" t="str">
        <f>IF($J$1="September",Y830,"")</f>
        <v/>
      </c>
      <c r="V831" s="74"/>
      <c r="W831" s="105" t="str">
        <f t="shared" si="172"/>
        <v/>
      </c>
      <c r="X831" s="74"/>
      <c r="Y831" s="105" t="str">
        <f t="shared" si="173"/>
        <v/>
      </c>
      <c r="Z831" s="76"/>
    </row>
    <row r="832" spans="1:27" s="29" customFormat="1" ht="21.4" customHeight="1" x14ac:dyDescent="0.2">
      <c r="A832" s="30"/>
      <c r="B832" s="56" t="s">
        <v>68</v>
      </c>
      <c r="C832" s="39" t="str">
        <f>IF($J$1="January",R824,IF($J$1="February",R825,IF($J$1="March",R826,IF($J$1="April",R827,IF($J$1="May",R828,IF($J$1="June",R829,IF($J$1="July",R830,IF($J$1="August",R831,IF($J$1="August",R831,IF($J$1="September",R832,IF($J$1="October",R833,IF($J$1="November",R834,IF($J$1="December",R835)))))))))))))</f>
        <v/>
      </c>
      <c r="F832" s="48" t="s">
        <v>67</v>
      </c>
      <c r="G832" s="43">
        <f>IF($J$1="January",Y824,IF($J$1="February",Y825,IF($J$1="March",Y826,IF($J$1="April",Y827,IF($J$1="May",Y828,IF($J$1="June",Y829,IF($J$1="July",Y830,IF($J$1="August",Y831,IF($J$1="August",Y831,IF($J$1="September",Y832,IF($J$1="October",Y833,IF($J$1="November",Y834,IF($J$1="December",Y835)))))))))))))</f>
        <v>0</v>
      </c>
      <c r="I832" s="387" t="s">
        <v>63</v>
      </c>
      <c r="J832" s="388"/>
      <c r="K832" s="57">
        <f>K830-K831</f>
        <v>0</v>
      </c>
      <c r="L832" s="58"/>
      <c r="N832" s="71"/>
      <c r="O832" s="72" t="s">
        <v>56</v>
      </c>
      <c r="P832" s="72"/>
      <c r="Q832" s="72"/>
      <c r="R832" s="72" t="str">
        <f t="shared" si="171"/>
        <v/>
      </c>
      <c r="S832" s="63"/>
      <c r="T832" s="72" t="s">
        <v>56</v>
      </c>
      <c r="U832" s="105" t="str">
        <f>IF($J$1="Sept",Y831,"")</f>
        <v/>
      </c>
      <c r="V832" s="74"/>
      <c r="W832" s="105" t="str">
        <f t="shared" si="172"/>
        <v/>
      </c>
      <c r="X832" s="74"/>
      <c r="Y832" s="105" t="str">
        <f t="shared" si="173"/>
        <v/>
      </c>
      <c r="Z832" s="76"/>
    </row>
    <row r="833" spans="1:27" s="29" customFormat="1" ht="21.4" customHeight="1" x14ac:dyDescent="0.2">
      <c r="A833" s="30"/>
      <c r="L833" s="46"/>
      <c r="N833" s="71"/>
      <c r="O833" s="72" t="s">
        <v>52</v>
      </c>
      <c r="P833" s="72"/>
      <c r="Q833" s="72"/>
      <c r="R833" s="72" t="str">
        <f t="shared" si="171"/>
        <v/>
      </c>
      <c r="S833" s="63"/>
      <c r="T833" s="72" t="s">
        <v>52</v>
      </c>
      <c r="U833" s="105" t="str">
        <f>IF($J$1="October",Y832,"")</f>
        <v/>
      </c>
      <c r="V833" s="74"/>
      <c r="W833" s="105" t="str">
        <f t="shared" si="172"/>
        <v/>
      </c>
      <c r="X833" s="74"/>
      <c r="Y833" s="105" t="str">
        <f t="shared" si="173"/>
        <v/>
      </c>
      <c r="Z833" s="76"/>
    </row>
    <row r="834" spans="1:27" s="29" customFormat="1" ht="21.4" customHeight="1" x14ac:dyDescent="0.2">
      <c r="A834" s="30"/>
      <c r="B834" s="394" t="s">
        <v>85</v>
      </c>
      <c r="C834" s="394"/>
      <c r="D834" s="394"/>
      <c r="E834" s="394"/>
      <c r="F834" s="394"/>
      <c r="G834" s="394"/>
      <c r="H834" s="394"/>
      <c r="I834" s="394"/>
      <c r="J834" s="394"/>
      <c r="K834" s="394"/>
      <c r="L834" s="46"/>
      <c r="N834" s="71"/>
      <c r="O834" s="72" t="s">
        <v>57</v>
      </c>
      <c r="P834" s="72"/>
      <c r="Q834" s="72"/>
      <c r="R834" s="72" t="str">
        <f t="shared" si="171"/>
        <v/>
      </c>
      <c r="S834" s="63"/>
      <c r="T834" s="72" t="s">
        <v>57</v>
      </c>
      <c r="U834" s="105" t="str">
        <f>IF($J$1="November",Y833,"")</f>
        <v/>
      </c>
      <c r="V834" s="74"/>
      <c r="W834" s="105" t="str">
        <f t="shared" si="172"/>
        <v/>
      </c>
      <c r="X834" s="74"/>
      <c r="Y834" s="105" t="str">
        <f t="shared" si="173"/>
        <v/>
      </c>
      <c r="Z834" s="76"/>
    </row>
    <row r="835" spans="1:27" s="29" customFormat="1" ht="21.4" customHeight="1" x14ac:dyDescent="0.2">
      <c r="A835" s="30"/>
      <c r="B835" s="394"/>
      <c r="C835" s="394"/>
      <c r="D835" s="394"/>
      <c r="E835" s="394"/>
      <c r="F835" s="394"/>
      <c r="G835" s="394"/>
      <c r="H835" s="394"/>
      <c r="I835" s="394"/>
      <c r="J835" s="394"/>
      <c r="K835" s="394"/>
      <c r="L835" s="46"/>
      <c r="N835" s="71"/>
      <c r="O835" s="72" t="s">
        <v>58</v>
      </c>
      <c r="P835" s="72"/>
      <c r="Q835" s="72"/>
      <c r="R835" s="72" t="str">
        <f t="shared" si="171"/>
        <v/>
      </c>
      <c r="S835" s="63"/>
      <c r="T835" s="72" t="s">
        <v>58</v>
      </c>
      <c r="U835" s="105" t="str">
        <f>IF($J$1="Dec",Y834,"")</f>
        <v/>
      </c>
      <c r="V835" s="74"/>
      <c r="W835" s="105" t="str">
        <f t="shared" si="172"/>
        <v/>
      </c>
      <c r="X835" s="74"/>
      <c r="Y835" s="105" t="str">
        <f t="shared" si="173"/>
        <v/>
      </c>
      <c r="Z835" s="76"/>
    </row>
    <row r="836" spans="1:27" s="29" customFormat="1" ht="21.4" customHeight="1" thickBot="1" x14ac:dyDescent="0.25">
      <c r="A836" s="59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1"/>
      <c r="N836" s="77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9"/>
    </row>
    <row r="837" spans="1:27" s="29" customFormat="1" ht="21.4" customHeight="1" thickBot="1" x14ac:dyDescent="0.25"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spans="1:27" s="29" customFormat="1" ht="21.4" customHeight="1" x14ac:dyDescent="0.2">
      <c r="A838" s="433" t="s">
        <v>40</v>
      </c>
      <c r="B838" s="434"/>
      <c r="C838" s="434"/>
      <c r="D838" s="434"/>
      <c r="E838" s="434"/>
      <c r="F838" s="434"/>
      <c r="G838" s="434"/>
      <c r="H838" s="434"/>
      <c r="I838" s="434"/>
      <c r="J838" s="434"/>
      <c r="K838" s="434"/>
      <c r="L838" s="435"/>
      <c r="M838" s="28"/>
      <c r="N838" s="64"/>
      <c r="O838" s="403" t="s">
        <v>42</v>
      </c>
      <c r="P838" s="404"/>
      <c r="Q838" s="404"/>
      <c r="R838" s="405"/>
      <c r="S838" s="65"/>
      <c r="T838" s="403" t="s">
        <v>43</v>
      </c>
      <c r="U838" s="404"/>
      <c r="V838" s="404"/>
      <c r="W838" s="404"/>
      <c r="X838" s="404"/>
      <c r="Y838" s="405"/>
      <c r="Z838" s="66"/>
      <c r="AA838" s="28"/>
    </row>
    <row r="839" spans="1:27" s="29" customFormat="1" ht="21.4" customHeight="1" x14ac:dyDescent="0.2">
      <c r="A839" s="30"/>
      <c r="C839" s="402" t="s">
        <v>83</v>
      </c>
      <c r="D839" s="402"/>
      <c r="E839" s="402"/>
      <c r="F839" s="402"/>
      <c r="G839" s="31" t="str">
        <f>$J$1</f>
        <v>June</v>
      </c>
      <c r="H839" s="409">
        <f>$K$1</f>
        <v>2023</v>
      </c>
      <c r="I839" s="409"/>
      <c r="K839" s="32"/>
      <c r="L839" s="33"/>
      <c r="M839" s="32"/>
      <c r="N839" s="67"/>
      <c r="O839" s="68" t="s">
        <v>53</v>
      </c>
      <c r="P839" s="68" t="s">
        <v>7</v>
      </c>
      <c r="Q839" s="68" t="s">
        <v>6</v>
      </c>
      <c r="R839" s="68" t="s">
        <v>54</v>
      </c>
      <c r="S839" s="69"/>
      <c r="T839" s="68" t="s">
        <v>53</v>
      </c>
      <c r="U839" s="68" t="s">
        <v>55</v>
      </c>
      <c r="V839" s="68" t="s">
        <v>20</v>
      </c>
      <c r="W839" s="68" t="s">
        <v>19</v>
      </c>
      <c r="X839" s="68" t="s">
        <v>21</v>
      </c>
      <c r="Y839" s="68" t="s">
        <v>59</v>
      </c>
      <c r="Z839" s="70"/>
      <c r="AA839" s="32"/>
    </row>
    <row r="840" spans="1:27" s="29" customFormat="1" ht="21.4" customHeight="1" x14ac:dyDescent="0.2">
      <c r="A840" s="30"/>
      <c r="D840" s="35"/>
      <c r="E840" s="35"/>
      <c r="F840" s="35"/>
      <c r="G840" s="35"/>
      <c r="H840" s="35"/>
      <c r="J840" s="36" t="s">
        <v>1</v>
      </c>
      <c r="K840" s="37"/>
      <c r="L840" s="38"/>
      <c r="N840" s="71"/>
      <c r="O840" s="72" t="s">
        <v>45</v>
      </c>
      <c r="P840" s="72">
        <v>29</v>
      </c>
      <c r="Q840" s="72">
        <v>2</v>
      </c>
      <c r="R840" s="72">
        <f>15-Q840</f>
        <v>13</v>
      </c>
      <c r="S840" s="73"/>
      <c r="T840" s="72" t="s">
        <v>45</v>
      </c>
      <c r="U840" s="74"/>
      <c r="V840" s="74"/>
      <c r="W840" s="74">
        <f>V840+U840</f>
        <v>0</v>
      </c>
      <c r="X840" s="74"/>
      <c r="Y840" s="74">
        <f>W840-X840</f>
        <v>0</v>
      </c>
      <c r="Z840" s="70"/>
    </row>
    <row r="841" spans="1:27" s="29" customFormat="1" ht="21.4" customHeight="1" x14ac:dyDescent="0.2">
      <c r="A841" s="30"/>
      <c r="B841" s="29" t="s">
        <v>0</v>
      </c>
      <c r="C841" s="40"/>
      <c r="H841" s="41"/>
      <c r="I841" s="35"/>
      <c r="L841" s="42"/>
      <c r="M841" s="28"/>
      <c r="N841" s="75"/>
      <c r="O841" s="72" t="s">
        <v>71</v>
      </c>
      <c r="P841" s="72">
        <v>28</v>
      </c>
      <c r="Q841" s="72">
        <v>1</v>
      </c>
      <c r="R841" s="72">
        <f>IF(Q841="","",R840-Q841)</f>
        <v>12</v>
      </c>
      <c r="S841" s="63"/>
      <c r="T841" s="72" t="s">
        <v>71</v>
      </c>
      <c r="U841" s="105">
        <f>IF($J$1="January","",Y840)</f>
        <v>0</v>
      </c>
      <c r="V841" s="74"/>
      <c r="W841" s="105">
        <f>IF(U841="","",U841+V841)</f>
        <v>0</v>
      </c>
      <c r="X841" s="74"/>
      <c r="Y841" s="105">
        <f>IF(W841="","",W841-X841)</f>
        <v>0</v>
      </c>
      <c r="Z841" s="76"/>
      <c r="AA841" s="28"/>
    </row>
    <row r="842" spans="1:27" s="29" customFormat="1" ht="21.4" customHeight="1" x14ac:dyDescent="0.2">
      <c r="A842" s="30"/>
      <c r="B842" s="44" t="s">
        <v>41</v>
      </c>
      <c r="C842" s="45"/>
      <c r="F842" s="391" t="s">
        <v>43</v>
      </c>
      <c r="G842" s="391"/>
      <c r="I842" s="391" t="s">
        <v>44</v>
      </c>
      <c r="J842" s="391"/>
      <c r="K842" s="391"/>
      <c r="L842" s="46"/>
      <c r="N842" s="71"/>
      <c r="O842" s="72" t="s">
        <v>46</v>
      </c>
      <c r="P842" s="72">
        <v>31</v>
      </c>
      <c r="Q842" s="72">
        <v>0</v>
      </c>
      <c r="R842" s="72">
        <f t="shared" ref="R842" si="174">IF(Q842="","",R841-Q842)</f>
        <v>12</v>
      </c>
      <c r="S842" s="63"/>
      <c r="T842" s="72" t="s">
        <v>46</v>
      </c>
      <c r="U842" s="105">
        <f>IF($J$1="February","",Y841)</f>
        <v>0</v>
      </c>
      <c r="V842" s="74"/>
      <c r="W842" s="105">
        <f t="shared" ref="W842:W851" si="175">IF(U842="","",U842+V842)</f>
        <v>0</v>
      </c>
      <c r="X842" s="74"/>
      <c r="Y842" s="105">
        <f t="shared" ref="Y842:Y851" si="176">IF(W842="","",W842-X842)</f>
        <v>0</v>
      </c>
      <c r="Z842" s="76"/>
    </row>
    <row r="843" spans="1:27" s="29" customFormat="1" ht="21.4" customHeight="1" x14ac:dyDescent="0.2">
      <c r="A843" s="30"/>
      <c r="H843" s="47"/>
      <c r="L843" s="34"/>
      <c r="N843" s="71"/>
      <c r="O843" s="72" t="s">
        <v>47</v>
      </c>
      <c r="P843" s="72">
        <v>14</v>
      </c>
      <c r="Q843" s="72">
        <v>16</v>
      </c>
      <c r="R843" s="72">
        <v>0</v>
      </c>
      <c r="S843" s="63"/>
      <c r="T843" s="72" t="s">
        <v>47</v>
      </c>
      <c r="U843" s="105">
        <f>IF($J$1="March","",Y842)</f>
        <v>0</v>
      </c>
      <c r="V843" s="74"/>
      <c r="W843" s="105">
        <f t="shared" si="175"/>
        <v>0</v>
      </c>
      <c r="X843" s="74"/>
      <c r="Y843" s="105">
        <f t="shared" si="176"/>
        <v>0</v>
      </c>
      <c r="Z843" s="76"/>
    </row>
    <row r="844" spans="1:27" s="29" customFormat="1" ht="21.4" customHeight="1" x14ac:dyDescent="0.2">
      <c r="A844" s="30"/>
      <c r="B844" s="389" t="s">
        <v>42</v>
      </c>
      <c r="C844" s="390"/>
      <c r="F844" s="48" t="s">
        <v>64</v>
      </c>
      <c r="G844" s="110">
        <f>IF($J$1="January",U840,IF($J$1="February",U841,IF($J$1="March",U842,IF($J$1="April",U843,IF($J$1="May",U844,IF($J$1="June",U845,IF($J$1="July",U846,IF($J$1="August",U847,IF($J$1="August",U847,IF($J$1="September",U848,IF($J$1="October",U849,IF($J$1="November",U850,IF($J$1="December",U851)))))))))))))</f>
        <v>0</v>
      </c>
      <c r="H844" s="47"/>
      <c r="I844" s="49">
        <f>IF(C848&gt;0,$K$2,C846)</f>
        <v>4</v>
      </c>
      <c r="J844" s="50" t="s">
        <v>61</v>
      </c>
      <c r="K844" s="51">
        <f>K840/$K$2*I844</f>
        <v>0</v>
      </c>
      <c r="L844" s="52"/>
      <c r="N844" s="71"/>
      <c r="O844" s="72" t="s">
        <v>48</v>
      </c>
      <c r="P844" s="72">
        <v>28</v>
      </c>
      <c r="Q844" s="72">
        <v>3</v>
      </c>
      <c r="R844" s="72">
        <v>0</v>
      </c>
      <c r="S844" s="63"/>
      <c r="T844" s="72" t="s">
        <v>48</v>
      </c>
      <c r="U844" s="105">
        <f>IF($J$1="April","",Y843)</f>
        <v>0</v>
      </c>
      <c r="V844" s="74"/>
      <c r="W844" s="105">
        <f t="shared" si="175"/>
        <v>0</v>
      </c>
      <c r="X844" s="74"/>
      <c r="Y844" s="105">
        <f t="shared" si="176"/>
        <v>0</v>
      </c>
      <c r="Z844" s="76"/>
    </row>
    <row r="845" spans="1:27" s="29" customFormat="1" ht="21.4" customHeight="1" x14ac:dyDescent="0.2">
      <c r="A845" s="30"/>
      <c r="B845" s="39"/>
      <c r="C845" s="39"/>
      <c r="F845" s="48" t="s">
        <v>20</v>
      </c>
      <c r="G845" s="110">
        <f>IF($J$1="January",V840,IF($J$1="February",V841,IF($J$1="March",V842,IF($J$1="April",V843,IF($J$1="May",V844,IF($J$1="June",V845,IF($J$1="July",V846,IF($J$1="August",V847,IF($J$1="August",V847,IF($J$1="September",V848,IF($J$1="October",V849,IF($J$1="November",V850,IF($J$1="December",V851)))))))))))))</f>
        <v>0</v>
      </c>
      <c r="H845" s="47"/>
      <c r="I845" s="84"/>
      <c r="J845" s="50" t="s">
        <v>62</v>
      </c>
      <c r="K845" s="53">
        <f>K840/$K$2/8*I845</f>
        <v>0</v>
      </c>
      <c r="L845" s="54"/>
      <c r="N845" s="71"/>
      <c r="O845" s="72" t="s">
        <v>49</v>
      </c>
      <c r="P845" s="72">
        <v>4</v>
      </c>
      <c r="Q845" s="72">
        <v>26</v>
      </c>
      <c r="R845" s="72">
        <v>0</v>
      </c>
      <c r="S845" s="63"/>
      <c r="T845" s="72" t="s">
        <v>49</v>
      </c>
      <c r="U845" s="105">
        <f>IF($J$1="May","",Y844)</f>
        <v>0</v>
      </c>
      <c r="V845" s="74"/>
      <c r="W845" s="105">
        <f t="shared" si="175"/>
        <v>0</v>
      </c>
      <c r="X845" s="74"/>
      <c r="Y845" s="105">
        <f t="shared" si="176"/>
        <v>0</v>
      </c>
      <c r="Z845" s="76"/>
    </row>
    <row r="846" spans="1:27" s="29" customFormat="1" ht="21.4" customHeight="1" x14ac:dyDescent="0.2">
      <c r="A846" s="30"/>
      <c r="B846" s="48" t="s">
        <v>7</v>
      </c>
      <c r="C846" s="39">
        <f>IF($J$1="January",P840,IF($J$1="February",P841,IF($J$1="March",P842,IF($J$1="April",P843,IF($J$1="May",P844,IF($J$1="June",P845,IF($J$1="July",P846,IF($J$1="August",P847,IF($J$1="August",P847,IF($J$1="September",P848,IF($J$1="October",P849,IF($J$1="November",P850,IF($J$1="December",P851)))))))))))))</f>
        <v>4</v>
      </c>
      <c r="F846" s="48" t="s">
        <v>65</v>
      </c>
      <c r="G846" s="110">
        <f>IF($J$1="January",W840,IF($J$1="February",W841,IF($J$1="March",W842,IF($J$1="April",W843,IF($J$1="May",W844,IF($J$1="June",W845,IF($J$1="July",W846,IF($J$1="August",W847,IF($J$1="August",W847,IF($J$1="September",W848,IF($J$1="October",W849,IF($J$1="November",W850,IF($J$1="December",W851)))))))))))))</f>
        <v>0</v>
      </c>
      <c r="H846" s="47"/>
      <c r="I846" s="392" t="s">
        <v>69</v>
      </c>
      <c r="J846" s="393"/>
      <c r="K846" s="53">
        <f>K844+K845</f>
        <v>0</v>
      </c>
      <c r="L846" s="54"/>
      <c r="N846" s="71"/>
      <c r="O846" s="72" t="s">
        <v>50</v>
      </c>
      <c r="P846" s="72"/>
      <c r="Q846" s="72"/>
      <c r="R846" s="72">
        <v>0</v>
      </c>
      <c r="S846" s="63"/>
      <c r="T846" s="72" t="s">
        <v>50</v>
      </c>
      <c r="U846" s="105" t="str">
        <f>IF($J$1="June","",Y845)</f>
        <v/>
      </c>
      <c r="V846" s="74"/>
      <c r="W846" s="105" t="str">
        <f t="shared" si="175"/>
        <v/>
      </c>
      <c r="X846" s="74"/>
      <c r="Y846" s="105" t="str">
        <f t="shared" si="176"/>
        <v/>
      </c>
      <c r="Z846" s="76"/>
    </row>
    <row r="847" spans="1:27" s="29" customFormat="1" ht="21.4" customHeight="1" x14ac:dyDescent="0.2">
      <c r="A847" s="30"/>
      <c r="B847" s="48" t="s">
        <v>6</v>
      </c>
      <c r="C847" s="39">
        <f>IF($J$1="January",Q840,IF($J$1="February",Q841,IF($J$1="March",Q842,IF($J$1="April",Q843,IF($J$1="May",Q844,IF($J$1="June",Q845,IF($J$1="July",Q846,IF($J$1="August",Q847,IF($J$1="August",Q847,IF($J$1="September",Q848,IF($J$1="October",Q849,IF($J$1="November",Q850,IF($J$1="December",Q851)))))))))))))</f>
        <v>26</v>
      </c>
      <c r="F847" s="48" t="s">
        <v>21</v>
      </c>
      <c r="G847" s="110">
        <f>IF($J$1="January",X840,IF($J$1="February",X841,IF($J$1="March",X842,IF($J$1="April",X843,IF($J$1="May",X844,IF($J$1="June",X845,IF($J$1="July",X846,IF($J$1="August",X847,IF($J$1="August",X847,IF($J$1="September",X848,IF($J$1="October",X849,IF($J$1="November",X850,IF($J$1="December",X851)))))))))))))</f>
        <v>0</v>
      </c>
      <c r="H847" s="47"/>
      <c r="I847" s="392" t="s">
        <v>70</v>
      </c>
      <c r="J847" s="393"/>
      <c r="K847" s="43">
        <f>G847</f>
        <v>0</v>
      </c>
      <c r="L847" s="55"/>
      <c r="N847" s="71"/>
      <c r="O847" s="72" t="s">
        <v>51</v>
      </c>
      <c r="P847" s="72"/>
      <c r="Q847" s="72"/>
      <c r="R847" s="72">
        <v>0</v>
      </c>
      <c r="S847" s="63"/>
      <c r="T847" s="72" t="s">
        <v>51</v>
      </c>
      <c r="U847" s="105" t="str">
        <f>IF($J$1="July","",Y846)</f>
        <v/>
      </c>
      <c r="V847" s="74"/>
      <c r="W847" s="105" t="str">
        <f t="shared" si="175"/>
        <v/>
      </c>
      <c r="X847" s="74"/>
      <c r="Y847" s="105" t="str">
        <f t="shared" si="176"/>
        <v/>
      </c>
      <c r="Z847" s="76"/>
    </row>
    <row r="848" spans="1:27" s="29" customFormat="1" ht="21.4" customHeight="1" x14ac:dyDescent="0.2">
      <c r="A848" s="30"/>
      <c r="B848" s="56" t="s">
        <v>68</v>
      </c>
      <c r="C848" s="39">
        <f>IF($J$1="January",R840,IF($J$1="February",R841,IF($J$1="March",R842,IF($J$1="April",R843,IF($J$1="May",R844,IF($J$1="June",R845,IF($J$1="July",R846,IF($J$1="August",R847,IF($J$1="August",R847,IF($J$1="September",R848,IF($J$1="October",R849,IF($J$1="November",R850,IF($J$1="December",R851)))))))))))))</f>
        <v>0</v>
      </c>
      <c r="F848" s="48" t="s">
        <v>67</v>
      </c>
      <c r="G848" s="110">
        <f>IF($J$1="January",Y840,IF($J$1="February",Y841,IF($J$1="March",Y842,IF($J$1="April",Y843,IF($J$1="May",Y844,IF($J$1="June",Y845,IF($J$1="July",Y846,IF($J$1="August",Y847,IF($J$1="August",Y847,IF($J$1="September",Y848,IF($J$1="October",Y849,IF($J$1="November",Y850,IF($J$1="December",Y851)))))))))))))</f>
        <v>0</v>
      </c>
      <c r="I848" s="387" t="s">
        <v>63</v>
      </c>
      <c r="J848" s="388"/>
      <c r="K848" s="57"/>
      <c r="L848" s="58"/>
      <c r="N848" s="71"/>
      <c r="O848" s="72" t="s">
        <v>56</v>
      </c>
      <c r="P848" s="72"/>
      <c r="Q848" s="72"/>
      <c r="R848" s="72">
        <v>0</v>
      </c>
      <c r="S848" s="63"/>
      <c r="T848" s="72" t="s">
        <v>56</v>
      </c>
      <c r="U848" s="105" t="str">
        <f>IF($J$1="August","",Y847)</f>
        <v/>
      </c>
      <c r="V848" s="74"/>
      <c r="W848" s="105" t="str">
        <f t="shared" si="175"/>
        <v/>
      </c>
      <c r="X848" s="74"/>
      <c r="Y848" s="105" t="str">
        <f t="shared" si="176"/>
        <v/>
      </c>
      <c r="Z848" s="76"/>
    </row>
    <row r="849" spans="1:27" s="29" customFormat="1" ht="21.4" customHeight="1" x14ac:dyDescent="0.2">
      <c r="A849" s="30"/>
      <c r="J849" s="107"/>
      <c r="K849" s="107"/>
      <c r="L849" s="46"/>
      <c r="N849" s="71"/>
      <c r="O849" s="72" t="s">
        <v>52</v>
      </c>
      <c r="P849" s="72"/>
      <c r="Q849" s="72"/>
      <c r="R849" s="72">
        <v>0</v>
      </c>
      <c r="S849" s="63"/>
      <c r="T849" s="72" t="s">
        <v>52</v>
      </c>
      <c r="U849" s="105" t="str">
        <f>IF($J$1="September","",Y848)</f>
        <v/>
      </c>
      <c r="V849" s="74"/>
      <c r="W849" s="105" t="str">
        <f t="shared" si="175"/>
        <v/>
      </c>
      <c r="X849" s="74"/>
      <c r="Y849" s="105" t="str">
        <f t="shared" si="176"/>
        <v/>
      </c>
      <c r="Z849" s="76"/>
    </row>
    <row r="850" spans="1:27" s="29" customFormat="1" ht="21.4" customHeight="1" x14ac:dyDescent="0.2">
      <c r="A850" s="30"/>
      <c r="B850" s="394" t="s">
        <v>85</v>
      </c>
      <c r="C850" s="394"/>
      <c r="D850" s="394"/>
      <c r="E850" s="394"/>
      <c r="F850" s="394"/>
      <c r="G850" s="394"/>
      <c r="H850" s="394"/>
      <c r="I850" s="394"/>
      <c r="J850" s="394"/>
      <c r="K850" s="394"/>
      <c r="L850" s="46"/>
      <c r="N850" s="71"/>
      <c r="O850" s="72" t="s">
        <v>57</v>
      </c>
      <c r="P850" s="72"/>
      <c r="Q850" s="72"/>
      <c r="R850" s="72">
        <v>0</v>
      </c>
      <c r="S850" s="63"/>
      <c r="T850" s="72" t="s">
        <v>57</v>
      </c>
      <c r="U850" s="105" t="str">
        <f>IF($J$1="October","",Y849)</f>
        <v/>
      </c>
      <c r="V850" s="74"/>
      <c r="W850" s="105" t="str">
        <f t="shared" si="175"/>
        <v/>
      </c>
      <c r="X850" s="74"/>
      <c r="Y850" s="105" t="str">
        <f t="shared" si="176"/>
        <v/>
      </c>
      <c r="Z850" s="76"/>
    </row>
    <row r="851" spans="1:27" s="29" customFormat="1" ht="21.4" customHeight="1" x14ac:dyDescent="0.2">
      <c r="A851" s="30"/>
      <c r="B851" s="394"/>
      <c r="C851" s="394"/>
      <c r="D851" s="394"/>
      <c r="E851" s="394"/>
      <c r="F851" s="394"/>
      <c r="G851" s="394"/>
      <c r="H851" s="394"/>
      <c r="I851" s="394"/>
      <c r="J851" s="394"/>
      <c r="K851" s="394"/>
      <c r="L851" s="46"/>
      <c r="N851" s="71"/>
      <c r="O851" s="72" t="s">
        <v>58</v>
      </c>
      <c r="P851" s="72"/>
      <c r="Q851" s="72"/>
      <c r="R851" s="72">
        <v>0</v>
      </c>
      <c r="S851" s="63"/>
      <c r="T851" s="72" t="s">
        <v>58</v>
      </c>
      <c r="U851" s="105" t="str">
        <f>IF($J$1="November","",Y850)</f>
        <v/>
      </c>
      <c r="V851" s="74"/>
      <c r="W851" s="105" t="str">
        <f t="shared" si="175"/>
        <v/>
      </c>
      <c r="X851" s="74"/>
      <c r="Y851" s="105" t="str">
        <f t="shared" si="176"/>
        <v/>
      </c>
      <c r="Z851" s="76"/>
    </row>
    <row r="852" spans="1:27" s="29" customFormat="1" ht="21.4" customHeight="1" thickBot="1" x14ac:dyDescent="0.25">
      <c r="A852" s="59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1"/>
      <c r="N852" s="77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9"/>
    </row>
    <row r="853" spans="1:27" s="29" customFormat="1" ht="21.4" customHeight="1" thickBot="1" x14ac:dyDescent="0.25"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spans="1:27" s="29" customFormat="1" ht="21.4" customHeight="1" x14ac:dyDescent="0.2">
      <c r="A854" s="427" t="s">
        <v>40</v>
      </c>
      <c r="B854" s="428"/>
      <c r="C854" s="428"/>
      <c r="D854" s="428"/>
      <c r="E854" s="428"/>
      <c r="F854" s="428"/>
      <c r="G854" s="428"/>
      <c r="H854" s="428"/>
      <c r="I854" s="428"/>
      <c r="J854" s="428"/>
      <c r="K854" s="428"/>
      <c r="L854" s="429"/>
      <c r="M854" s="28"/>
      <c r="N854" s="64"/>
      <c r="O854" s="403" t="s">
        <v>42</v>
      </c>
      <c r="P854" s="404"/>
      <c r="Q854" s="404"/>
      <c r="R854" s="405"/>
      <c r="S854" s="65"/>
      <c r="T854" s="403" t="s">
        <v>43</v>
      </c>
      <c r="U854" s="404"/>
      <c r="V854" s="404"/>
      <c r="W854" s="404"/>
      <c r="X854" s="404"/>
      <c r="Y854" s="405"/>
      <c r="Z854" s="66"/>
      <c r="AA854" s="28"/>
    </row>
    <row r="855" spans="1:27" s="29" customFormat="1" ht="21.4" customHeight="1" x14ac:dyDescent="0.2">
      <c r="A855" s="30"/>
      <c r="C855" s="402" t="s">
        <v>83</v>
      </c>
      <c r="D855" s="402"/>
      <c r="E855" s="402"/>
      <c r="F855" s="402"/>
      <c r="G855" s="31" t="str">
        <f>$J$1</f>
        <v>June</v>
      </c>
      <c r="H855" s="409">
        <f>$K$1</f>
        <v>2023</v>
      </c>
      <c r="I855" s="409"/>
      <c r="K855" s="32"/>
      <c r="L855" s="33"/>
      <c r="M855" s="32"/>
      <c r="N855" s="67"/>
      <c r="O855" s="68" t="s">
        <v>53</v>
      </c>
      <c r="P855" s="68" t="s">
        <v>7</v>
      </c>
      <c r="Q855" s="68" t="s">
        <v>6</v>
      </c>
      <c r="R855" s="68" t="s">
        <v>54</v>
      </c>
      <c r="S855" s="69"/>
      <c r="T855" s="68" t="s">
        <v>53</v>
      </c>
      <c r="U855" s="68" t="s">
        <v>55</v>
      </c>
      <c r="V855" s="68" t="s">
        <v>20</v>
      </c>
      <c r="W855" s="68" t="s">
        <v>19</v>
      </c>
      <c r="X855" s="68" t="s">
        <v>21</v>
      </c>
      <c r="Y855" s="68" t="s">
        <v>59</v>
      </c>
      <c r="Z855" s="70"/>
      <c r="AA855" s="32"/>
    </row>
    <row r="856" spans="1:27" s="29" customFormat="1" ht="21.4" customHeight="1" x14ac:dyDescent="0.2">
      <c r="A856" s="30"/>
      <c r="D856" s="35"/>
      <c r="E856" s="35"/>
      <c r="F856" s="35"/>
      <c r="G856" s="35"/>
      <c r="H856" s="35"/>
      <c r="J856" s="36" t="s">
        <v>1</v>
      </c>
      <c r="K856" s="37"/>
      <c r="L856" s="38"/>
      <c r="N856" s="71"/>
      <c r="O856" s="72" t="s">
        <v>45</v>
      </c>
      <c r="P856" s="72"/>
      <c r="Q856" s="72"/>
      <c r="R856" s="72">
        <f>15-Q856</f>
        <v>15</v>
      </c>
      <c r="S856" s="73"/>
      <c r="T856" s="72" t="s">
        <v>45</v>
      </c>
      <c r="U856" s="74"/>
      <c r="V856" s="74"/>
      <c r="W856" s="74">
        <f>V856+U856</f>
        <v>0</v>
      </c>
      <c r="X856" s="74"/>
      <c r="Y856" s="74">
        <f>W856-X856</f>
        <v>0</v>
      </c>
      <c r="Z856" s="70"/>
    </row>
    <row r="857" spans="1:27" s="29" customFormat="1" ht="21.4" customHeight="1" x14ac:dyDescent="0.2">
      <c r="A857" s="30"/>
      <c r="B857" s="29" t="s">
        <v>0</v>
      </c>
      <c r="C857" s="40"/>
      <c r="H857" s="41"/>
      <c r="I857" s="35"/>
      <c r="L857" s="42"/>
      <c r="M857" s="28"/>
      <c r="N857" s="75"/>
      <c r="O857" s="72" t="s">
        <v>71</v>
      </c>
      <c r="P857" s="72"/>
      <c r="Q857" s="72"/>
      <c r="R857" s="72" t="str">
        <f>IF(Q857="","",R856-Q857)</f>
        <v/>
      </c>
      <c r="S857" s="63"/>
      <c r="T857" s="72" t="s">
        <v>71</v>
      </c>
      <c r="U857" s="105">
        <f>Y856</f>
        <v>0</v>
      </c>
      <c r="V857" s="74"/>
      <c r="W857" s="105">
        <f>IF(U857="","",U857+V857)</f>
        <v>0</v>
      </c>
      <c r="X857" s="74"/>
      <c r="Y857" s="105">
        <f>IF(W857="","",W857-X857)</f>
        <v>0</v>
      </c>
      <c r="Z857" s="76"/>
      <c r="AA857" s="28"/>
    </row>
    <row r="858" spans="1:27" s="29" customFormat="1" ht="21.4" customHeight="1" x14ac:dyDescent="0.2">
      <c r="A858" s="30"/>
      <c r="B858" s="44" t="s">
        <v>41</v>
      </c>
      <c r="C858" s="62"/>
      <c r="F858" s="391" t="s">
        <v>43</v>
      </c>
      <c r="G858" s="391"/>
      <c r="I858" s="391" t="s">
        <v>44</v>
      </c>
      <c r="J858" s="391"/>
      <c r="K858" s="391"/>
      <c r="L858" s="46"/>
      <c r="N858" s="71"/>
      <c r="O858" s="72" t="s">
        <v>46</v>
      </c>
      <c r="P858" s="72"/>
      <c r="Q858" s="72"/>
      <c r="R858" s="72" t="str">
        <f t="shared" ref="R858:R867" si="177">IF(Q858="","",R857-Q858)</f>
        <v/>
      </c>
      <c r="S858" s="63"/>
      <c r="T858" s="72" t="s">
        <v>46</v>
      </c>
      <c r="U858" s="105">
        <f>IF($J$1="April",Y857,Y857)</f>
        <v>0</v>
      </c>
      <c r="V858" s="74"/>
      <c r="W858" s="105">
        <f t="shared" ref="W858:W867" si="178">IF(U858="","",U858+V858)</f>
        <v>0</v>
      </c>
      <c r="X858" s="74"/>
      <c r="Y858" s="105">
        <f t="shared" ref="Y858:Y867" si="179">IF(W858="","",W858-X858)</f>
        <v>0</v>
      </c>
      <c r="Z858" s="76"/>
    </row>
    <row r="859" spans="1:27" s="29" customFormat="1" ht="21.4" customHeight="1" x14ac:dyDescent="0.2">
      <c r="A859" s="30"/>
      <c r="H859" s="47"/>
      <c r="L859" s="34"/>
      <c r="N859" s="71"/>
      <c r="O859" s="72" t="s">
        <v>47</v>
      </c>
      <c r="P859" s="72"/>
      <c r="Q859" s="72"/>
      <c r="R859" s="72" t="str">
        <f t="shared" si="177"/>
        <v/>
      </c>
      <c r="S859" s="63"/>
      <c r="T859" s="72" t="s">
        <v>47</v>
      </c>
      <c r="U859" s="105">
        <f>IF($J$1="April",Y858,Y858)</f>
        <v>0</v>
      </c>
      <c r="V859" s="74"/>
      <c r="W859" s="105">
        <f t="shared" si="178"/>
        <v>0</v>
      </c>
      <c r="X859" s="74"/>
      <c r="Y859" s="105">
        <f t="shared" si="179"/>
        <v>0</v>
      </c>
      <c r="Z859" s="76"/>
    </row>
    <row r="860" spans="1:27" s="29" customFormat="1" ht="21.4" customHeight="1" x14ac:dyDescent="0.2">
      <c r="A860" s="30"/>
      <c r="B860" s="389" t="s">
        <v>42</v>
      </c>
      <c r="C860" s="390"/>
      <c r="F860" s="48" t="s">
        <v>64</v>
      </c>
      <c r="G860" s="43">
        <f>IF($J$1="January",U856,IF($J$1="February",U857,IF($J$1="March",U858,IF($J$1="April",U859,IF($J$1="May",U860,IF($J$1="June",U861,IF($J$1="July",U862,IF($J$1="August",U863,IF($J$1="August",U863,IF($J$1="September",U864,IF($J$1="October",U865,IF($J$1="November",U866,IF($J$1="December",U867)))))))))))))</f>
        <v>0</v>
      </c>
      <c r="H860" s="47"/>
      <c r="I860" s="49"/>
      <c r="J860" s="50" t="s">
        <v>61</v>
      </c>
      <c r="K860" s="51">
        <f>K856/$K$2*I860</f>
        <v>0</v>
      </c>
      <c r="L860" s="52"/>
      <c r="N860" s="71"/>
      <c r="O860" s="72" t="s">
        <v>48</v>
      </c>
      <c r="P860" s="72"/>
      <c r="Q860" s="72"/>
      <c r="R860" s="72" t="str">
        <f t="shared" si="177"/>
        <v/>
      </c>
      <c r="S860" s="63"/>
      <c r="T860" s="72" t="s">
        <v>48</v>
      </c>
      <c r="U860" s="105">
        <f>IF($J$1="May",Y859,Y859)</f>
        <v>0</v>
      </c>
      <c r="V860" s="74"/>
      <c r="W860" s="105">
        <f t="shared" si="178"/>
        <v>0</v>
      </c>
      <c r="X860" s="74"/>
      <c r="Y860" s="105">
        <f t="shared" si="179"/>
        <v>0</v>
      </c>
      <c r="Z860" s="76"/>
    </row>
    <row r="861" spans="1:27" s="29" customFormat="1" ht="21.4" customHeight="1" x14ac:dyDescent="0.2">
      <c r="A861" s="30"/>
      <c r="B861" s="39"/>
      <c r="C861" s="39"/>
      <c r="F861" s="48" t="s">
        <v>20</v>
      </c>
      <c r="G861" s="43">
        <f>IF($J$1="January",V856,IF($J$1="February",V857,IF($J$1="March",V858,IF($J$1="April",V859,IF($J$1="May",V860,IF($J$1="June",V861,IF($J$1="July",V862,IF($J$1="August",V863,IF($J$1="August",V863,IF($J$1="September",V864,IF($J$1="October",V865,IF($J$1="November",V866,IF($J$1="December",V867)))))))))))))</f>
        <v>0</v>
      </c>
      <c r="H861" s="47"/>
      <c r="I861" s="49"/>
      <c r="J861" s="50" t="s">
        <v>62</v>
      </c>
      <c r="K861" s="53"/>
      <c r="L861" s="54"/>
      <c r="N861" s="71"/>
      <c r="O861" s="72" t="s">
        <v>49</v>
      </c>
      <c r="P861" s="72"/>
      <c r="Q861" s="72"/>
      <c r="R861" s="72" t="str">
        <f t="shared" si="177"/>
        <v/>
      </c>
      <c r="S861" s="63"/>
      <c r="T861" s="72" t="s">
        <v>49</v>
      </c>
      <c r="U861" s="105">
        <f>IF($J$1="May",Y860,Y860)</f>
        <v>0</v>
      </c>
      <c r="V861" s="74"/>
      <c r="W861" s="105">
        <f t="shared" si="178"/>
        <v>0</v>
      </c>
      <c r="X861" s="74"/>
      <c r="Y861" s="105">
        <f t="shared" si="179"/>
        <v>0</v>
      </c>
      <c r="Z861" s="76"/>
    </row>
    <row r="862" spans="1:27" s="29" customFormat="1" ht="21.4" customHeight="1" x14ac:dyDescent="0.2">
      <c r="A862" s="30"/>
      <c r="B862" s="48" t="s">
        <v>7</v>
      </c>
      <c r="C862" s="39">
        <f>IF($J$1="January",P856,IF($J$1="February",P857,IF($J$1="March",P858,IF($J$1="April",P859,IF($J$1="May",P860,IF($J$1="June",P861,IF($J$1="July",P862,IF($J$1="August",P863,IF($J$1="August",P863,IF($J$1="September",P864,IF($J$1="October",P865,IF($J$1="November",P866,IF($J$1="December",P867)))))))))))))</f>
        <v>0</v>
      </c>
      <c r="F862" s="48" t="s">
        <v>65</v>
      </c>
      <c r="G862" s="43">
        <f>IF($J$1="January",W856,IF($J$1="February",W857,IF($J$1="March",W858,IF($J$1="April",W859,IF($J$1="May",W860,IF($J$1="June",W861,IF($J$1="July",W862,IF($J$1="August",W863,IF($J$1="August",W863,IF($J$1="September",W864,IF($J$1="October",W865,IF($J$1="November",W866,IF($J$1="December",W867)))))))))))))</f>
        <v>0</v>
      </c>
      <c r="H862" s="47"/>
      <c r="I862" s="392" t="s">
        <v>69</v>
      </c>
      <c r="J862" s="393"/>
      <c r="K862" s="53">
        <f>K860+K861</f>
        <v>0</v>
      </c>
      <c r="L862" s="54"/>
      <c r="N862" s="71"/>
      <c r="O862" s="72" t="s">
        <v>50</v>
      </c>
      <c r="P862" s="72"/>
      <c r="Q862" s="72"/>
      <c r="R862" s="72" t="str">
        <f t="shared" si="177"/>
        <v/>
      </c>
      <c r="S862" s="63"/>
      <c r="T862" s="72" t="s">
        <v>50</v>
      </c>
      <c r="U862" s="105">
        <f>IF($J$1="May",Y861,Y861)</f>
        <v>0</v>
      </c>
      <c r="V862" s="74"/>
      <c r="W862" s="105">
        <f t="shared" si="178"/>
        <v>0</v>
      </c>
      <c r="X862" s="74"/>
      <c r="Y862" s="105">
        <f t="shared" si="179"/>
        <v>0</v>
      </c>
      <c r="Z862" s="76"/>
    </row>
    <row r="863" spans="1:27" s="29" customFormat="1" ht="21.4" customHeight="1" x14ac:dyDescent="0.2">
      <c r="A863" s="30"/>
      <c r="B863" s="48" t="s">
        <v>6</v>
      </c>
      <c r="C863" s="39">
        <f>IF($J$1="January",Q856,IF($J$1="February",Q857,IF($J$1="March",Q858,IF($J$1="April",Q859,IF($J$1="May",Q860,IF($J$1="June",Q861,IF($J$1="July",Q862,IF($J$1="August",Q863,IF($J$1="August",Q863,IF($J$1="September",Q864,IF($J$1="October",Q865,IF($J$1="November",Q866,IF($J$1="December",Q867)))))))))))))</f>
        <v>0</v>
      </c>
      <c r="F863" s="48" t="s">
        <v>21</v>
      </c>
      <c r="G863" s="43">
        <f>IF($J$1="January",X856,IF($J$1="February",X857,IF($J$1="March",X858,IF($J$1="April",X859,IF($J$1="May",X860,IF($J$1="June",X861,IF($J$1="July",X862,IF($J$1="August",X863,IF($J$1="August",X863,IF($J$1="September",X864,IF($J$1="October",X865,IF($J$1="November",X866,IF($J$1="December",X867)))))))))))))</f>
        <v>0</v>
      </c>
      <c r="H863" s="47"/>
      <c r="I863" s="392" t="s">
        <v>70</v>
      </c>
      <c r="J863" s="393"/>
      <c r="K863" s="43">
        <f>G863</f>
        <v>0</v>
      </c>
      <c r="L863" s="55"/>
      <c r="N863" s="71"/>
      <c r="O863" s="72" t="s">
        <v>51</v>
      </c>
      <c r="P863" s="72"/>
      <c r="Q863" s="72"/>
      <c r="R863" s="72" t="str">
        <f t="shared" si="177"/>
        <v/>
      </c>
      <c r="S863" s="63"/>
      <c r="T863" s="72" t="s">
        <v>51</v>
      </c>
      <c r="U863" s="105" t="str">
        <f>IF($J$1="September",Y862,"")</f>
        <v/>
      </c>
      <c r="V863" s="74"/>
      <c r="W863" s="105" t="str">
        <f t="shared" si="178"/>
        <v/>
      </c>
      <c r="X863" s="74"/>
      <c r="Y863" s="105" t="str">
        <f t="shared" si="179"/>
        <v/>
      </c>
      <c r="Z863" s="76"/>
    </row>
    <row r="864" spans="1:27" s="29" customFormat="1" ht="21.4" customHeight="1" x14ac:dyDescent="0.2">
      <c r="A864" s="30"/>
      <c r="B864" s="56" t="s">
        <v>68</v>
      </c>
      <c r="C864" s="39" t="str">
        <f>IF($J$1="January",R856,IF($J$1="February",R857,IF($J$1="March",R858,IF($J$1="April",R859,IF($J$1="May",R860,IF($J$1="June",R861,IF($J$1="July",R862,IF($J$1="August",R863,IF($J$1="August",R863,IF($J$1="September",R864,IF($J$1="October",R865,IF($J$1="November",R866,IF($J$1="December",R867)))))))))))))</f>
        <v/>
      </c>
      <c r="F864" s="48" t="s">
        <v>67</v>
      </c>
      <c r="G864" s="43">
        <f>IF($J$1="January",Y856,IF($J$1="February",Y857,IF($J$1="March",Y858,IF($J$1="April",Y859,IF($J$1="May",Y860,IF($J$1="June",Y861,IF($J$1="July",Y862,IF($J$1="August",Y863,IF($J$1="August",Y863,IF($J$1="September",Y864,IF($J$1="October",Y865,IF($J$1="November",Y866,IF($J$1="December",Y867)))))))))))))</f>
        <v>0</v>
      </c>
      <c r="I864" s="387" t="s">
        <v>63</v>
      </c>
      <c r="J864" s="388"/>
      <c r="K864" s="57">
        <f>K862-K863</f>
        <v>0</v>
      </c>
      <c r="L864" s="58"/>
      <c r="N864" s="71"/>
      <c r="O864" s="72" t="s">
        <v>56</v>
      </c>
      <c r="P864" s="72"/>
      <c r="Q864" s="72"/>
      <c r="R864" s="72" t="str">
        <f t="shared" si="177"/>
        <v/>
      </c>
      <c r="S864" s="63"/>
      <c r="T864" s="72" t="s">
        <v>56</v>
      </c>
      <c r="U864" s="105" t="str">
        <f>IF($J$1="September",Y863,"")</f>
        <v/>
      </c>
      <c r="V864" s="74"/>
      <c r="W864" s="105" t="str">
        <f t="shared" si="178"/>
        <v/>
      </c>
      <c r="X864" s="74"/>
      <c r="Y864" s="105" t="str">
        <f t="shared" si="179"/>
        <v/>
      </c>
      <c r="Z864" s="76"/>
    </row>
    <row r="865" spans="1:27" s="29" customFormat="1" ht="21.4" customHeight="1" x14ac:dyDescent="0.2">
      <c r="A865" s="30"/>
      <c r="L865" s="46"/>
      <c r="N865" s="71"/>
      <c r="O865" s="72" t="s">
        <v>52</v>
      </c>
      <c r="P865" s="72"/>
      <c r="Q865" s="72"/>
      <c r="R865" s="72" t="str">
        <f t="shared" si="177"/>
        <v/>
      </c>
      <c r="S865" s="63"/>
      <c r="T865" s="72" t="s">
        <v>52</v>
      </c>
      <c r="U865" s="105" t="str">
        <f>IF($J$1="October",Y864,"")</f>
        <v/>
      </c>
      <c r="V865" s="74"/>
      <c r="W865" s="105" t="str">
        <f t="shared" si="178"/>
        <v/>
      </c>
      <c r="X865" s="74"/>
      <c r="Y865" s="105" t="str">
        <f t="shared" si="179"/>
        <v/>
      </c>
      <c r="Z865" s="76"/>
    </row>
    <row r="866" spans="1:27" s="29" customFormat="1" ht="21.4" customHeight="1" x14ac:dyDescent="0.2">
      <c r="A866" s="30"/>
      <c r="B866" s="394" t="s">
        <v>85</v>
      </c>
      <c r="C866" s="394"/>
      <c r="D866" s="394"/>
      <c r="E866" s="394"/>
      <c r="F866" s="394"/>
      <c r="G866" s="394"/>
      <c r="H866" s="394"/>
      <c r="I866" s="394"/>
      <c r="J866" s="394"/>
      <c r="K866" s="394"/>
      <c r="L866" s="46"/>
      <c r="N866" s="71"/>
      <c r="O866" s="72" t="s">
        <v>57</v>
      </c>
      <c r="P866" s="72"/>
      <c r="Q866" s="72"/>
      <c r="R866" s="72" t="str">
        <f t="shared" si="177"/>
        <v/>
      </c>
      <c r="S866" s="63"/>
      <c r="T866" s="72" t="s">
        <v>57</v>
      </c>
      <c r="U866" s="105" t="str">
        <f>IF($J$1="November",Y865,"")</f>
        <v/>
      </c>
      <c r="V866" s="74"/>
      <c r="W866" s="105" t="str">
        <f t="shared" si="178"/>
        <v/>
      </c>
      <c r="X866" s="74"/>
      <c r="Y866" s="105" t="str">
        <f t="shared" si="179"/>
        <v/>
      </c>
      <c r="Z866" s="76"/>
    </row>
    <row r="867" spans="1:27" s="29" customFormat="1" ht="21.4" customHeight="1" x14ac:dyDescent="0.2">
      <c r="A867" s="30"/>
      <c r="B867" s="394"/>
      <c r="C867" s="394"/>
      <c r="D867" s="394"/>
      <c r="E867" s="394"/>
      <c r="F867" s="394"/>
      <c r="G867" s="394"/>
      <c r="H867" s="394"/>
      <c r="I867" s="394"/>
      <c r="J867" s="394"/>
      <c r="K867" s="394"/>
      <c r="L867" s="46"/>
      <c r="N867" s="71"/>
      <c r="O867" s="72" t="s">
        <v>58</v>
      </c>
      <c r="P867" s="72"/>
      <c r="Q867" s="72"/>
      <c r="R867" s="72" t="str">
        <f t="shared" si="177"/>
        <v/>
      </c>
      <c r="S867" s="63"/>
      <c r="T867" s="72" t="s">
        <v>58</v>
      </c>
      <c r="U867" s="105" t="str">
        <f>IF($J$1="Dec",Y866,"")</f>
        <v/>
      </c>
      <c r="V867" s="74"/>
      <c r="W867" s="105" t="str">
        <f t="shared" si="178"/>
        <v/>
      </c>
      <c r="X867" s="74"/>
      <c r="Y867" s="105" t="str">
        <f t="shared" si="179"/>
        <v/>
      </c>
      <c r="Z867" s="76"/>
    </row>
    <row r="868" spans="1:27" s="29" customFormat="1" ht="21.4" customHeight="1" thickBot="1" x14ac:dyDescent="0.25">
      <c r="A868" s="59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1"/>
      <c r="N868" s="77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9"/>
    </row>
    <row r="869" spans="1:27" s="29" customFormat="1" ht="21.4" customHeight="1" thickBot="1" x14ac:dyDescent="0.25"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spans="1:27" s="29" customFormat="1" ht="21.4" customHeight="1" x14ac:dyDescent="0.2">
      <c r="A870" s="413" t="s">
        <v>40</v>
      </c>
      <c r="B870" s="414"/>
      <c r="C870" s="414"/>
      <c r="D870" s="414"/>
      <c r="E870" s="414"/>
      <c r="F870" s="414"/>
      <c r="G870" s="414"/>
      <c r="H870" s="414"/>
      <c r="I870" s="414"/>
      <c r="J870" s="414"/>
      <c r="K870" s="414"/>
      <c r="L870" s="415"/>
      <c r="M870" s="28"/>
      <c r="N870" s="64"/>
      <c r="O870" s="403" t="s">
        <v>42</v>
      </c>
      <c r="P870" s="404"/>
      <c r="Q870" s="404"/>
      <c r="R870" s="405"/>
      <c r="S870" s="65"/>
      <c r="T870" s="403" t="s">
        <v>43</v>
      </c>
      <c r="U870" s="404"/>
      <c r="V870" s="404"/>
      <c r="W870" s="404"/>
      <c r="X870" s="404"/>
      <c r="Y870" s="405"/>
      <c r="Z870" s="66"/>
      <c r="AA870" s="28"/>
    </row>
    <row r="871" spans="1:27" s="29" customFormat="1" ht="21.4" customHeight="1" x14ac:dyDescent="0.2">
      <c r="A871" s="30"/>
      <c r="C871" s="402" t="s">
        <v>83</v>
      </c>
      <c r="D871" s="402"/>
      <c r="E871" s="402"/>
      <c r="F871" s="402"/>
      <c r="G871" s="31" t="str">
        <f>$J$1</f>
        <v>June</v>
      </c>
      <c r="H871" s="409">
        <f>$K$1</f>
        <v>2023</v>
      </c>
      <c r="I871" s="409"/>
      <c r="K871" s="32"/>
      <c r="L871" s="33"/>
      <c r="M871" s="32"/>
      <c r="N871" s="67"/>
      <c r="O871" s="68" t="s">
        <v>53</v>
      </c>
      <c r="P871" s="68" t="s">
        <v>7</v>
      </c>
      <c r="Q871" s="68" t="s">
        <v>6</v>
      </c>
      <c r="R871" s="68" t="s">
        <v>54</v>
      </c>
      <c r="S871" s="69"/>
      <c r="T871" s="68" t="s">
        <v>53</v>
      </c>
      <c r="U871" s="68" t="s">
        <v>55</v>
      </c>
      <c r="V871" s="68" t="s">
        <v>20</v>
      </c>
      <c r="W871" s="68" t="s">
        <v>19</v>
      </c>
      <c r="X871" s="68" t="s">
        <v>21</v>
      </c>
      <c r="Y871" s="68" t="s">
        <v>59</v>
      </c>
      <c r="Z871" s="70"/>
      <c r="AA871" s="32"/>
    </row>
    <row r="872" spans="1:27" s="29" customFormat="1" ht="21.4" customHeight="1" x14ac:dyDescent="0.2">
      <c r="A872" s="30"/>
      <c r="D872" s="35"/>
      <c r="E872" s="35"/>
      <c r="F872" s="35"/>
      <c r="G872" s="35"/>
      <c r="H872" s="35"/>
      <c r="J872" s="36" t="s">
        <v>1</v>
      </c>
      <c r="K872" s="37"/>
      <c r="L872" s="38"/>
      <c r="N872" s="71"/>
      <c r="O872" s="72" t="s">
        <v>45</v>
      </c>
      <c r="P872" s="72"/>
      <c r="Q872" s="72"/>
      <c r="R872" s="72">
        <v>0</v>
      </c>
      <c r="S872" s="73"/>
      <c r="T872" s="72" t="s">
        <v>45</v>
      </c>
      <c r="U872" s="74"/>
      <c r="V872" s="74"/>
      <c r="W872" s="74">
        <f>V872+U872</f>
        <v>0</v>
      </c>
      <c r="X872" s="74"/>
      <c r="Y872" s="74">
        <f>W872-X872</f>
        <v>0</v>
      </c>
      <c r="Z872" s="70"/>
    </row>
    <row r="873" spans="1:27" s="29" customFormat="1" ht="21.4" customHeight="1" x14ac:dyDescent="0.2">
      <c r="A873" s="30"/>
      <c r="B873" s="29" t="s">
        <v>0</v>
      </c>
      <c r="C873" s="40"/>
      <c r="H873" s="41"/>
      <c r="I873" s="35"/>
      <c r="L873" s="42"/>
      <c r="M873" s="28"/>
      <c r="N873" s="75"/>
      <c r="O873" s="72" t="s">
        <v>71</v>
      </c>
      <c r="P873" s="72"/>
      <c r="Q873" s="72"/>
      <c r="R873" s="72" t="str">
        <f>IF(Q873="","",R872-Q873)</f>
        <v/>
      </c>
      <c r="S873" s="63"/>
      <c r="T873" s="72" t="s">
        <v>71</v>
      </c>
      <c r="U873" s="105">
        <f>IF($J$1="January","",Y872)</f>
        <v>0</v>
      </c>
      <c r="V873" s="74"/>
      <c r="W873" s="105">
        <f>IF(U873="","",U873+V873)</f>
        <v>0</v>
      </c>
      <c r="X873" s="74"/>
      <c r="Y873" s="105">
        <f>IF(W873="","",W873-X873)</f>
        <v>0</v>
      </c>
      <c r="Z873" s="76"/>
      <c r="AA873" s="28"/>
    </row>
    <row r="874" spans="1:27" s="29" customFormat="1" ht="21.4" customHeight="1" x14ac:dyDescent="0.2">
      <c r="A874" s="30"/>
      <c r="B874" s="44" t="s">
        <v>41</v>
      </c>
      <c r="C874" s="45"/>
      <c r="F874" s="391" t="s">
        <v>43</v>
      </c>
      <c r="G874" s="391"/>
      <c r="I874" s="391" t="s">
        <v>44</v>
      </c>
      <c r="J874" s="391"/>
      <c r="K874" s="391"/>
      <c r="L874" s="46"/>
      <c r="N874" s="71"/>
      <c r="O874" s="72" t="s">
        <v>46</v>
      </c>
      <c r="P874" s="72"/>
      <c r="Q874" s="72"/>
      <c r="R874" s="72">
        <v>0</v>
      </c>
      <c r="S874" s="63"/>
      <c r="T874" s="72" t="s">
        <v>46</v>
      </c>
      <c r="U874" s="105">
        <f>IF($J$1="February","",Y873)</f>
        <v>0</v>
      </c>
      <c r="V874" s="74"/>
      <c r="W874" s="105">
        <f t="shared" ref="W874:W883" si="180">IF(U874="","",U874+V874)</f>
        <v>0</v>
      </c>
      <c r="X874" s="74"/>
      <c r="Y874" s="105">
        <f t="shared" ref="Y874:Y883" si="181">IF(W874="","",W874-X874)</f>
        <v>0</v>
      </c>
      <c r="Z874" s="76"/>
    </row>
    <row r="875" spans="1:27" s="29" customFormat="1" ht="21.4" customHeight="1" x14ac:dyDescent="0.2">
      <c r="A875" s="30"/>
      <c r="H875" s="47"/>
      <c r="L875" s="34"/>
      <c r="N875" s="71"/>
      <c r="O875" s="72" t="s">
        <v>47</v>
      </c>
      <c r="P875" s="72"/>
      <c r="Q875" s="72"/>
      <c r="R875" s="72">
        <v>0</v>
      </c>
      <c r="S875" s="63"/>
      <c r="T875" s="72" t="s">
        <v>47</v>
      </c>
      <c r="U875" s="105">
        <f>IF($J$1="March","",Y874)</f>
        <v>0</v>
      </c>
      <c r="V875" s="74"/>
      <c r="W875" s="105">
        <f t="shared" si="180"/>
        <v>0</v>
      </c>
      <c r="X875" s="74"/>
      <c r="Y875" s="105">
        <f t="shared" si="181"/>
        <v>0</v>
      </c>
      <c r="Z875" s="76"/>
    </row>
    <row r="876" spans="1:27" s="29" customFormat="1" ht="21.4" customHeight="1" x14ac:dyDescent="0.2">
      <c r="A876" s="30"/>
      <c r="B876" s="389" t="s">
        <v>42</v>
      </c>
      <c r="C876" s="390"/>
      <c r="F876" s="48" t="s">
        <v>64</v>
      </c>
      <c r="G876" s="43">
        <f>IF($J$1="January",U872,IF($J$1="February",U873,IF($J$1="March",U874,IF($J$1="April",U875,IF($J$1="May",U876,IF($J$1="June",U877,IF($J$1="July",U878,IF($J$1="August",U879,IF($J$1="August",U879,IF($J$1="September",U880,IF($J$1="October",U881,IF($J$1="November",U882,IF($J$1="December",U883)))))))))))))</f>
        <v>0</v>
      </c>
      <c r="H876" s="47"/>
      <c r="I876" s="49">
        <f>IF(C880&gt;0,$K$2,C878)</f>
        <v>30</v>
      </c>
      <c r="J876" s="50" t="s">
        <v>61</v>
      </c>
      <c r="K876" s="51">
        <f>K872/$K$2*I876</f>
        <v>0</v>
      </c>
      <c r="L876" s="52"/>
      <c r="N876" s="71"/>
      <c r="O876" s="72" t="s">
        <v>48</v>
      </c>
      <c r="P876" s="72"/>
      <c r="Q876" s="72"/>
      <c r="R876" s="72">
        <v>0</v>
      </c>
      <c r="S876" s="63"/>
      <c r="T876" s="72" t="s">
        <v>48</v>
      </c>
      <c r="U876" s="105">
        <f>IF($J$1="April","",Y875)</f>
        <v>0</v>
      </c>
      <c r="V876" s="74"/>
      <c r="W876" s="105">
        <f t="shared" si="180"/>
        <v>0</v>
      </c>
      <c r="X876" s="74"/>
      <c r="Y876" s="105">
        <f t="shared" si="181"/>
        <v>0</v>
      </c>
      <c r="Z876" s="76"/>
    </row>
    <row r="877" spans="1:27" s="29" customFormat="1" ht="21.4" customHeight="1" x14ac:dyDescent="0.2">
      <c r="A877" s="30"/>
      <c r="B877" s="39"/>
      <c r="C877" s="39"/>
      <c r="F877" s="48" t="s">
        <v>20</v>
      </c>
      <c r="G877" s="43">
        <f>IF($J$1="January",V872,IF($J$1="February",V873,IF($J$1="March",V874,IF($J$1="April",V875,IF($J$1="May",V876,IF($J$1="June",V877,IF($J$1="July",V878,IF($J$1="August",V879,IF($J$1="August",V879,IF($J$1="September",V880,IF($J$1="October",V881,IF($J$1="November",V882,IF($J$1="December",V883)))))))))))))</f>
        <v>0</v>
      </c>
      <c r="H877" s="47"/>
      <c r="I877" s="84"/>
      <c r="J877" s="50" t="s">
        <v>62</v>
      </c>
      <c r="K877" s="53">
        <f>K872/$K$2/8*I877</f>
        <v>0</v>
      </c>
      <c r="L877" s="54"/>
      <c r="N877" s="71"/>
      <c r="O877" s="72" t="s">
        <v>49</v>
      </c>
      <c r="P877" s="72"/>
      <c r="Q877" s="72"/>
      <c r="R877" s="72" t="str">
        <f t="shared" ref="R877:R881" si="182">IF(Q877="","",R876-Q877)</f>
        <v/>
      </c>
      <c r="S877" s="63"/>
      <c r="T877" s="72" t="s">
        <v>49</v>
      </c>
      <c r="U877" s="105">
        <f>IF($J$1="May","",Y876)</f>
        <v>0</v>
      </c>
      <c r="V877" s="74"/>
      <c r="W877" s="105">
        <f t="shared" si="180"/>
        <v>0</v>
      </c>
      <c r="X877" s="74"/>
      <c r="Y877" s="105">
        <f t="shared" si="181"/>
        <v>0</v>
      </c>
      <c r="Z877" s="76"/>
    </row>
    <row r="878" spans="1:27" s="29" customFormat="1" ht="21.4" customHeight="1" x14ac:dyDescent="0.2">
      <c r="A878" s="30"/>
      <c r="B878" s="48" t="s">
        <v>7</v>
      </c>
      <c r="C878" s="39">
        <f>IF($J$1="January",P872,IF($J$1="February",P873,IF($J$1="March",P874,IF($J$1="April",P875,IF($J$1="May",P876,IF($J$1="June",P877,IF($J$1="July",P878,IF($J$1="August",P879,IF($J$1="August",P879,IF($J$1="September",P880,IF($J$1="October",P881,IF($J$1="November",P882,IF($J$1="December",P883)))))))))))))</f>
        <v>0</v>
      </c>
      <c r="F878" s="48" t="s">
        <v>65</v>
      </c>
      <c r="G878" s="43">
        <f>IF($J$1="January",W872,IF($J$1="February",W873,IF($J$1="March",W874,IF($J$1="April",W875,IF($J$1="May",W876,IF($J$1="June",W877,IF($J$1="July",W878,IF($J$1="August",W879,IF($J$1="August",W879,IF($J$1="September",W880,IF($J$1="October",W881,IF($J$1="November",W882,IF($J$1="December",W883)))))))))))))</f>
        <v>0</v>
      </c>
      <c r="H878" s="47"/>
      <c r="I878" s="392" t="s">
        <v>69</v>
      </c>
      <c r="J878" s="393"/>
      <c r="K878" s="53">
        <f>K876+K877</f>
        <v>0</v>
      </c>
      <c r="L878" s="54"/>
      <c r="N878" s="71"/>
      <c r="O878" s="72" t="s">
        <v>50</v>
      </c>
      <c r="P878" s="72"/>
      <c r="Q878" s="72"/>
      <c r="R878" s="72">
        <v>0</v>
      </c>
      <c r="S878" s="63"/>
      <c r="T878" s="72" t="s">
        <v>50</v>
      </c>
      <c r="U878" s="105" t="str">
        <f>IF($J$1="June","",Y877)</f>
        <v/>
      </c>
      <c r="V878" s="74"/>
      <c r="W878" s="105" t="str">
        <f t="shared" si="180"/>
        <v/>
      </c>
      <c r="X878" s="74"/>
      <c r="Y878" s="105" t="str">
        <f t="shared" si="181"/>
        <v/>
      </c>
      <c r="Z878" s="76"/>
    </row>
    <row r="879" spans="1:27" s="29" customFormat="1" ht="21.4" customHeight="1" x14ac:dyDescent="0.2">
      <c r="A879" s="30"/>
      <c r="B879" s="48" t="s">
        <v>6</v>
      </c>
      <c r="C879" s="39">
        <f>IF($J$1="January",Q872,IF($J$1="February",Q873,IF($J$1="March",Q874,IF($J$1="April",Q875,IF($J$1="May",Q876,IF($J$1="June",Q877,IF($J$1="July",Q878,IF($J$1="August",Q879,IF($J$1="August",Q879,IF($J$1="September",Q880,IF($J$1="October",Q881,IF($J$1="November",Q882,IF($J$1="December",Q883)))))))))))))</f>
        <v>0</v>
      </c>
      <c r="F879" s="48" t="s">
        <v>21</v>
      </c>
      <c r="G879" s="43">
        <f>IF($J$1="January",X872,IF($J$1="February",X873,IF($J$1="March",X874,IF($J$1="April",X875,IF($J$1="May",X876,IF($J$1="June",X877,IF($J$1="July",X878,IF($J$1="August",X879,IF($J$1="August",X879,IF($J$1="September",X880,IF($J$1="October",X881,IF($J$1="November",X882,IF($J$1="December",X883)))))))))))))</f>
        <v>0</v>
      </c>
      <c r="H879" s="47"/>
      <c r="I879" s="392" t="s">
        <v>70</v>
      </c>
      <c r="J879" s="393"/>
      <c r="K879" s="43">
        <f>G879</f>
        <v>0</v>
      </c>
      <c r="L879" s="55"/>
      <c r="N879" s="71"/>
      <c r="O879" s="72" t="s">
        <v>51</v>
      </c>
      <c r="P879" s="72"/>
      <c r="Q879" s="72"/>
      <c r="R879" s="72" t="str">
        <f t="shared" si="182"/>
        <v/>
      </c>
      <c r="S879" s="63"/>
      <c r="T879" s="72" t="s">
        <v>51</v>
      </c>
      <c r="U879" s="105" t="str">
        <f>IF($J$1="July","",Y878)</f>
        <v/>
      </c>
      <c r="V879" s="74"/>
      <c r="W879" s="105" t="str">
        <f t="shared" si="180"/>
        <v/>
      </c>
      <c r="X879" s="74"/>
      <c r="Y879" s="105" t="str">
        <f t="shared" si="181"/>
        <v/>
      </c>
      <c r="Z879" s="76"/>
    </row>
    <row r="880" spans="1:27" s="29" customFormat="1" ht="21.4" customHeight="1" x14ac:dyDescent="0.2">
      <c r="A880" s="30"/>
      <c r="B880" s="56" t="s">
        <v>68</v>
      </c>
      <c r="C880" s="39" t="str">
        <f>IF($J$1="January",R872,IF($J$1="February",R873,IF($J$1="March",R874,IF($J$1="April",R875,IF($J$1="May",R876,IF($J$1="June",R877,IF($J$1="July",R878,IF($J$1="August",R879,IF($J$1="August",R879,IF($J$1="September",R880,IF($J$1="October",R881,IF($J$1="November",R882,IF($J$1="December",R883)))))))))))))</f>
        <v/>
      </c>
      <c r="F880" s="48" t="s">
        <v>67</v>
      </c>
      <c r="G880" s="43">
        <f>IF($J$1="January",Y872,IF($J$1="February",Y873,IF($J$1="March",Y874,IF($J$1="April",Y875,IF($J$1="May",Y876,IF($J$1="June",Y877,IF($J$1="July",Y878,IF($J$1="August",Y879,IF($J$1="August",Y879,IF($J$1="September",Y880,IF($J$1="October",Y881,IF($J$1="November",Y882,IF($J$1="December",Y883)))))))))))))</f>
        <v>0</v>
      </c>
      <c r="I880" s="387" t="s">
        <v>63</v>
      </c>
      <c r="J880" s="388"/>
      <c r="K880" s="57">
        <f>K878-K879</f>
        <v>0</v>
      </c>
      <c r="L880" s="58"/>
      <c r="N880" s="71"/>
      <c r="O880" s="72" t="s">
        <v>56</v>
      </c>
      <c r="P880" s="72"/>
      <c r="Q880" s="72"/>
      <c r="R880" s="72"/>
      <c r="S880" s="63"/>
      <c r="T880" s="72" t="s">
        <v>56</v>
      </c>
      <c r="U880" s="105" t="str">
        <f>IF($J$1="August","",Y879)</f>
        <v/>
      </c>
      <c r="V880" s="74"/>
      <c r="W880" s="105" t="str">
        <f t="shared" si="180"/>
        <v/>
      </c>
      <c r="X880" s="74"/>
      <c r="Y880" s="105" t="str">
        <f t="shared" si="181"/>
        <v/>
      </c>
      <c r="Z880" s="76"/>
    </row>
    <row r="881" spans="1:26" s="29" customFormat="1" ht="21.4" customHeight="1" x14ac:dyDescent="0.2">
      <c r="A881" s="30"/>
      <c r="L881" s="46"/>
      <c r="N881" s="71"/>
      <c r="O881" s="72" t="s">
        <v>52</v>
      </c>
      <c r="P881" s="72"/>
      <c r="Q881" s="72"/>
      <c r="R881" s="72" t="str">
        <f t="shared" si="182"/>
        <v/>
      </c>
      <c r="S881" s="63"/>
      <c r="T881" s="72" t="s">
        <v>52</v>
      </c>
      <c r="U881" s="105" t="str">
        <f>IF($J$1="September","",Y880)</f>
        <v/>
      </c>
      <c r="V881" s="74"/>
      <c r="W881" s="105" t="str">
        <f t="shared" si="180"/>
        <v/>
      </c>
      <c r="X881" s="74"/>
      <c r="Y881" s="105" t="str">
        <f t="shared" si="181"/>
        <v/>
      </c>
      <c r="Z881" s="76"/>
    </row>
    <row r="882" spans="1:26" s="29" customFormat="1" ht="21.4" customHeight="1" x14ac:dyDescent="0.2">
      <c r="A882" s="30"/>
      <c r="B882" s="394" t="s">
        <v>85</v>
      </c>
      <c r="C882" s="394"/>
      <c r="D882" s="394"/>
      <c r="E882" s="394"/>
      <c r="F882" s="394"/>
      <c r="G882" s="394"/>
      <c r="H882" s="394"/>
      <c r="I882" s="394"/>
      <c r="J882" s="394"/>
      <c r="K882" s="394"/>
      <c r="L882" s="46"/>
      <c r="N882" s="71"/>
      <c r="O882" s="72" t="s">
        <v>57</v>
      </c>
      <c r="P882" s="72"/>
      <c r="Q882" s="72"/>
      <c r="R882" s="72">
        <v>0</v>
      </c>
      <c r="S882" s="63"/>
      <c r="T882" s="72" t="s">
        <v>57</v>
      </c>
      <c r="U882" s="105" t="str">
        <f>IF($J$1="October","",Y881)</f>
        <v/>
      </c>
      <c r="V882" s="74"/>
      <c r="W882" s="105" t="str">
        <f t="shared" si="180"/>
        <v/>
      </c>
      <c r="X882" s="74"/>
      <c r="Y882" s="105" t="str">
        <f t="shared" si="181"/>
        <v/>
      </c>
      <c r="Z882" s="76"/>
    </row>
    <row r="883" spans="1:26" s="29" customFormat="1" ht="21.4" customHeight="1" x14ac:dyDescent="0.2">
      <c r="A883" s="30"/>
      <c r="B883" s="394"/>
      <c r="C883" s="394"/>
      <c r="D883" s="394"/>
      <c r="E883" s="394"/>
      <c r="F883" s="394"/>
      <c r="G883" s="394"/>
      <c r="H883" s="394"/>
      <c r="I883" s="394"/>
      <c r="J883" s="394"/>
      <c r="K883" s="394"/>
      <c r="L883" s="46"/>
      <c r="N883" s="71"/>
      <c r="O883" s="72" t="s">
        <v>58</v>
      </c>
      <c r="P883" s="72"/>
      <c r="Q883" s="72"/>
      <c r="R883" s="72">
        <v>0</v>
      </c>
      <c r="S883" s="63"/>
      <c r="T883" s="72" t="s">
        <v>58</v>
      </c>
      <c r="U883" s="105" t="str">
        <f>IF($J$1="November","",Y882)</f>
        <v/>
      </c>
      <c r="V883" s="74"/>
      <c r="W883" s="105" t="str">
        <f t="shared" si="180"/>
        <v/>
      </c>
      <c r="X883" s="74"/>
      <c r="Y883" s="105" t="str">
        <f t="shared" si="181"/>
        <v/>
      </c>
      <c r="Z883" s="76"/>
    </row>
    <row r="884" spans="1:26" s="29" customFormat="1" ht="21.4" customHeight="1" thickBot="1" x14ac:dyDescent="0.25">
      <c r="A884" s="59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1"/>
      <c r="N884" s="77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9"/>
    </row>
    <row r="885" spans="1:26" s="29" customFormat="1" ht="21.4" customHeight="1" x14ac:dyDescent="0.2"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spans="1:26" s="29" customFormat="1" ht="21.4" customHeight="1" x14ac:dyDescent="0.2"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</sheetData>
  <mergeCells count="664">
    <mergeCell ref="T120:Y120"/>
    <mergeCell ref="C73:F73"/>
    <mergeCell ref="H73:I73"/>
    <mergeCell ref="F76:G76"/>
    <mergeCell ref="F124:G124"/>
    <mergeCell ref="T424:Y424"/>
    <mergeCell ref="B29:C29"/>
    <mergeCell ref="I27:K27"/>
    <mergeCell ref="H24:I24"/>
    <mergeCell ref="C24:F24"/>
    <mergeCell ref="F27:G27"/>
    <mergeCell ref="I412:K412"/>
    <mergeCell ref="I76:K76"/>
    <mergeCell ref="T72:Y72"/>
    <mergeCell ref="O216:R216"/>
    <mergeCell ref="T376:Y376"/>
    <mergeCell ref="T360:Y360"/>
    <mergeCell ref="T104:Y104"/>
    <mergeCell ref="T328:Y328"/>
    <mergeCell ref="T408:Y408"/>
    <mergeCell ref="F108:G108"/>
    <mergeCell ref="F172:G172"/>
    <mergeCell ref="I172:K172"/>
    <mergeCell ref="B196:K197"/>
    <mergeCell ref="T23:Y23"/>
    <mergeCell ref="A23:L23"/>
    <mergeCell ref="I11:K11"/>
    <mergeCell ref="H8:I8"/>
    <mergeCell ref="C8:F8"/>
    <mergeCell ref="B13:C13"/>
    <mergeCell ref="F11:G11"/>
    <mergeCell ref="I15:J15"/>
    <mergeCell ref="I16:J16"/>
    <mergeCell ref="I17:J17"/>
    <mergeCell ref="B19:K20"/>
    <mergeCell ref="T7:Y7"/>
    <mergeCell ref="I31:J31"/>
    <mergeCell ref="I32:J32"/>
    <mergeCell ref="B340:K341"/>
    <mergeCell ref="I704:J704"/>
    <mergeCell ref="A599:L599"/>
    <mergeCell ref="I609:J609"/>
    <mergeCell ref="C488:F488"/>
    <mergeCell ref="C568:F568"/>
    <mergeCell ref="H568:I568"/>
    <mergeCell ref="F571:G571"/>
    <mergeCell ref="H345:I345"/>
    <mergeCell ref="B573:C573"/>
    <mergeCell ref="I571:K571"/>
    <mergeCell ref="T471:Y471"/>
    <mergeCell ref="C409:F409"/>
    <mergeCell ref="I418:J418"/>
    <mergeCell ref="A471:L471"/>
    <mergeCell ref="H695:I695"/>
    <mergeCell ref="H584:I584"/>
    <mergeCell ref="A535:L535"/>
    <mergeCell ref="O567:R567"/>
    <mergeCell ref="H488:I488"/>
    <mergeCell ref="B116:K117"/>
    <mergeCell ref="O104:R104"/>
    <mergeCell ref="T854:Y854"/>
    <mergeCell ref="T838:Y838"/>
    <mergeCell ref="T631:Y631"/>
    <mergeCell ref="T615:Y615"/>
    <mergeCell ref="I846:J846"/>
    <mergeCell ref="B579:K580"/>
    <mergeCell ref="I575:J575"/>
    <mergeCell ref="I576:J576"/>
    <mergeCell ref="I842:K842"/>
    <mergeCell ref="I639:J639"/>
    <mergeCell ref="B850:K851"/>
    <mergeCell ref="I624:J624"/>
    <mergeCell ref="O583:R583"/>
    <mergeCell ref="O854:R854"/>
    <mergeCell ref="I830:J830"/>
    <mergeCell ref="F794:G794"/>
    <mergeCell ref="H807:I807"/>
    <mergeCell ref="H744:I744"/>
    <mergeCell ref="F747:G747"/>
    <mergeCell ref="O790:R790"/>
    <mergeCell ref="B738:K739"/>
    <mergeCell ref="I703:J703"/>
    <mergeCell ref="B684:C684"/>
    <mergeCell ref="C871:F871"/>
    <mergeCell ref="A583:L583"/>
    <mergeCell ref="I560:J560"/>
    <mergeCell ref="C760:F760"/>
    <mergeCell ref="I370:J370"/>
    <mergeCell ref="B372:K373"/>
    <mergeCell ref="I878:J878"/>
    <mergeCell ref="O72:R72"/>
    <mergeCell ref="A72:L72"/>
    <mergeCell ref="C217:F217"/>
    <mergeCell ref="O360:R360"/>
    <mergeCell ref="H552:I552"/>
    <mergeCell ref="F555:G555"/>
    <mergeCell ref="I555:K555"/>
    <mergeCell ref="B222:C222"/>
    <mergeCell ref="O424:R424"/>
    <mergeCell ref="C425:F425"/>
    <mergeCell ref="H425:I425"/>
    <mergeCell ref="I527:J527"/>
    <mergeCell ref="O200:R200"/>
    <mergeCell ref="I208:J208"/>
    <mergeCell ref="I491:K491"/>
    <mergeCell ref="O376:R376"/>
    <mergeCell ref="B78:C78"/>
    <mergeCell ref="H855:I855"/>
    <mergeCell ref="I863:J863"/>
    <mergeCell ref="I82:J82"/>
    <mergeCell ref="I769:J769"/>
    <mergeCell ref="A806:L806"/>
    <mergeCell ref="C313:F313"/>
    <mergeCell ref="I670:J670"/>
    <mergeCell ref="I666:K666"/>
    <mergeCell ref="C536:F536"/>
    <mergeCell ref="H297:I297"/>
    <mergeCell ref="C552:F552"/>
    <mergeCell ref="C297:F297"/>
    <mergeCell ref="I832:J832"/>
    <mergeCell ref="I862:J862"/>
    <mergeCell ref="B84:K85"/>
    <mergeCell ref="F300:G300"/>
    <mergeCell ref="I96:J96"/>
    <mergeCell ref="H409:I409"/>
    <mergeCell ref="F412:G412"/>
    <mergeCell ref="I97:J97"/>
    <mergeCell ref="C711:F711"/>
    <mergeCell ref="F810:G810"/>
    <mergeCell ref="B483:K484"/>
    <mergeCell ref="T759:Y759"/>
    <mergeCell ref="T806:Y806"/>
    <mergeCell ref="O806:R806"/>
    <mergeCell ref="I784:J784"/>
    <mergeCell ref="T487:Y487"/>
    <mergeCell ref="T694:Y694"/>
    <mergeCell ref="I810:K810"/>
    <mergeCell ref="B781:C781"/>
    <mergeCell ref="O535:R535"/>
    <mergeCell ref="T599:Y599"/>
    <mergeCell ref="B547:K548"/>
    <mergeCell ref="I591:J591"/>
    <mergeCell ref="I767:J767"/>
    <mergeCell ref="T503:Y503"/>
    <mergeCell ref="T567:Y567"/>
    <mergeCell ref="T551:Y551"/>
    <mergeCell ref="B621:C621"/>
    <mergeCell ref="H600:I600"/>
    <mergeCell ref="O152:R152"/>
    <mergeCell ref="T790:Y790"/>
    <mergeCell ref="T822:Y822"/>
    <mergeCell ref="O440:R440"/>
    <mergeCell ref="A678:L678"/>
    <mergeCell ref="O599:R599"/>
    <mergeCell ref="O822:R822"/>
    <mergeCell ref="T535:Y535"/>
    <mergeCell ref="B605:C605"/>
    <mergeCell ref="I607:J607"/>
    <mergeCell ref="I608:J608"/>
    <mergeCell ref="B637:C637"/>
    <mergeCell ref="A503:L503"/>
    <mergeCell ref="B531:K532"/>
    <mergeCell ref="C776:F776"/>
    <mergeCell ref="I689:J689"/>
    <mergeCell ref="B525:C525"/>
    <mergeCell ref="I794:K794"/>
    <mergeCell ref="H760:I760"/>
    <mergeCell ref="I682:K682"/>
    <mergeCell ref="O615:R615"/>
    <mergeCell ref="B523:C523"/>
    <mergeCell ref="F682:G682"/>
    <mergeCell ref="B627:K628"/>
    <mergeCell ref="A88:L88"/>
    <mergeCell ref="I112:J112"/>
    <mergeCell ref="H265:I265"/>
    <mergeCell ref="F268:G268"/>
    <mergeCell ref="I268:K268"/>
    <mergeCell ref="A392:L392"/>
    <mergeCell ref="A216:L216"/>
    <mergeCell ref="I98:J98"/>
    <mergeCell ref="F204:G204"/>
    <mergeCell ref="B100:K101"/>
    <mergeCell ref="I272:J272"/>
    <mergeCell ref="A104:L104"/>
    <mergeCell ref="I113:J113"/>
    <mergeCell ref="C329:F329"/>
    <mergeCell ref="A280:L280"/>
    <mergeCell ref="A376:L376"/>
    <mergeCell ref="I284:K284"/>
    <mergeCell ref="I124:K124"/>
    <mergeCell ref="I240:J240"/>
    <mergeCell ref="I204:K204"/>
    <mergeCell ref="I194:J194"/>
    <mergeCell ref="H249:I249"/>
    <mergeCell ref="B94:C94"/>
    <mergeCell ref="O184:R184"/>
    <mergeCell ref="O662:R662"/>
    <mergeCell ref="O296:R296"/>
    <mergeCell ref="O838:R838"/>
    <mergeCell ref="F332:G332"/>
    <mergeCell ref="I332:K332"/>
    <mergeCell ref="B334:C334"/>
    <mergeCell ref="I385:J385"/>
    <mergeCell ref="I386:J386"/>
    <mergeCell ref="B765:C765"/>
    <mergeCell ref="I785:J785"/>
    <mergeCell ref="I592:J592"/>
    <mergeCell ref="F826:G826"/>
    <mergeCell ref="I209:J209"/>
    <mergeCell ref="B420:K421"/>
    <mergeCell ref="I364:K364"/>
    <mergeCell ref="O710:R710"/>
    <mergeCell ref="O503:R503"/>
    <mergeCell ref="I353:J353"/>
    <mergeCell ref="F635:G635"/>
    <mergeCell ref="F428:G428"/>
    <mergeCell ref="I428:K428"/>
    <mergeCell ref="O7:R7"/>
    <mergeCell ref="I768:J768"/>
    <mergeCell ref="A759:L759"/>
    <mergeCell ref="O759:R759"/>
    <mergeCell ref="O39:R39"/>
    <mergeCell ref="B452:K453"/>
    <mergeCell ref="I448:J448"/>
    <mergeCell ref="I449:J449"/>
    <mergeCell ref="I450:J450"/>
    <mergeCell ref="C441:F441"/>
    <mergeCell ref="H441:I441"/>
    <mergeCell ref="F444:G444"/>
    <mergeCell ref="B668:C668"/>
    <mergeCell ref="I479:J479"/>
    <mergeCell ref="I480:J480"/>
    <mergeCell ref="I481:J481"/>
    <mergeCell ref="C472:F472"/>
    <mergeCell ref="I288:J288"/>
    <mergeCell ref="I144:J144"/>
    <mergeCell ref="I145:J145"/>
    <mergeCell ref="I146:J146"/>
    <mergeCell ref="A7:L7"/>
    <mergeCell ref="C632:F632"/>
    <mergeCell ref="H632:I632"/>
    <mergeCell ref="I258:J258"/>
    <mergeCell ref="I348:K348"/>
    <mergeCell ref="B302:C302"/>
    <mergeCell ref="I380:K380"/>
    <mergeCell ref="C281:F281"/>
    <mergeCell ref="I300:K300"/>
    <mergeCell ref="A312:L312"/>
    <mergeCell ref="C616:F616"/>
    <mergeCell ref="H616:I616"/>
    <mergeCell ref="H504:I504"/>
    <mergeCell ref="I593:J593"/>
    <mergeCell ref="C600:F600"/>
    <mergeCell ref="B468:K469"/>
    <mergeCell ref="B430:C430"/>
    <mergeCell ref="I316:K316"/>
    <mergeCell ref="B477:C477"/>
    <mergeCell ref="I401:J401"/>
    <mergeCell ref="I434:J434"/>
    <mergeCell ref="F603:G603"/>
    <mergeCell ref="I603:K603"/>
    <mergeCell ref="H361:I361"/>
    <mergeCell ref="C377:F377"/>
    <mergeCell ref="I354:J354"/>
    <mergeCell ref="I402:J402"/>
    <mergeCell ref="T870:Y870"/>
    <mergeCell ref="A743:L743"/>
    <mergeCell ref="B749:C749"/>
    <mergeCell ref="A854:L854"/>
    <mergeCell ref="A775:L775"/>
    <mergeCell ref="H776:I776"/>
    <mergeCell ref="C791:F791"/>
    <mergeCell ref="I763:K763"/>
    <mergeCell ref="A838:L838"/>
    <mergeCell ref="B844:C844"/>
    <mergeCell ref="I831:J831"/>
    <mergeCell ref="A822:L822"/>
    <mergeCell ref="B828:C828"/>
    <mergeCell ref="B796:C796"/>
    <mergeCell ref="I798:J798"/>
    <mergeCell ref="F763:G763"/>
    <mergeCell ref="I779:K779"/>
    <mergeCell ref="F779:G779"/>
    <mergeCell ref="I815:J815"/>
    <mergeCell ref="B771:K772"/>
    <mergeCell ref="A790:L790"/>
    <mergeCell ref="I826:K826"/>
    <mergeCell ref="F842:G842"/>
    <mergeCell ref="I783:J783"/>
    <mergeCell ref="A870:L870"/>
    <mergeCell ref="I864:J864"/>
    <mergeCell ref="B882:K883"/>
    <mergeCell ref="I879:J879"/>
    <mergeCell ref="B802:K803"/>
    <mergeCell ref="B706:K707"/>
    <mergeCell ref="I880:J880"/>
    <mergeCell ref="I858:K858"/>
    <mergeCell ref="B462:C462"/>
    <mergeCell ref="B876:C876"/>
    <mergeCell ref="C855:F855"/>
    <mergeCell ref="I747:K747"/>
    <mergeCell ref="H871:I871"/>
    <mergeCell ref="I847:J847"/>
    <mergeCell ref="I848:J848"/>
    <mergeCell ref="C839:F839"/>
    <mergeCell ref="A726:L726"/>
    <mergeCell ref="I687:J687"/>
    <mergeCell ref="H791:I791"/>
    <mergeCell ref="B812:C812"/>
    <mergeCell ref="B787:K788"/>
    <mergeCell ref="B818:K819"/>
    <mergeCell ref="I814:J814"/>
    <mergeCell ref="I816:J816"/>
    <mergeCell ref="I464:J464"/>
    <mergeCell ref="I641:J641"/>
    <mergeCell ref="O678:R678"/>
    <mergeCell ref="I465:J465"/>
    <mergeCell ref="F460:G460"/>
    <mergeCell ref="A456:L456"/>
    <mergeCell ref="T312:Y312"/>
    <mergeCell ref="O694:R694"/>
    <mergeCell ref="I799:J799"/>
    <mergeCell ref="T456:Y456"/>
    <mergeCell ref="C457:F457"/>
    <mergeCell ref="I460:K460"/>
    <mergeCell ref="I635:K635"/>
    <mergeCell ref="O344:R344"/>
    <mergeCell ref="O392:R392"/>
    <mergeCell ref="O631:R631"/>
    <mergeCell ref="O775:R775"/>
    <mergeCell ref="T775:Y775"/>
    <mergeCell ref="T392:Y392"/>
    <mergeCell ref="C393:F393"/>
    <mergeCell ref="O743:R743"/>
    <mergeCell ref="H457:I457"/>
    <mergeCell ref="I736:J736"/>
    <mergeCell ref="I734:J734"/>
    <mergeCell ref="I304:J304"/>
    <mergeCell ref="I305:J305"/>
    <mergeCell ref="I306:J306"/>
    <mergeCell ref="B308:K309"/>
    <mergeCell ref="H313:I313"/>
    <mergeCell ref="I702:J702"/>
    <mergeCell ref="C695:F695"/>
    <mergeCell ref="I686:J686"/>
    <mergeCell ref="I528:J528"/>
    <mergeCell ref="C679:F679"/>
    <mergeCell ref="H679:I679"/>
    <mergeCell ref="I513:J513"/>
    <mergeCell ref="B388:K389"/>
    <mergeCell ref="B515:K516"/>
    <mergeCell ref="B541:C541"/>
    <mergeCell ref="C504:F504"/>
    <mergeCell ref="B700:C700"/>
    <mergeCell ref="B366:C366"/>
    <mergeCell ref="I495:J495"/>
    <mergeCell ref="I369:J369"/>
    <mergeCell ref="B595:K596"/>
    <mergeCell ref="H329:I329"/>
    <mergeCell ref="O471:R471"/>
    <mergeCell ref="O248:R248"/>
    <mergeCell ref="B382:C382"/>
    <mergeCell ref="B356:K357"/>
    <mergeCell ref="I337:J337"/>
    <mergeCell ref="I368:J368"/>
    <mergeCell ref="I241:J241"/>
    <mergeCell ref="I252:K252"/>
    <mergeCell ref="B254:C254"/>
    <mergeCell ref="I256:J256"/>
    <mergeCell ref="F380:G380"/>
    <mergeCell ref="O312:R312"/>
    <mergeCell ref="O264:R264"/>
    <mergeCell ref="A248:L248"/>
    <mergeCell ref="H281:I281"/>
    <mergeCell ref="I416:J416"/>
    <mergeCell ref="A440:L440"/>
    <mergeCell ref="O408:R408"/>
    <mergeCell ref="O328:R328"/>
    <mergeCell ref="A408:L408"/>
    <mergeCell ref="I444:K444"/>
    <mergeCell ref="B446:C446"/>
    <mergeCell ref="I432:J432"/>
    <mergeCell ref="F348:G348"/>
    <mergeCell ref="F698:G698"/>
    <mergeCell ref="I735:J735"/>
    <mergeCell ref="I289:J289"/>
    <mergeCell ref="C249:F249"/>
    <mergeCell ref="I273:J273"/>
    <mergeCell ref="F252:G252"/>
    <mergeCell ref="B716:C716"/>
    <mergeCell ref="B722:K723"/>
    <mergeCell ref="A344:L344"/>
    <mergeCell ref="B732:C732"/>
    <mergeCell ref="I698:K698"/>
    <mergeCell ref="H727:I727"/>
    <mergeCell ref="F507:G507"/>
    <mergeCell ref="F730:G730"/>
    <mergeCell ref="I730:K730"/>
    <mergeCell ref="I433:J433"/>
    <mergeCell ref="B260:K261"/>
    <mergeCell ref="A264:L264"/>
    <mergeCell ref="A710:L710"/>
    <mergeCell ref="I338:J338"/>
    <mergeCell ref="I640:J640"/>
    <mergeCell ref="I511:J511"/>
    <mergeCell ref="I512:J512"/>
    <mergeCell ref="H472:I472"/>
    <mergeCell ref="T710:Y710"/>
    <mergeCell ref="T726:Y726"/>
    <mergeCell ref="T344:Y344"/>
    <mergeCell ref="T296:Y296"/>
    <mergeCell ref="C727:F727"/>
    <mergeCell ref="T280:Y280"/>
    <mergeCell ref="A360:L360"/>
    <mergeCell ref="H377:I377"/>
    <mergeCell ref="B398:C398"/>
    <mergeCell ref="B690:K691"/>
    <mergeCell ref="A487:L487"/>
    <mergeCell ref="I475:K475"/>
    <mergeCell ref="H393:I393"/>
    <mergeCell ref="B404:K405"/>
    <mergeCell ref="I400:J400"/>
    <mergeCell ref="I352:J352"/>
    <mergeCell ref="I625:J625"/>
    <mergeCell ref="I336:J336"/>
    <mergeCell ref="H711:I711"/>
    <mergeCell ref="A519:L519"/>
    <mergeCell ref="C520:F520"/>
    <mergeCell ref="F364:G364"/>
    <mergeCell ref="I523:K523"/>
    <mergeCell ref="C663:F663"/>
    <mergeCell ref="T440:Y440"/>
    <mergeCell ref="B35:K36"/>
    <mergeCell ref="I33:J33"/>
    <mergeCell ref="O136:R136"/>
    <mergeCell ref="I417:J417"/>
    <mergeCell ref="T264:Y264"/>
    <mergeCell ref="H89:I89"/>
    <mergeCell ref="A168:L168"/>
    <mergeCell ref="F236:G236"/>
    <mergeCell ref="F284:G284"/>
    <mergeCell ref="B228:K229"/>
    <mergeCell ref="B244:K245"/>
    <mergeCell ref="T88:Y88"/>
    <mergeCell ref="T168:Y168"/>
    <mergeCell ref="I108:K108"/>
    <mergeCell ref="B110:C110"/>
    <mergeCell ref="C105:F105"/>
    <mergeCell ref="A232:L232"/>
    <mergeCell ref="B212:K213"/>
    <mergeCell ref="O88:R88"/>
    <mergeCell ref="B51:K52"/>
    <mergeCell ref="A39:L39"/>
    <mergeCell ref="I66:J66"/>
    <mergeCell ref="B414:C414"/>
    <mergeCell ref="T583:Y583"/>
    <mergeCell ref="O280:R280"/>
    <mergeCell ref="O23:R23"/>
    <mergeCell ref="I65:J65"/>
    <mergeCell ref="A56:L56"/>
    <mergeCell ref="H40:I40"/>
    <mergeCell ref="T136:Y136"/>
    <mergeCell ref="I81:J81"/>
    <mergeCell ref="H105:I105"/>
    <mergeCell ref="I114:J114"/>
    <mergeCell ref="B126:C126"/>
    <mergeCell ref="I80:J80"/>
    <mergeCell ref="I539:K539"/>
    <mergeCell ref="I384:J384"/>
    <mergeCell ref="H536:I536"/>
    <mergeCell ref="I322:J322"/>
    <mergeCell ref="B324:K325"/>
    <mergeCell ref="F316:G316"/>
    <mergeCell ref="H153:I153"/>
    <mergeCell ref="F156:G156"/>
    <mergeCell ref="I156:K156"/>
    <mergeCell ref="F92:G92"/>
    <mergeCell ref="I92:K92"/>
    <mergeCell ref="B68:K69"/>
    <mergeCell ref="C57:F57"/>
    <mergeCell ref="H57:I57"/>
    <mergeCell ref="I657:J657"/>
    <mergeCell ref="I192:J192"/>
    <mergeCell ref="F651:G651"/>
    <mergeCell ref="C169:F169"/>
    <mergeCell ref="H169:I169"/>
    <mergeCell ref="I178:J178"/>
    <mergeCell ref="F43:G43"/>
    <mergeCell ref="I193:J193"/>
    <mergeCell ref="A184:L184"/>
    <mergeCell ref="H233:I233"/>
    <mergeCell ref="B174:C174"/>
    <mergeCell ref="H121:I121"/>
    <mergeCell ref="A120:L120"/>
    <mergeCell ref="B76:D76"/>
    <mergeCell ref="H648:I648"/>
    <mergeCell ref="B158:C158"/>
    <mergeCell ref="B180:K181"/>
    <mergeCell ref="C233:F233"/>
    <mergeCell ref="B238:C238"/>
    <mergeCell ref="I257:J257"/>
    <mergeCell ref="I60:K60"/>
    <mergeCell ref="B643:K644"/>
    <mergeCell ref="C1:I1"/>
    <mergeCell ref="I718:J718"/>
    <mergeCell ref="B190:C190"/>
    <mergeCell ref="I43:K43"/>
    <mergeCell ref="F60:G60"/>
    <mergeCell ref="I651:K651"/>
    <mergeCell ref="C40:F40"/>
    <mergeCell ref="B45:C45"/>
    <mergeCell ref="I47:J47"/>
    <mergeCell ref="I242:J242"/>
    <mergeCell ref="H185:I185"/>
    <mergeCell ref="F188:G188"/>
    <mergeCell ref="I188:K188"/>
    <mergeCell ref="F666:G666"/>
    <mergeCell ref="H663:I663"/>
    <mergeCell ref="B164:K165"/>
    <mergeCell ref="I714:K714"/>
    <mergeCell ref="I64:J64"/>
    <mergeCell ref="C89:F89"/>
    <mergeCell ref="A200:L200"/>
    <mergeCell ref="I224:J224"/>
    <mergeCell ref="B62:C62"/>
    <mergeCell ref="A136:L136"/>
    <mergeCell ref="C153:F153"/>
    <mergeCell ref="T232:Y232"/>
    <mergeCell ref="T184:Y184"/>
    <mergeCell ref="C185:F185"/>
    <mergeCell ref="O168:R168"/>
    <mergeCell ref="O232:R232"/>
    <mergeCell ref="T248:Y248"/>
    <mergeCell ref="T200:Y200"/>
    <mergeCell ref="I226:J226"/>
    <mergeCell ref="C201:F201"/>
    <mergeCell ref="H201:I201"/>
    <mergeCell ref="H217:I217"/>
    <mergeCell ref="F220:G220"/>
    <mergeCell ref="I220:K220"/>
    <mergeCell ref="I210:J210"/>
    <mergeCell ref="I225:J225"/>
    <mergeCell ref="B206:C206"/>
    <mergeCell ref="T216:Y216"/>
    <mergeCell ref="O56:R56"/>
    <mergeCell ref="T56:Y56"/>
    <mergeCell ref="T39:Y39"/>
    <mergeCell ref="I48:J48"/>
    <mergeCell ref="I49:J49"/>
    <mergeCell ref="B148:K149"/>
    <mergeCell ref="A662:L662"/>
    <mergeCell ref="I176:J176"/>
    <mergeCell ref="I177:J177"/>
    <mergeCell ref="A152:L152"/>
    <mergeCell ref="F140:G140"/>
    <mergeCell ref="I140:K140"/>
    <mergeCell ref="B142:C142"/>
    <mergeCell ref="I160:J160"/>
    <mergeCell ref="I161:J161"/>
    <mergeCell ref="I162:J162"/>
    <mergeCell ref="C137:F137"/>
    <mergeCell ref="H137:I137"/>
    <mergeCell ref="I130:J130"/>
    <mergeCell ref="O120:R120"/>
    <mergeCell ref="C121:F121"/>
    <mergeCell ref="B318:C318"/>
    <mergeCell ref="T152:Y152"/>
    <mergeCell ref="T662:Y662"/>
    <mergeCell ref="O870:R870"/>
    <mergeCell ref="O487:R487"/>
    <mergeCell ref="F491:G491"/>
    <mergeCell ref="I496:J496"/>
    <mergeCell ref="O456:R456"/>
    <mergeCell ref="F874:G874"/>
    <mergeCell ref="I874:K874"/>
    <mergeCell ref="B132:K133"/>
    <mergeCell ref="F396:G396"/>
    <mergeCell ref="I396:K396"/>
    <mergeCell ref="B860:C860"/>
    <mergeCell ref="I529:J529"/>
    <mergeCell ref="A631:L631"/>
    <mergeCell ref="A694:L694"/>
    <mergeCell ref="C265:F265"/>
    <mergeCell ref="B509:C509"/>
    <mergeCell ref="F539:G539"/>
    <mergeCell ref="B270:C270"/>
    <mergeCell ref="I543:J543"/>
    <mergeCell ref="I544:J544"/>
    <mergeCell ref="C648:F648"/>
    <mergeCell ref="C361:F361"/>
    <mergeCell ref="I320:J320"/>
    <mergeCell ref="I545:J545"/>
    <mergeCell ref="O726:R726"/>
    <mergeCell ref="I466:J466"/>
    <mergeCell ref="F858:G858"/>
    <mergeCell ref="B557:C557"/>
    <mergeCell ref="I128:J128"/>
    <mergeCell ref="O519:R519"/>
    <mergeCell ref="I688:J688"/>
    <mergeCell ref="B866:K867"/>
    <mergeCell ref="I619:K619"/>
    <mergeCell ref="F523:G523"/>
    <mergeCell ref="O551:R551"/>
    <mergeCell ref="I129:J129"/>
    <mergeCell ref="A328:L328"/>
    <mergeCell ref="B350:C350"/>
    <mergeCell ref="C345:F345"/>
    <mergeCell ref="F475:G475"/>
    <mergeCell ref="I655:J655"/>
    <mergeCell ref="I507:K507"/>
    <mergeCell ref="A567:L567"/>
    <mergeCell ref="B653:C653"/>
    <mergeCell ref="B659:K660"/>
    <mergeCell ref="I656:J656"/>
    <mergeCell ref="A615:L615"/>
    <mergeCell ref="F619:G619"/>
    <mergeCell ref="T678:Y678"/>
    <mergeCell ref="T743:Y743"/>
    <mergeCell ref="T519:Y519"/>
    <mergeCell ref="A424:L424"/>
    <mergeCell ref="F587:G587"/>
    <mergeCell ref="I587:K587"/>
    <mergeCell ref="B589:C589"/>
    <mergeCell ref="I623:J623"/>
    <mergeCell ref="H839:I839"/>
    <mergeCell ref="B436:K437"/>
    <mergeCell ref="C584:F584"/>
    <mergeCell ref="B563:K564"/>
    <mergeCell ref="I559:J559"/>
    <mergeCell ref="I561:J561"/>
    <mergeCell ref="B834:K835"/>
    <mergeCell ref="C823:F823"/>
    <mergeCell ref="H823:I823"/>
    <mergeCell ref="I751:J751"/>
    <mergeCell ref="C807:F807"/>
    <mergeCell ref="I497:J497"/>
    <mergeCell ref="H520:I520"/>
    <mergeCell ref="A647:L647"/>
    <mergeCell ref="O647:R647"/>
    <mergeCell ref="T647:Y647"/>
    <mergeCell ref="I800:J800"/>
    <mergeCell ref="B286:C286"/>
    <mergeCell ref="I236:K236"/>
    <mergeCell ref="I752:J752"/>
    <mergeCell ref="I753:J753"/>
    <mergeCell ref="B755:K756"/>
    <mergeCell ref="B499:K500"/>
    <mergeCell ref="I577:J577"/>
    <mergeCell ref="I274:J274"/>
    <mergeCell ref="B276:K277"/>
    <mergeCell ref="A551:L551"/>
    <mergeCell ref="B493:C493"/>
    <mergeCell ref="I719:J719"/>
    <mergeCell ref="I720:J720"/>
    <mergeCell ref="I321:J321"/>
    <mergeCell ref="F714:G714"/>
    <mergeCell ref="B674:K675"/>
    <mergeCell ref="I672:J672"/>
    <mergeCell ref="I671:J671"/>
    <mergeCell ref="I290:J290"/>
    <mergeCell ref="A296:L296"/>
    <mergeCell ref="B292:K293"/>
    <mergeCell ref="C744:F744"/>
    <mergeCell ref="B611:K612"/>
  </mergeCells>
  <phoneticPr fontId="3" type="noConversion"/>
  <printOptions horizontalCentered="1"/>
  <pageMargins left="0" right="0" top="0.25" bottom="1" header="0.5" footer="0.5"/>
  <pageSetup paperSize="9" scale="75" fitToHeight="0" orientation="portrait" r:id="rId1"/>
  <headerFooter alignWithMargins="0"/>
  <rowBreaks count="13" manualBreakCount="13">
    <brk id="102" max="11" man="1"/>
    <brk id="150" max="11" man="1"/>
    <brk id="198" max="11" man="1"/>
    <brk id="246" max="11" man="1"/>
    <brk id="342" max="11" man="1"/>
    <brk id="390" max="11" man="1"/>
    <brk id="438" max="11" man="1"/>
    <brk id="501" max="11" man="1"/>
    <brk id="549" max="11" man="1"/>
    <brk id="597" max="11" man="1"/>
    <brk id="645" max="11" man="1"/>
    <brk id="692" max="11" man="1"/>
    <brk id="757" max="11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7"/>
  <sheetViews>
    <sheetView workbookViewId="0">
      <selection sqref="A1:XFD1048576"/>
    </sheetView>
  </sheetViews>
  <sheetFormatPr defaultRowHeight="12.75" x14ac:dyDescent="0.2"/>
  <cols>
    <col min="1" max="1" width="25.5703125" customWidth="1"/>
    <col min="2" max="2" width="13" hidden="1" customWidth="1"/>
    <col min="3" max="3" width="11.5703125" hidden="1" customWidth="1"/>
    <col min="4" max="4" width="11" hidden="1" customWidth="1"/>
    <col min="5" max="5" width="11.5703125" hidden="1" customWidth="1"/>
    <col min="6" max="6" width="12.5703125" hidden="1" customWidth="1"/>
    <col min="7" max="7" width="11" hidden="1" customWidth="1"/>
    <col min="8" max="8" width="13.7109375" customWidth="1"/>
    <col min="9" max="9" width="17" customWidth="1"/>
    <col min="10" max="10" width="17.42578125" customWidth="1"/>
    <col min="11" max="13" width="14.42578125" customWidth="1"/>
    <col min="14" max="14" width="16" customWidth="1"/>
    <col min="15" max="17" width="15.7109375" customWidth="1"/>
    <col min="18" max="18" width="23.85546875" customWidth="1"/>
  </cols>
  <sheetData>
    <row r="1" spans="1:26" ht="26.25" x14ac:dyDescent="0.4">
      <c r="A1" s="453" t="s">
        <v>146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453"/>
      <c r="Q1" s="453"/>
      <c r="R1" s="453"/>
    </row>
    <row r="2" spans="1:26" ht="48.75" customHeight="1" x14ac:dyDescent="0.2">
      <c r="A2" s="164" t="s">
        <v>96</v>
      </c>
      <c r="B2" s="165" t="s">
        <v>112</v>
      </c>
      <c r="C2" s="165" t="s">
        <v>110</v>
      </c>
      <c r="D2" s="165" t="s">
        <v>111</v>
      </c>
      <c r="E2" s="165" t="s">
        <v>113</v>
      </c>
      <c r="F2" s="165" t="s">
        <v>114</v>
      </c>
      <c r="G2" s="165" t="s">
        <v>115</v>
      </c>
      <c r="H2" s="166" t="s">
        <v>116</v>
      </c>
      <c r="I2" s="166" t="s">
        <v>133</v>
      </c>
      <c r="J2" s="166" t="s">
        <v>142</v>
      </c>
      <c r="K2" s="166" t="s">
        <v>143</v>
      </c>
      <c r="L2" s="166" t="s">
        <v>144</v>
      </c>
      <c r="M2" s="166" t="s">
        <v>145</v>
      </c>
      <c r="N2" s="166" t="s">
        <v>152</v>
      </c>
      <c r="O2" s="166" t="s">
        <v>154</v>
      </c>
      <c r="P2" s="166" t="s">
        <v>160</v>
      </c>
      <c r="Q2" s="166" t="s">
        <v>161</v>
      </c>
      <c r="R2" s="170" t="s">
        <v>147</v>
      </c>
      <c r="S2" s="2"/>
      <c r="T2" s="14"/>
      <c r="U2" s="2"/>
      <c r="V2" s="2"/>
      <c r="W2" s="114"/>
      <c r="X2" s="2"/>
      <c r="Y2" s="2"/>
    </row>
    <row r="3" spans="1:26" ht="20.25" customHeight="1" x14ac:dyDescent="0.25">
      <c r="A3" s="168" t="s">
        <v>97</v>
      </c>
      <c r="B3" s="158">
        <v>100000</v>
      </c>
      <c r="C3" s="159">
        <v>100000</v>
      </c>
      <c r="D3" s="159">
        <v>100000</v>
      </c>
      <c r="E3" s="159">
        <v>100000</v>
      </c>
      <c r="F3" s="159">
        <v>100000</v>
      </c>
      <c r="G3" s="159">
        <v>100000</v>
      </c>
      <c r="H3" s="171">
        <v>100000</v>
      </c>
      <c r="I3" s="171">
        <v>100000</v>
      </c>
      <c r="J3" s="171">
        <v>100000</v>
      </c>
      <c r="K3" s="171">
        <v>0</v>
      </c>
      <c r="L3" s="171">
        <v>100000</v>
      </c>
      <c r="M3" s="171">
        <v>100000</v>
      </c>
      <c r="N3" s="171">
        <v>100000</v>
      </c>
      <c r="O3" s="171">
        <v>100000</v>
      </c>
      <c r="P3" s="171">
        <v>100000</v>
      </c>
      <c r="Q3" s="171">
        <v>100000</v>
      </c>
      <c r="R3" s="171">
        <f>Q3-P3</f>
        <v>0</v>
      </c>
      <c r="S3" s="2"/>
      <c r="T3" s="14"/>
      <c r="U3" s="2"/>
      <c r="V3" s="2"/>
      <c r="W3" s="114"/>
      <c r="X3" s="2"/>
      <c r="Y3" s="2"/>
      <c r="Z3" s="8"/>
    </row>
    <row r="4" spans="1:26" ht="20.25" customHeight="1" x14ac:dyDescent="0.25">
      <c r="A4" s="169" t="s">
        <v>36</v>
      </c>
      <c r="B4" s="160">
        <v>60000</v>
      </c>
      <c r="C4" s="161">
        <v>60000</v>
      </c>
      <c r="D4" s="161">
        <v>60000</v>
      </c>
      <c r="E4" s="161">
        <v>60000</v>
      </c>
      <c r="F4" s="161">
        <v>60000</v>
      </c>
      <c r="G4" s="161">
        <v>60000</v>
      </c>
      <c r="H4" s="172">
        <v>60000</v>
      </c>
      <c r="I4" s="172">
        <v>60000</v>
      </c>
      <c r="J4" s="172">
        <v>60000</v>
      </c>
      <c r="K4" s="172">
        <v>60000</v>
      </c>
      <c r="L4" s="171">
        <v>60000</v>
      </c>
      <c r="M4" s="171">
        <v>60000</v>
      </c>
      <c r="N4" s="171">
        <v>60000</v>
      </c>
      <c r="O4" s="171">
        <v>62000</v>
      </c>
      <c r="P4" s="171">
        <v>62000</v>
      </c>
      <c r="Q4" s="171">
        <v>62000</v>
      </c>
      <c r="R4" s="171">
        <f t="shared" ref="R4:R15" si="0">Q4-P4</f>
        <v>0</v>
      </c>
      <c r="S4" s="2"/>
      <c r="T4" s="114"/>
      <c r="U4" s="2"/>
      <c r="V4" s="2"/>
      <c r="W4" s="114"/>
      <c r="X4" s="2"/>
      <c r="Y4" s="2"/>
    </row>
    <row r="5" spans="1:26" ht="20.25" customHeight="1" x14ac:dyDescent="0.25">
      <c r="A5" s="167" t="s">
        <v>34</v>
      </c>
      <c r="B5" s="162">
        <v>73206</v>
      </c>
      <c r="C5" s="161">
        <v>87000</v>
      </c>
      <c r="D5" s="161">
        <v>65000</v>
      </c>
      <c r="E5" s="161">
        <v>67000</v>
      </c>
      <c r="F5" s="161">
        <v>65000</v>
      </c>
      <c r="G5" s="161">
        <v>66000</v>
      </c>
      <c r="H5" s="172">
        <v>88000</v>
      </c>
      <c r="I5" s="172">
        <v>103489.58333333333</v>
      </c>
      <c r="J5" s="172">
        <v>87822.580645161288</v>
      </c>
      <c r="K5" s="172">
        <v>84933.333333333328</v>
      </c>
      <c r="L5" s="171">
        <v>66000</v>
      </c>
      <c r="M5" s="171">
        <v>103483.87096774194</v>
      </c>
      <c r="N5" s="171">
        <v>118000</v>
      </c>
      <c r="O5" s="171">
        <v>117387.09677419355</v>
      </c>
      <c r="P5" s="171">
        <v>119000</v>
      </c>
      <c r="Q5" s="171">
        <v>94000</v>
      </c>
      <c r="R5" s="171">
        <f t="shared" si="0"/>
        <v>-25000</v>
      </c>
      <c r="S5" s="2"/>
      <c r="T5" s="114"/>
      <c r="U5" s="2"/>
      <c r="V5" s="2"/>
      <c r="W5" s="114"/>
      <c r="X5" s="2"/>
      <c r="Y5" s="2"/>
    </row>
    <row r="6" spans="1:26" ht="20.25" customHeight="1" x14ac:dyDescent="0.25">
      <c r="A6" s="167" t="s">
        <v>98</v>
      </c>
      <c r="B6" s="162">
        <v>147448.27586206896</v>
      </c>
      <c r="C6" s="161">
        <v>116709.67741935482</v>
      </c>
      <c r="D6" s="161">
        <v>32250</v>
      </c>
      <c r="E6" s="161">
        <v>32250</v>
      </c>
      <c r="F6" s="161">
        <v>32250</v>
      </c>
      <c r="G6" s="161">
        <v>32250</v>
      </c>
      <c r="H6" s="172">
        <v>32250</v>
      </c>
      <c r="I6" s="172">
        <v>29300</v>
      </c>
      <c r="J6" s="172">
        <v>31750</v>
      </c>
      <c r="K6" s="172">
        <v>40875</v>
      </c>
      <c r="L6" s="171">
        <v>31500</v>
      </c>
      <c r="M6" s="171">
        <v>31500</v>
      </c>
      <c r="N6" s="171">
        <v>31500</v>
      </c>
      <c r="O6" s="171">
        <v>31500</v>
      </c>
      <c r="P6" s="171">
        <f>'Salary Sheets'!Q27</f>
        <v>134483.33333333331</v>
      </c>
      <c r="Q6" s="171">
        <v>37258.06451612903</v>
      </c>
      <c r="R6" s="171">
        <f t="shared" si="0"/>
        <v>-97225.268817204284</v>
      </c>
      <c r="S6" s="114"/>
      <c r="T6" s="14"/>
      <c r="U6" s="2"/>
      <c r="V6" s="2"/>
      <c r="W6" s="114"/>
      <c r="X6" s="2"/>
      <c r="Y6" s="2"/>
    </row>
    <row r="7" spans="1:26" ht="20.25" customHeight="1" x14ac:dyDescent="0.25">
      <c r="A7" s="167" t="s">
        <v>99</v>
      </c>
      <c r="B7" s="162">
        <v>132799.31034482759</v>
      </c>
      <c r="C7" s="161">
        <v>63387.096774193546</v>
      </c>
      <c r="D7" s="161">
        <v>41481.25</v>
      </c>
      <c r="E7" s="161">
        <v>53254.032258064515</v>
      </c>
      <c r="F7" s="161">
        <v>42143.75</v>
      </c>
      <c r="G7" s="161">
        <v>30919.354838709678</v>
      </c>
      <c r="H7" s="172">
        <v>35761.088709677424</v>
      </c>
      <c r="I7" s="172">
        <v>99415.625</v>
      </c>
      <c r="J7" s="172">
        <v>97959.677419354834</v>
      </c>
      <c r="K7" s="172">
        <v>54868.75</v>
      </c>
      <c r="L7" s="171">
        <v>52703.629032258061</v>
      </c>
      <c r="M7" s="171">
        <v>53987.145161290318</v>
      </c>
      <c r="N7" s="171">
        <v>92420.758928571435</v>
      </c>
      <c r="O7" s="171">
        <v>81163.548387096773</v>
      </c>
      <c r="P7" s="171">
        <v>72583.333333333328</v>
      </c>
      <c r="Q7" s="171">
        <v>75645.161290322576</v>
      </c>
      <c r="R7" s="171">
        <f t="shared" si="0"/>
        <v>3061.8279569892475</v>
      </c>
      <c r="S7" s="114"/>
      <c r="T7" s="14"/>
      <c r="U7" s="121"/>
      <c r="V7" s="121"/>
      <c r="W7" s="121"/>
      <c r="X7" s="121"/>
      <c r="Y7" s="2"/>
    </row>
    <row r="8" spans="1:26" ht="20.25" customHeight="1" x14ac:dyDescent="0.25">
      <c r="A8" s="167" t="s">
        <v>35</v>
      </c>
      <c r="B8" s="162">
        <v>372668.96551724145</v>
      </c>
      <c r="C8" s="161">
        <v>306071.05846774194</v>
      </c>
      <c r="D8" s="161">
        <v>205928.33333333331</v>
      </c>
      <c r="E8" s="161">
        <v>255428.46774193548</v>
      </c>
      <c r="F8" s="161">
        <v>285739.58333333343</v>
      </c>
      <c r="G8" s="161">
        <v>169628.98387096776</v>
      </c>
      <c r="H8" s="172">
        <v>214618.54838709679</v>
      </c>
      <c r="I8" s="172">
        <v>263865.91666666669</v>
      </c>
      <c r="J8" s="172">
        <v>288039.31451612909</v>
      </c>
      <c r="K8" s="172">
        <v>261683.95833333337</v>
      </c>
      <c r="L8" s="171">
        <v>193254.97580645161</v>
      </c>
      <c r="M8" s="171">
        <v>212582.85483870967</v>
      </c>
      <c r="N8" s="171">
        <v>232213.1696428571</v>
      </c>
      <c r="O8" s="171">
        <v>241484.47580645161</v>
      </c>
      <c r="P8" s="171">
        <f>'Salary Sheets'!Q45</f>
        <v>193625</v>
      </c>
      <c r="Q8" s="171">
        <v>201483.87096774194</v>
      </c>
      <c r="R8" s="171">
        <f t="shared" si="0"/>
        <v>7858.8709677419392</v>
      </c>
      <c r="S8" s="114"/>
      <c r="T8" s="14"/>
      <c r="U8" s="2"/>
      <c r="V8" s="2"/>
      <c r="W8" s="114"/>
      <c r="X8" s="2"/>
      <c r="Y8" s="2"/>
    </row>
    <row r="9" spans="1:26" ht="20.25" customHeight="1" x14ac:dyDescent="0.25">
      <c r="A9" s="167" t="s">
        <v>100</v>
      </c>
      <c r="B9" s="162">
        <v>120506.03448275861</v>
      </c>
      <c r="C9" s="161">
        <v>131841.12903225809</v>
      </c>
      <c r="D9" s="161">
        <v>104362.49999999999</v>
      </c>
      <c r="E9" s="161">
        <v>104752.41935483871</v>
      </c>
      <c r="F9" s="161">
        <v>113883.33333333334</v>
      </c>
      <c r="G9" s="161">
        <v>105737.90322580645</v>
      </c>
      <c r="H9" s="172">
        <v>103883.06451612903</v>
      </c>
      <c r="I9" s="172">
        <v>109841.66666666667</v>
      </c>
      <c r="J9" s="172">
        <v>117032.25806451612</v>
      </c>
      <c r="K9" s="172">
        <v>105759.16666666667</v>
      </c>
      <c r="L9" s="171">
        <v>119633.06451612904</v>
      </c>
      <c r="M9" s="171">
        <v>122745.96774193548</v>
      </c>
      <c r="N9" s="171">
        <v>113383.92857142855</v>
      </c>
      <c r="O9" s="171">
        <v>100282.25806451612</v>
      </c>
      <c r="P9" s="171">
        <v>116254.16666666666</v>
      </c>
      <c r="Q9" s="171">
        <v>121334.67741935483</v>
      </c>
      <c r="R9" s="171">
        <f t="shared" si="0"/>
        <v>5080.5107526881766</v>
      </c>
      <c r="S9" s="114"/>
      <c r="T9" s="14"/>
      <c r="U9" s="2"/>
      <c r="V9" s="2"/>
      <c r="W9" s="114"/>
      <c r="X9" s="2"/>
      <c r="Y9" s="2"/>
      <c r="Z9" s="14"/>
    </row>
    <row r="10" spans="1:26" ht="20.25" customHeight="1" x14ac:dyDescent="0.25">
      <c r="A10" s="167" t="s">
        <v>101</v>
      </c>
      <c r="B10" s="162">
        <v>93330.732758620696</v>
      </c>
      <c r="C10" s="161">
        <v>87991.93548387097</v>
      </c>
      <c r="D10" s="161">
        <v>61687.5</v>
      </c>
      <c r="E10" s="161">
        <v>72469.354838709682</v>
      </c>
      <c r="F10" s="161">
        <v>92054.166666666672</v>
      </c>
      <c r="G10" s="161">
        <v>92983.870967741939</v>
      </c>
      <c r="H10" s="172">
        <v>95745.967741935485</v>
      </c>
      <c r="I10" s="172">
        <v>91266.666666666657</v>
      </c>
      <c r="J10" s="172">
        <v>82338.709677419363</v>
      </c>
      <c r="K10" s="172">
        <v>87658.333333333328</v>
      </c>
      <c r="L10" s="171">
        <v>98245.967741935485</v>
      </c>
      <c r="M10" s="171">
        <v>104427.41935483871</v>
      </c>
      <c r="N10" s="171">
        <v>89080.357142857145</v>
      </c>
      <c r="O10" s="171">
        <v>87447.580645161288</v>
      </c>
      <c r="P10" s="171">
        <v>92458.333333333343</v>
      </c>
      <c r="Q10" s="171">
        <v>89770.161290322576</v>
      </c>
      <c r="R10" s="171">
        <f t="shared" si="0"/>
        <v>-2688.1720430107671</v>
      </c>
      <c r="S10" s="114"/>
      <c r="T10" s="14"/>
      <c r="U10" s="8"/>
      <c r="V10" s="8"/>
      <c r="W10" s="139"/>
      <c r="X10" s="8"/>
      <c r="Y10" s="2"/>
      <c r="Z10" s="14"/>
    </row>
    <row r="11" spans="1:26" ht="20.25" customHeight="1" x14ac:dyDescent="0.25">
      <c r="A11" s="167" t="s">
        <v>102</v>
      </c>
      <c r="B11" s="162">
        <v>47469.310344827587</v>
      </c>
      <c r="C11" s="161">
        <v>29145.16129032258</v>
      </c>
      <c r="D11" s="161">
        <v>27083.333333333332</v>
      </c>
      <c r="E11" s="161">
        <v>28830.645161290322</v>
      </c>
      <c r="F11" s="161">
        <v>27083.333333333332</v>
      </c>
      <c r="G11" s="161">
        <v>29145.16129032258</v>
      </c>
      <c r="H11" s="172">
        <v>45596.774193548386</v>
      </c>
      <c r="I11" s="172">
        <v>45641.666666666672</v>
      </c>
      <c r="J11" s="172">
        <v>48903.225806451621</v>
      </c>
      <c r="K11" s="172">
        <v>39968.75</v>
      </c>
      <c r="L11" s="171">
        <v>48483.870967741939</v>
      </c>
      <c r="M11" s="171">
        <v>52201.612903225803</v>
      </c>
      <c r="N11" s="171">
        <v>67227.678571428565</v>
      </c>
      <c r="O11" s="171">
        <v>107939.51612903226</v>
      </c>
      <c r="P11" s="171">
        <v>81066.666666666672</v>
      </c>
      <c r="Q11" s="171">
        <v>84967.741935483878</v>
      </c>
      <c r="R11" s="171">
        <f t="shared" si="0"/>
        <v>3901.075268817207</v>
      </c>
      <c r="S11" s="114"/>
      <c r="T11" s="14"/>
      <c r="U11" s="2"/>
      <c r="V11" s="2"/>
      <c r="W11" s="114"/>
      <c r="X11" s="2"/>
      <c r="Y11" s="8"/>
    </row>
    <row r="12" spans="1:26" ht="36" customHeight="1" x14ac:dyDescent="0.25">
      <c r="A12" s="289" t="s">
        <v>159</v>
      </c>
      <c r="B12" s="162"/>
      <c r="C12" s="161"/>
      <c r="D12" s="161"/>
      <c r="E12" s="161"/>
      <c r="F12" s="161"/>
      <c r="G12" s="161"/>
      <c r="H12" s="172"/>
      <c r="I12" s="172"/>
      <c r="J12" s="172"/>
      <c r="K12" s="172"/>
      <c r="L12" s="171"/>
      <c r="M12" s="171"/>
      <c r="N12" s="171"/>
      <c r="O12" s="171"/>
      <c r="P12" s="171">
        <f>'Salary Sheets'!Q73</f>
        <v>142166.66666666666</v>
      </c>
      <c r="Q12" s="171">
        <v>254832.25806451612</v>
      </c>
      <c r="R12" s="171">
        <f t="shared" si="0"/>
        <v>112665.59139784946</v>
      </c>
      <c r="S12" s="114"/>
      <c r="T12" s="14"/>
      <c r="U12" s="2"/>
      <c r="V12" s="2"/>
      <c r="W12" s="114"/>
      <c r="X12" s="2"/>
      <c r="Y12" s="8"/>
    </row>
    <row r="13" spans="1:26" ht="20.25" customHeight="1" x14ac:dyDescent="0.25">
      <c r="A13" s="167" t="s">
        <v>162</v>
      </c>
      <c r="B13" s="162"/>
      <c r="C13" s="161"/>
      <c r="D13" s="161"/>
      <c r="E13" s="161"/>
      <c r="F13" s="161"/>
      <c r="G13" s="161"/>
      <c r="H13" s="172"/>
      <c r="I13" s="172"/>
      <c r="J13" s="172"/>
      <c r="K13" s="172"/>
      <c r="L13" s="171"/>
      <c r="M13" s="171"/>
      <c r="N13" s="171"/>
      <c r="O13" s="171"/>
      <c r="P13" s="171" t="e">
        <f>'Salary Sheets'!#REF!</f>
        <v>#REF!</v>
      </c>
      <c r="Q13" s="171" t="e">
        <f>'Salary Sheets'!#REF!</f>
        <v>#REF!</v>
      </c>
      <c r="R13" s="171" t="e">
        <f t="shared" si="0"/>
        <v>#REF!</v>
      </c>
      <c r="S13" s="114"/>
      <c r="T13" s="14"/>
      <c r="U13" s="2"/>
      <c r="V13" s="2"/>
      <c r="W13" s="114"/>
      <c r="X13" s="2"/>
      <c r="Y13" s="8"/>
    </row>
    <row r="14" spans="1:26" ht="20.25" customHeight="1" x14ac:dyDescent="0.25">
      <c r="A14" s="167" t="s">
        <v>158</v>
      </c>
      <c r="B14" s="162">
        <v>160366.37931034484</v>
      </c>
      <c r="C14" s="162">
        <v>169366.93548387097</v>
      </c>
      <c r="D14" s="162">
        <v>177360</v>
      </c>
      <c r="E14" s="162">
        <v>201414.11290322582</v>
      </c>
      <c r="F14" s="162">
        <v>185683.33333333334</v>
      </c>
      <c r="G14" s="162">
        <v>178671.93548387097</v>
      </c>
      <c r="H14" s="172">
        <v>186343.54838709679</v>
      </c>
      <c r="I14" s="172">
        <v>183710</v>
      </c>
      <c r="J14" s="172">
        <v>208798.38709677421</v>
      </c>
      <c r="K14" s="172">
        <v>172205.83333333334</v>
      </c>
      <c r="L14" s="171">
        <v>99483.870967741939</v>
      </c>
      <c r="M14" s="171">
        <v>104608.87096774192</v>
      </c>
      <c r="N14" s="171">
        <v>156408.92857142858</v>
      </c>
      <c r="O14" s="171">
        <v>106806.45161290321</v>
      </c>
      <c r="P14" s="171">
        <v>127450</v>
      </c>
      <c r="Q14" s="171">
        <v>0</v>
      </c>
      <c r="R14" s="171">
        <f t="shared" si="0"/>
        <v>-127450</v>
      </c>
      <c r="S14" s="2"/>
      <c r="T14" s="14"/>
      <c r="U14" s="2"/>
      <c r="V14" s="2"/>
      <c r="W14" s="114"/>
      <c r="X14" s="2"/>
      <c r="Y14" s="8"/>
      <c r="Z14" s="14"/>
    </row>
    <row r="15" spans="1:26" ht="31.5" x14ac:dyDescent="0.2">
      <c r="A15" s="173" t="s">
        <v>155</v>
      </c>
      <c r="B15" s="163">
        <v>214942.75862068965</v>
      </c>
      <c r="C15" s="162">
        <v>204628.70967741933</v>
      </c>
      <c r="D15" s="162">
        <v>91566.666666666672</v>
      </c>
      <c r="E15" s="162">
        <v>100387.09677419355</v>
      </c>
      <c r="F15" s="162">
        <v>41733.333333333336</v>
      </c>
      <c r="G15" s="162">
        <v>2580.6451612903224</v>
      </c>
      <c r="H15" s="172">
        <v>34870.967741935485</v>
      </c>
      <c r="I15" s="172">
        <v>61920.833333333336</v>
      </c>
      <c r="J15" s="172">
        <v>44959.677419354841</v>
      </c>
      <c r="K15" s="172">
        <v>38666.666666666672</v>
      </c>
      <c r="L15" s="171">
        <v>39516.129032258061</v>
      </c>
      <c r="M15" s="171">
        <v>43000</v>
      </c>
      <c r="N15" s="171">
        <v>50142.857142857145</v>
      </c>
      <c r="O15" s="171">
        <v>102443.54838709676</v>
      </c>
      <c r="P15" s="171">
        <f>'Salary Sheets'!Q77</f>
        <v>28000</v>
      </c>
      <c r="Q15" s="171">
        <f>'Salary Sheets'!Q77</f>
        <v>28000</v>
      </c>
      <c r="R15" s="171">
        <f t="shared" si="0"/>
        <v>0</v>
      </c>
      <c r="S15" s="2"/>
      <c r="U15" s="8"/>
      <c r="V15" s="8"/>
      <c r="W15" s="139"/>
      <c r="X15" s="8"/>
      <c r="Y15" s="8"/>
      <c r="Z15" s="14"/>
    </row>
    <row r="16" spans="1:26" ht="29.25" customHeight="1" x14ac:dyDescent="0.2">
      <c r="A16" s="219" t="s">
        <v>103</v>
      </c>
      <c r="B16" s="219">
        <f t="shared" ref="B16:R16" si="1">SUM(B3:B15)</f>
        <v>1522737.7672413792</v>
      </c>
      <c r="C16" s="219">
        <f t="shared" si="1"/>
        <v>1356141.7036290322</v>
      </c>
      <c r="D16" s="219">
        <f t="shared" si="1"/>
        <v>966719.58333333326</v>
      </c>
      <c r="E16" s="219">
        <f t="shared" si="1"/>
        <v>1075786.1290322579</v>
      </c>
      <c r="F16" s="219">
        <f>SUM(F3:F15)</f>
        <v>1045570.8333333336</v>
      </c>
      <c r="G16" s="219">
        <f>SUM(G3:G15)</f>
        <v>867917.8548387097</v>
      </c>
      <c r="H16" s="219">
        <f>SUM(H3:H15)</f>
        <v>997069.95967741939</v>
      </c>
      <c r="I16" s="219">
        <f>SUM(I3:I15)</f>
        <v>1148451.9583333333</v>
      </c>
      <c r="J16" s="219">
        <f>SUM(J3:J15)</f>
        <v>1167603.8306451614</v>
      </c>
      <c r="K16" s="219">
        <f t="shared" si="1"/>
        <v>946619.79166666674</v>
      </c>
      <c r="L16" s="219">
        <f t="shared" ref="L16:P16" si="2">SUM(L3:L15)</f>
        <v>908821.50806451624</v>
      </c>
      <c r="M16" s="219">
        <f t="shared" si="2"/>
        <v>988537.74193548388</v>
      </c>
      <c r="N16" s="219">
        <f t="shared" si="2"/>
        <v>1110377.6785714284</v>
      </c>
      <c r="O16" s="219">
        <f t="shared" si="2"/>
        <v>1138454.4758064516</v>
      </c>
      <c r="P16" s="219" t="e">
        <f t="shared" si="2"/>
        <v>#REF!</v>
      </c>
      <c r="Q16" s="219" t="e">
        <f>SUM(Q3:Q15)</f>
        <v>#REF!</v>
      </c>
      <c r="R16" s="219" t="e">
        <f t="shared" si="1"/>
        <v>#REF!</v>
      </c>
      <c r="S16" s="8"/>
      <c r="W16" s="139"/>
      <c r="Y16" s="2"/>
    </row>
    <row r="17" spans="16:17" x14ac:dyDescent="0.2">
      <c r="P17" s="8"/>
      <c r="Q17" s="8"/>
    </row>
  </sheetData>
  <mergeCells count="1">
    <mergeCell ref="A1:R1"/>
  </mergeCells>
  <printOptions horizontalCentered="1" verticalCentered="1"/>
  <pageMargins left="0" right="0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1A69-1AB5-4F7A-A4C2-73A1E09F711B}">
  <dimension ref="A1:E22"/>
  <sheetViews>
    <sheetView workbookViewId="0">
      <selection activeCell="K20" sqref="K19:K20"/>
    </sheetView>
  </sheetViews>
  <sheetFormatPr defaultRowHeight="12.75" x14ac:dyDescent="0.2"/>
  <cols>
    <col min="1" max="1" width="25.5703125" customWidth="1"/>
    <col min="2" max="2" width="10.85546875" customWidth="1"/>
    <col min="3" max="3" width="12.5703125" customWidth="1"/>
    <col min="4" max="4" width="12.85546875" customWidth="1"/>
    <col min="5" max="5" width="13.7109375" customWidth="1"/>
  </cols>
  <sheetData>
    <row r="1" spans="1:5" ht="26.25" x14ac:dyDescent="0.4">
      <c r="A1" s="453" t="s">
        <v>203</v>
      </c>
      <c r="B1" s="453"/>
      <c r="C1" s="453"/>
      <c r="D1" s="453"/>
      <c r="E1" s="453"/>
    </row>
    <row r="2" spans="1:5" ht="18" x14ac:dyDescent="0.2">
      <c r="A2" s="345" t="s">
        <v>213</v>
      </c>
      <c r="B2" s="341"/>
      <c r="C2" s="346" t="s">
        <v>211</v>
      </c>
      <c r="D2" s="346" t="s">
        <v>212</v>
      </c>
      <c r="E2" s="346" t="s">
        <v>2</v>
      </c>
    </row>
    <row r="3" spans="1:5" ht="15.75" customHeight="1" x14ac:dyDescent="0.25">
      <c r="A3" s="168" t="s">
        <v>131</v>
      </c>
      <c r="B3" s="458" t="s">
        <v>222</v>
      </c>
      <c r="C3" s="347">
        <v>24500</v>
      </c>
      <c r="D3" s="347">
        <v>2000</v>
      </c>
      <c r="E3" s="171">
        <f t="shared" ref="E3:E6" si="0">D3+C3</f>
        <v>26500</v>
      </c>
    </row>
    <row r="4" spans="1:5" ht="15.75" x14ac:dyDescent="0.25">
      <c r="A4" s="168" t="s">
        <v>148</v>
      </c>
      <c r="B4" s="459"/>
      <c r="C4" s="347">
        <v>25000</v>
      </c>
      <c r="D4" s="347">
        <v>2000</v>
      </c>
      <c r="E4" s="171">
        <f t="shared" si="0"/>
        <v>27000</v>
      </c>
    </row>
    <row r="5" spans="1:5" ht="15.75" x14ac:dyDescent="0.25">
      <c r="A5" s="168" t="s">
        <v>221</v>
      </c>
      <c r="B5" s="459"/>
      <c r="C5" s="347">
        <v>32500</v>
      </c>
      <c r="D5" s="347">
        <v>2000</v>
      </c>
      <c r="E5" s="171">
        <f t="shared" si="0"/>
        <v>34500</v>
      </c>
    </row>
    <row r="6" spans="1:5" ht="15.75" x14ac:dyDescent="0.25">
      <c r="A6" s="168" t="s">
        <v>186</v>
      </c>
      <c r="B6" s="460"/>
      <c r="C6" s="347">
        <v>21000</v>
      </c>
      <c r="D6" s="347">
        <v>1000</v>
      </c>
      <c r="E6" s="171">
        <f t="shared" si="0"/>
        <v>22000</v>
      </c>
    </row>
    <row r="7" spans="1:5" ht="20.25" customHeight="1" x14ac:dyDescent="0.25">
      <c r="A7" s="168" t="s">
        <v>204</v>
      </c>
      <c r="B7" s="454" t="s">
        <v>210</v>
      </c>
      <c r="C7" s="171">
        <v>40000</v>
      </c>
      <c r="D7" s="171">
        <v>5000</v>
      </c>
      <c r="E7" s="171">
        <f>D7+C7</f>
        <v>45000</v>
      </c>
    </row>
    <row r="8" spans="1:5" ht="20.25" customHeight="1" x14ac:dyDescent="0.25">
      <c r="A8" s="169" t="s">
        <v>205</v>
      </c>
      <c r="B8" s="455"/>
      <c r="C8" s="172">
        <v>55000</v>
      </c>
      <c r="D8" s="172">
        <v>5000</v>
      </c>
      <c r="E8" s="171">
        <f t="shared" ref="E8:E14" si="1">D8+C8</f>
        <v>60000</v>
      </c>
    </row>
    <row r="9" spans="1:5" ht="20.25" customHeight="1" x14ac:dyDescent="0.25">
      <c r="A9" s="167" t="s">
        <v>78</v>
      </c>
      <c r="B9" s="455"/>
      <c r="C9" s="172">
        <v>30000</v>
      </c>
      <c r="D9" s="172">
        <v>5000</v>
      </c>
      <c r="E9" s="171">
        <f t="shared" si="1"/>
        <v>35000</v>
      </c>
    </row>
    <row r="10" spans="1:5" ht="20.25" customHeight="1" x14ac:dyDescent="0.25">
      <c r="A10" s="167" t="s">
        <v>206</v>
      </c>
      <c r="B10" s="455"/>
      <c r="C10" s="172">
        <v>38000</v>
      </c>
      <c r="D10" s="172">
        <v>5000</v>
      </c>
      <c r="E10" s="171">
        <f t="shared" si="1"/>
        <v>43000</v>
      </c>
    </row>
    <row r="11" spans="1:5" ht="20.25" customHeight="1" x14ac:dyDescent="0.25">
      <c r="A11" s="167" t="s">
        <v>207</v>
      </c>
      <c r="B11" s="455"/>
      <c r="C11" s="172">
        <v>28000</v>
      </c>
      <c r="D11" s="172">
        <v>3000</v>
      </c>
      <c r="E11" s="171">
        <f t="shared" si="1"/>
        <v>31000</v>
      </c>
    </row>
    <row r="12" spans="1:5" ht="20.25" customHeight="1" x14ac:dyDescent="0.25">
      <c r="A12" s="167" t="s">
        <v>208</v>
      </c>
      <c r="B12" s="455"/>
      <c r="C12" s="172">
        <v>22000</v>
      </c>
      <c r="D12" s="172">
        <v>3000</v>
      </c>
      <c r="E12" s="171">
        <f t="shared" si="1"/>
        <v>25000</v>
      </c>
    </row>
    <row r="13" spans="1:5" ht="20.25" customHeight="1" x14ac:dyDescent="0.25">
      <c r="A13" s="167" t="s">
        <v>209</v>
      </c>
      <c r="B13" s="455"/>
      <c r="C13" s="172">
        <v>24000</v>
      </c>
      <c r="D13" s="172">
        <v>2000</v>
      </c>
      <c r="E13" s="171">
        <f t="shared" si="1"/>
        <v>26000</v>
      </c>
    </row>
    <row r="14" spans="1:5" ht="20.25" customHeight="1" x14ac:dyDescent="0.25">
      <c r="A14" s="167" t="s">
        <v>74</v>
      </c>
      <c r="B14" s="456"/>
      <c r="C14" s="172">
        <v>27000</v>
      </c>
      <c r="D14" s="172">
        <v>3000</v>
      </c>
      <c r="E14" s="171">
        <f t="shared" si="1"/>
        <v>30000</v>
      </c>
    </row>
    <row r="15" spans="1:5" ht="20.25" customHeight="1" x14ac:dyDescent="0.25">
      <c r="A15" s="342" t="s">
        <v>215</v>
      </c>
      <c r="B15" s="457" t="s">
        <v>214</v>
      </c>
      <c r="C15" s="172">
        <v>54000</v>
      </c>
      <c r="D15" s="172">
        <v>5000</v>
      </c>
      <c r="E15" s="171">
        <f t="shared" ref="E15:E22" si="2">D15+C15</f>
        <v>59000</v>
      </c>
    </row>
    <row r="16" spans="1:5" ht="36" customHeight="1" x14ac:dyDescent="0.25">
      <c r="A16" s="343" t="s">
        <v>216</v>
      </c>
      <c r="B16" s="457"/>
      <c r="C16" s="172">
        <v>27500</v>
      </c>
      <c r="D16" s="172">
        <v>2000</v>
      </c>
      <c r="E16" s="171">
        <f t="shared" si="2"/>
        <v>29500</v>
      </c>
    </row>
    <row r="17" spans="1:5" ht="20.25" customHeight="1" x14ac:dyDescent="0.25">
      <c r="A17" s="342" t="s">
        <v>217</v>
      </c>
      <c r="B17" s="457"/>
      <c r="C17" s="172">
        <v>22500</v>
      </c>
      <c r="D17" s="172">
        <v>2000</v>
      </c>
      <c r="E17" s="171">
        <f t="shared" si="2"/>
        <v>24500</v>
      </c>
    </row>
    <row r="18" spans="1:5" ht="20.25" customHeight="1" x14ac:dyDescent="0.25">
      <c r="A18" s="342" t="s">
        <v>218</v>
      </c>
      <c r="B18" s="457"/>
      <c r="C18" s="172">
        <v>22500</v>
      </c>
      <c r="D18" s="172">
        <v>2000</v>
      </c>
      <c r="E18" s="171">
        <f t="shared" si="2"/>
        <v>24500</v>
      </c>
    </row>
    <row r="19" spans="1:5" ht="15.75" x14ac:dyDescent="0.25">
      <c r="A19" s="342" t="s">
        <v>75</v>
      </c>
      <c r="B19" s="461">
        <v>45017</v>
      </c>
      <c r="C19" s="344">
        <v>45000</v>
      </c>
      <c r="D19" s="172">
        <v>5000</v>
      </c>
      <c r="E19" s="171">
        <f t="shared" si="2"/>
        <v>50000</v>
      </c>
    </row>
    <row r="20" spans="1:5" ht="15.75" x14ac:dyDescent="0.25">
      <c r="A20" s="342" t="s">
        <v>219</v>
      </c>
      <c r="B20" s="462"/>
      <c r="C20" s="344">
        <v>19000</v>
      </c>
      <c r="D20" s="172">
        <v>3000</v>
      </c>
      <c r="E20" s="171">
        <f t="shared" si="2"/>
        <v>22000</v>
      </c>
    </row>
    <row r="21" spans="1:5" ht="15.75" x14ac:dyDescent="0.25">
      <c r="A21" s="342" t="s">
        <v>153</v>
      </c>
      <c r="B21" s="462"/>
      <c r="C21" s="344">
        <v>47000</v>
      </c>
      <c r="D21" s="172">
        <v>3000</v>
      </c>
      <c r="E21" s="171">
        <f t="shared" si="2"/>
        <v>50000</v>
      </c>
    </row>
    <row r="22" spans="1:5" ht="15.75" x14ac:dyDescent="0.25">
      <c r="A22" s="342" t="s">
        <v>225</v>
      </c>
      <c r="B22" s="356">
        <v>45047</v>
      </c>
      <c r="C22" s="354">
        <v>25000</v>
      </c>
      <c r="D22" s="355">
        <v>30000</v>
      </c>
      <c r="E22" s="171">
        <f t="shared" si="2"/>
        <v>55000</v>
      </c>
    </row>
  </sheetData>
  <autoFilter ref="A2:E2" xr:uid="{69971A69-1AB5-4F7A-A4C2-73A1E09F711B}"/>
  <mergeCells count="5">
    <mergeCell ref="B7:B14"/>
    <mergeCell ref="A1:E1"/>
    <mergeCell ref="B15:B18"/>
    <mergeCell ref="B3:B6"/>
    <mergeCell ref="B19:B21"/>
  </mergeCells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Salary Sheets</vt:lpstr>
      <vt:lpstr>Salary Record</vt:lpstr>
      <vt:lpstr>Salary summary</vt:lpstr>
      <vt:lpstr>Salary increment</vt:lpstr>
      <vt:lpstr>'Salary Record'!Print_Area</vt:lpstr>
      <vt:lpstr>'Salary Sheets'!Print_Area</vt:lpstr>
      <vt:lpstr>'Salary Sheets'!Print_Titles</vt:lpstr>
    </vt:vector>
  </TitlesOfParts>
  <Company>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</dc:creator>
  <cp:lastModifiedBy>Rehan Aslam</cp:lastModifiedBy>
  <cp:lastPrinted>2023-07-07T11:26:01Z</cp:lastPrinted>
  <dcterms:created xsi:type="dcterms:W3CDTF">2007-01-04T05:01:09Z</dcterms:created>
  <dcterms:modified xsi:type="dcterms:W3CDTF">2023-07-24T06:30:34Z</dcterms:modified>
</cp:coreProperties>
</file>