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3AE5F50A-8A7A-461E-87E0-02B71EF95A06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externalReferences>
    <externalReference r:id="rId5"/>
  </externalReferences>
  <definedNames>
    <definedName name="_xlnm._FilterDatabase" localSheetId="3" hidden="1">'Salary increment'!$A$2:$E$2</definedName>
    <definedName name="_xlnm._FilterDatabase" localSheetId="0" hidden="1">'Salary Sheets'!$A$3:$Z$92</definedName>
    <definedName name="_xlnm.Print_Area" localSheetId="1">'Salary Record'!$A$55:$L$645</definedName>
    <definedName name="_xlnm.Print_Area" localSheetId="0">'Salary Sheets'!$A$1:$Q$74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U207" i="8" l="1"/>
  <c r="K514" i="8"/>
  <c r="K498" i="8"/>
  <c r="E22" i="13"/>
  <c r="V69" i="1"/>
  <c r="V17" i="1"/>
  <c r="I126" i="8" l="1"/>
  <c r="V430" i="8"/>
  <c r="V126" i="8"/>
  <c r="R239" i="8"/>
  <c r="B42" i="1"/>
  <c r="R649" i="8"/>
  <c r="R650" i="8" s="1"/>
  <c r="R651" i="8" s="1"/>
  <c r="W633" i="8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V254" i="8" l="1"/>
  <c r="V222" i="8"/>
  <c r="K74" i="8"/>
  <c r="W665" i="8" l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K202" i="8"/>
  <c r="E21" i="13"/>
  <c r="G8" i="8"/>
  <c r="H8" i="8"/>
  <c r="R9" i="8"/>
  <c r="R10" i="8" s="1"/>
  <c r="R11" i="8" s="1"/>
  <c r="R12" i="8" s="1"/>
  <c r="W9" i="8"/>
  <c r="Y9" i="8" s="1"/>
  <c r="U10" i="8"/>
  <c r="W10" i="8" s="1"/>
  <c r="Y10" i="8" s="1"/>
  <c r="U11" i="8"/>
  <c r="W11" i="8" s="1"/>
  <c r="Y11" i="8" s="1"/>
  <c r="U12" i="8" s="1"/>
  <c r="I13" i="8"/>
  <c r="K13" i="8" s="1"/>
  <c r="R13" i="8"/>
  <c r="G14" i="8"/>
  <c r="K14" i="8"/>
  <c r="R14" i="8"/>
  <c r="U14" i="8"/>
  <c r="W14" i="8" s="1"/>
  <c r="Y14" i="8" s="1"/>
  <c r="C15" i="8"/>
  <c r="R15" i="8"/>
  <c r="U15" i="8"/>
  <c r="W15" i="8" s="1"/>
  <c r="Y15" i="8" s="1"/>
  <c r="C16" i="8"/>
  <c r="G16" i="8"/>
  <c r="K16" i="8" s="1"/>
  <c r="U16" i="8"/>
  <c r="W16" i="8" s="1"/>
  <c r="Y16" i="8" s="1"/>
  <c r="U17" i="8"/>
  <c r="W17" i="8" s="1"/>
  <c r="Y17" i="8" s="1"/>
  <c r="U18" i="8"/>
  <c r="W18" i="8" s="1"/>
  <c r="Y18" i="8" s="1"/>
  <c r="U19" i="8"/>
  <c r="W19" i="8" s="1"/>
  <c r="Y19" i="8" s="1"/>
  <c r="R20" i="8"/>
  <c r="U20" i="8"/>
  <c r="W20" i="8" s="1"/>
  <c r="Y20" i="8" s="1"/>
  <c r="G24" i="8"/>
  <c r="H24" i="8"/>
  <c r="W25" i="8"/>
  <c r="Y25" i="8" s="1"/>
  <c r="U26" i="8" s="1"/>
  <c r="W26" i="8" s="1"/>
  <c r="Y26" i="8" s="1"/>
  <c r="R27" i="8"/>
  <c r="W27" i="8"/>
  <c r="Y27" i="8" s="1"/>
  <c r="R28" i="8"/>
  <c r="C33" i="8" s="1"/>
  <c r="W28" i="8"/>
  <c r="Y28" i="8" s="1"/>
  <c r="R29" i="8"/>
  <c r="G30" i="8"/>
  <c r="K30" i="8"/>
  <c r="K31" i="8" s="1"/>
  <c r="R30" i="8"/>
  <c r="C31" i="8"/>
  <c r="R31" i="8"/>
  <c r="W31" i="8"/>
  <c r="Y31" i="8" s="1"/>
  <c r="C32" i="8"/>
  <c r="G32" i="8"/>
  <c r="R32" i="8"/>
  <c r="W32" i="8"/>
  <c r="Y32" i="8" s="1"/>
  <c r="R33" i="8"/>
  <c r="W33" i="8"/>
  <c r="Y33" i="8" s="1"/>
  <c r="R34" i="8"/>
  <c r="W34" i="8"/>
  <c r="Y34" i="8" s="1"/>
  <c r="R35" i="8"/>
  <c r="W35" i="8"/>
  <c r="Y35" i="8" s="1"/>
  <c r="R36" i="8"/>
  <c r="W36" i="8"/>
  <c r="Y36" i="8" s="1"/>
  <c r="C17" i="8" l="1"/>
  <c r="K15" i="8"/>
  <c r="K17" i="8" s="1"/>
  <c r="U29" i="8"/>
  <c r="W12" i="8"/>
  <c r="K330" i="8"/>
  <c r="X142" i="8"/>
  <c r="W29" i="8" l="1"/>
  <c r="G29" i="8"/>
  <c r="Y12" i="8"/>
  <c r="E6" i="13"/>
  <c r="E5" i="13"/>
  <c r="E4" i="13"/>
  <c r="E3" i="13"/>
  <c r="Y29" i="8" l="1"/>
  <c r="G31" i="8"/>
  <c r="U13" i="8"/>
  <c r="E20" i="13"/>
  <c r="E19" i="13"/>
  <c r="V237" i="8"/>
  <c r="V253" i="8"/>
  <c r="K90" i="8"/>
  <c r="U30" i="8" l="1"/>
  <c r="W30" i="8" s="1"/>
  <c r="Y30" i="8" s="1"/>
  <c r="G33" i="8"/>
  <c r="W13" i="8"/>
  <c r="G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K458" i="8"/>
  <c r="K490" i="8"/>
  <c r="K442" i="8"/>
  <c r="Y13" i="8" l="1"/>
  <c r="G17" i="8" s="1"/>
  <c r="G15" i="8"/>
  <c r="P76" i="8"/>
  <c r="K138" i="8"/>
  <c r="P476" i="8"/>
  <c r="V140" i="8"/>
  <c r="B80" i="1" l="1"/>
  <c r="V220" i="8"/>
  <c r="V252" i="8"/>
  <c r="V284" i="8"/>
  <c r="K58" i="8"/>
  <c r="W60" i="1"/>
  <c r="W62" i="1" s="1"/>
  <c r="E114" i="1"/>
  <c r="E115" i="1" s="1"/>
  <c r="K570" i="8"/>
  <c r="K234" i="8"/>
  <c r="V251" i="8" l="1"/>
  <c r="V139" i="8"/>
  <c r="K250" i="8"/>
  <c r="K218" i="8"/>
  <c r="K712" i="8"/>
  <c r="K601" i="8"/>
  <c r="R108" i="8" l="1"/>
  <c r="R110" i="8"/>
  <c r="R111" i="8"/>
  <c r="R112" i="8"/>
  <c r="R113" i="8"/>
  <c r="R114" i="8"/>
  <c r="R115" i="8"/>
  <c r="R116" i="8"/>
  <c r="R117" i="8"/>
  <c r="R399" i="8"/>
  <c r="R400" i="8"/>
  <c r="R401" i="8"/>
  <c r="R402" i="8"/>
  <c r="R403" i="8"/>
  <c r="R404" i="8"/>
  <c r="R405" i="8"/>
  <c r="R477" i="8"/>
  <c r="R478" i="8" s="1"/>
  <c r="R479" i="8"/>
  <c r="R480" i="8"/>
  <c r="R481" i="8"/>
  <c r="R482" i="8"/>
  <c r="R483" i="8"/>
  <c r="R484" i="8"/>
  <c r="R485" i="8"/>
  <c r="R475" i="8"/>
  <c r="R367" i="8"/>
  <c r="R368" i="8"/>
  <c r="R369" i="8"/>
  <c r="R370" i="8"/>
  <c r="R371" i="8"/>
  <c r="R372" i="8"/>
  <c r="R373" i="8"/>
  <c r="R351" i="8"/>
  <c r="R352" i="8"/>
  <c r="R353" i="8"/>
  <c r="R354" i="8"/>
  <c r="R355" i="8"/>
  <c r="R356" i="8"/>
  <c r="R357" i="8"/>
  <c r="R335" i="8"/>
  <c r="R336" i="8"/>
  <c r="R337" i="8"/>
  <c r="R338" i="8"/>
  <c r="R339" i="8"/>
  <c r="R340" i="8"/>
  <c r="R341" i="8"/>
  <c r="R277" i="8"/>
  <c r="R274" i="8"/>
  <c r="R275" i="8"/>
  <c r="R276" i="8"/>
  <c r="R271" i="8"/>
  <c r="R272" i="8"/>
  <c r="R273" i="8"/>
  <c r="R266" i="8"/>
  <c r="R267" i="8" s="1"/>
  <c r="R268" i="8" s="1"/>
  <c r="R269" i="8" s="1"/>
  <c r="R270" i="8" s="1"/>
  <c r="R716" i="8"/>
  <c r="R717" i="8"/>
  <c r="R718" i="8"/>
  <c r="R719" i="8"/>
  <c r="R720" i="8"/>
  <c r="R721" i="8"/>
  <c r="R722" i="8"/>
  <c r="R723" i="8"/>
  <c r="R715" i="8"/>
  <c r="V42" i="8"/>
  <c r="V138" i="8" l="1"/>
  <c r="V250" i="8"/>
  <c r="W282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346" i="8"/>
  <c r="R347" i="8" s="1"/>
  <c r="R348" i="8" s="1"/>
  <c r="R349" i="8" s="1"/>
  <c r="R350" i="8" s="1"/>
  <c r="R330" i="8"/>
  <c r="R186" i="8"/>
  <c r="R601" i="8"/>
  <c r="R170" i="8"/>
  <c r="W234" i="8" l="1"/>
  <c r="W154" i="8" l="1"/>
  <c r="Y154" i="8" s="1"/>
  <c r="U155" i="8" s="1"/>
  <c r="W155" i="8" s="1"/>
  <c r="Y155" i="8" s="1"/>
  <c r="U156" i="8" s="1"/>
  <c r="W156" i="8" s="1"/>
  <c r="Y156" i="8" s="1"/>
  <c r="U157" i="8" s="1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162" i="8" s="1"/>
  <c r="Y162" i="8" s="1"/>
  <c r="U163" i="8" s="1"/>
  <c r="W163" i="8" s="1"/>
  <c r="Y163" i="8" s="1"/>
  <c r="U164" i="8" s="1"/>
  <c r="W164" i="8" s="1"/>
  <c r="Y164" i="8" s="1"/>
  <c r="U165" i="8" s="1"/>
  <c r="W165" i="8" s="1"/>
  <c r="Y165" i="8" s="1"/>
  <c r="K522" i="8"/>
  <c r="K554" i="8"/>
  <c r="K538" i="8"/>
  <c r="K506" i="8"/>
  <c r="K287" i="8" l="1"/>
  <c r="K266" i="8" l="1"/>
  <c r="H25" i="1" l="1"/>
  <c r="B57" i="1" l="1"/>
  <c r="B56" i="1" l="1"/>
  <c r="R213" i="8" l="1"/>
  <c r="R211" i="8"/>
  <c r="R212" i="8" s="1"/>
  <c r="R202" i="8"/>
  <c r="R203" i="8" s="1"/>
  <c r="R204" i="8" s="1"/>
  <c r="R205" i="8" s="1"/>
  <c r="R206" i="8" s="1"/>
  <c r="R207" i="8" s="1"/>
  <c r="R208" i="8" s="1"/>
  <c r="R209" i="8" s="1"/>
  <c r="R210" i="8" s="1"/>
  <c r="R421" i="8"/>
  <c r="R410" i="8"/>
  <c r="R411" i="8" s="1"/>
  <c r="R412" i="8" s="1"/>
  <c r="R413" i="8" s="1"/>
  <c r="R414" i="8" s="1"/>
  <c r="R415" i="8" s="1"/>
  <c r="R416" i="8" s="1"/>
  <c r="R417" i="8" s="1"/>
  <c r="R418" i="8" s="1"/>
  <c r="R419" i="8" s="1"/>
  <c r="R420" i="8" s="1"/>
  <c r="R394" i="8"/>
  <c r="R395" i="8" s="1"/>
  <c r="R396" i="8" s="1"/>
  <c r="R397" i="8" s="1"/>
  <c r="R398" i="8" s="1"/>
  <c r="R362" i="8"/>
  <c r="R363" i="8" s="1"/>
  <c r="R364" i="8" s="1"/>
  <c r="R365" i="8" s="1"/>
  <c r="R366" i="8" s="1"/>
  <c r="R331" i="8"/>
  <c r="R332" i="8" s="1"/>
  <c r="R333" i="8" s="1"/>
  <c r="R334" i="8" s="1"/>
  <c r="R101" i="8"/>
  <c r="R100" i="8"/>
  <c r="R90" i="8"/>
  <c r="R91" i="8" s="1"/>
  <c r="R92" i="8" s="1"/>
  <c r="R93" i="8" s="1"/>
  <c r="R94" i="8" s="1"/>
  <c r="R95" i="8" s="1"/>
  <c r="R96" i="8" s="1"/>
  <c r="R97" i="8" s="1"/>
  <c r="R98" i="8" s="1"/>
  <c r="R99" i="8" s="1"/>
  <c r="R260" i="8"/>
  <c r="R251" i="8"/>
  <c r="R712" i="8"/>
  <c r="R713" i="8" s="1"/>
  <c r="R714" i="8" s="1"/>
  <c r="R234" i="8"/>
  <c r="R235" i="8" s="1"/>
  <c r="R236" i="8" s="1"/>
  <c r="R237" i="8" s="1"/>
  <c r="R238" i="8" s="1"/>
  <c r="R244" i="8"/>
  <c r="R187" i="8"/>
  <c r="R188" i="8" s="1"/>
  <c r="R189" i="8" s="1"/>
  <c r="R190" i="8" s="1"/>
  <c r="R191" i="8" s="1"/>
  <c r="R192" i="8" s="1"/>
  <c r="R193" i="8" s="1"/>
  <c r="R194" i="8" s="1"/>
  <c r="R195" i="8" s="1"/>
  <c r="R197" i="8"/>
  <c r="R196" i="8"/>
  <c r="R602" i="8"/>
  <c r="R603" i="8" s="1"/>
  <c r="R604" i="8" s="1"/>
  <c r="R605" i="8" s="1"/>
  <c r="R606" i="8" s="1"/>
  <c r="R607" i="8" s="1"/>
  <c r="R608" i="8" s="1"/>
  <c r="R609" i="8" s="1"/>
  <c r="R610" i="8" s="1"/>
  <c r="R612" i="8"/>
  <c r="R611" i="8"/>
  <c r="R171" i="8"/>
  <c r="R172" i="8" s="1"/>
  <c r="R173" i="8" s="1"/>
  <c r="R174" i="8" s="1"/>
  <c r="R175" i="8" s="1"/>
  <c r="R176" i="8" s="1"/>
  <c r="R177" i="8" s="1"/>
  <c r="R178" i="8" s="1"/>
  <c r="R179" i="8" s="1"/>
  <c r="R180" i="8" s="1"/>
  <c r="R181" i="8"/>
  <c r="R165" i="8"/>
  <c r="R164" i="8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49" i="8"/>
  <c r="R138" i="8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597" i="8"/>
  <c r="R596" i="8"/>
  <c r="R590" i="8"/>
  <c r="R591" i="8" s="1"/>
  <c r="R592" i="8" s="1"/>
  <c r="R593" i="8" s="1"/>
  <c r="R594" i="8" s="1"/>
  <c r="R595" i="8" s="1"/>
  <c r="R587" i="8"/>
  <c r="R588" i="8" s="1"/>
  <c r="R58" i="8"/>
  <c r="W362" i="8" l="1"/>
  <c r="W250" i="8"/>
  <c r="R73" i="1" l="1"/>
  <c r="S52" i="1"/>
  <c r="R45" i="1"/>
  <c r="R27" i="1"/>
  <c r="S20" i="1"/>
  <c r="R20" i="1"/>
  <c r="R4" i="12" l="1"/>
  <c r="R5" i="12"/>
  <c r="R7" i="12"/>
  <c r="R9" i="12"/>
  <c r="R10" i="12"/>
  <c r="R11" i="12"/>
  <c r="R14" i="12"/>
  <c r="R3" i="12"/>
  <c r="K591" i="8" l="1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628" i="8" l="1"/>
  <c r="R625" i="8"/>
  <c r="R624" i="8"/>
  <c r="R618" i="8"/>
  <c r="R619" i="8" s="1"/>
  <c r="R620" i="8" s="1"/>
  <c r="R621" i="8" s="1"/>
  <c r="R622" i="8" s="1"/>
  <c r="R623" i="8" s="1"/>
  <c r="R673" i="8"/>
  <c r="R674" i="8" s="1"/>
  <c r="R675" i="8" s="1"/>
  <c r="R59" i="8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K654" i="8" l="1"/>
  <c r="K383" i="8" l="1"/>
  <c r="J50" i="1" s="1"/>
  <c r="W592" i="8" l="1"/>
  <c r="K79" i="8" l="1"/>
  <c r="B31" i="1" l="1"/>
  <c r="C109" i="1" l="1"/>
  <c r="R11" i="1" l="1"/>
  <c r="R556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W538" i="8"/>
  <c r="Y538" i="8" s="1"/>
  <c r="W458" i="8"/>
  <c r="Y458" i="8" s="1"/>
  <c r="U459" i="8" s="1"/>
  <c r="W459" i="8" s="1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W712" i="8"/>
  <c r="Y712" i="8" s="1"/>
  <c r="U713" i="8" s="1"/>
  <c r="W218" i="8"/>
  <c r="Y218" i="8" s="1"/>
  <c r="U219" i="8" s="1"/>
  <c r="W219" i="8" s="1"/>
  <c r="Y219" i="8" s="1"/>
  <c r="U220" i="8" s="1"/>
  <c r="W220" i="8" s="1"/>
  <c r="Y220" i="8" s="1"/>
  <c r="W426" i="8"/>
  <c r="Y426" i="8" s="1"/>
  <c r="Y362" i="8"/>
  <c r="W74" i="8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W82" i="8" s="1"/>
  <c r="Y82" i="8" s="1"/>
  <c r="U83" i="8" s="1"/>
  <c r="W83" i="8" s="1"/>
  <c r="Y83" i="8" s="1"/>
  <c r="U659" i="8"/>
  <c r="W659" i="8" s="1"/>
  <c r="Y659" i="8" s="1"/>
  <c r="U660" i="8" s="1"/>
  <c r="W660" i="8" s="1"/>
  <c r="Y660" i="8" s="1"/>
  <c r="W346" i="8"/>
  <c r="Y346" i="8" s="1"/>
  <c r="W106" i="8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14" i="8" s="1"/>
  <c r="Y114" i="8" s="1"/>
  <c r="U115" i="8" s="1"/>
  <c r="W115" i="8" s="1"/>
  <c r="Y115" i="8" s="1"/>
  <c r="W202" i="8"/>
  <c r="Y202" i="8" s="1"/>
  <c r="U203" i="8" s="1"/>
  <c r="W203" i="8" s="1"/>
  <c r="Y203" i="8" s="1"/>
  <c r="U204" i="8" s="1"/>
  <c r="W204" i="8" s="1"/>
  <c r="Y204" i="8" s="1"/>
  <c r="U205" i="8" s="1"/>
  <c r="W601" i="8"/>
  <c r="Y601" i="8" s="1"/>
  <c r="U602" i="8" s="1"/>
  <c r="W314" i="8"/>
  <c r="Y314" i="8" s="1"/>
  <c r="W410" i="8"/>
  <c r="Y410" i="8" s="1"/>
  <c r="U411" i="8" s="1"/>
  <c r="W411" i="8" s="1"/>
  <c r="Y411" i="8" s="1"/>
  <c r="U412" i="8" s="1"/>
  <c r="W412" i="8" s="1"/>
  <c r="Y412" i="8" s="1"/>
  <c r="W522" i="8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533" i="8" s="1"/>
  <c r="W533" i="8" s="1"/>
  <c r="Y533" i="8" s="1"/>
  <c r="W617" i="8"/>
  <c r="Y617" i="8" s="1"/>
  <c r="U618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W855" i="8"/>
  <c r="Y855" i="8" s="1"/>
  <c r="U856" i="8" s="1"/>
  <c r="W856" i="8" s="1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W823" i="8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W570" i="8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W394" i="8"/>
  <c r="Y394" i="8" s="1"/>
  <c r="U395" i="8" s="1"/>
  <c r="W474" i="8"/>
  <c r="Y474" i="8" s="1"/>
  <c r="W330" i="8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W90" i="8"/>
  <c r="Y90" i="8" s="1"/>
  <c r="U91" i="8" s="1"/>
  <c r="U558" i="8" l="1"/>
  <c r="W558" i="8" s="1"/>
  <c r="Y558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U574" i="8"/>
  <c r="W574" i="8" s="1"/>
  <c r="Y574" i="8" s="1"/>
  <c r="W575" i="8" s="1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U580" i="8" s="1"/>
  <c r="W580" i="8" s="1"/>
  <c r="Y580" i="8" s="1"/>
  <c r="U581" i="8" s="1"/>
  <c r="W581" i="8" s="1"/>
  <c r="Y581" i="8" s="1"/>
  <c r="U427" i="8"/>
  <c r="W427" i="8" s="1"/>
  <c r="Y427" i="8" s="1"/>
  <c r="U413" i="8"/>
  <c r="W413" i="8" s="1"/>
  <c r="Y413" i="8" s="1"/>
  <c r="U414" i="8" s="1"/>
  <c r="U221" i="8"/>
  <c r="W221" i="8" s="1"/>
  <c r="Y221" i="8" s="1"/>
  <c r="U222" i="8" s="1"/>
  <c r="U315" i="8"/>
  <c r="W315" i="8" s="1"/>
  <c r="Y315" i="8" s="1"/>
  <c r="U539" i="8"/>
  <c r="W539" i="8" s="1"/>
  <c r="Y539" i="8" s="1"/>
  <c r="U116" i="8"/>
  <c r="W116" i="8" s="1"/>
  <c r="Y116" i="8" s="1"/>
  <c r="W117" i="8" s="1"/>
  <c r="Y117" i="8" s="1"/>
  <c r="U84" i="8"/>
  <c r="W84" i="8" s="1"/>
  <c r="Y84" i="8" s="1"/>
  <c r="W85" i="8" s="1"/>
  <c r="Y85" i="8" s="1"/>
  <c r="W499" i="8"/>
  <c r="Y499" i="8" s="1"/>
  <c r="W500" i="8" s="1"/>
  <c r="Y500" i="8" s="1"/>
  <c r="W501" i="8" s="1"/>
  <c r="Y501" i="8" s="1"/>
  <c r="U498" i="8"/>
  <c r="W498" i="8" s="1"/>
  <c r="Y498" i="8" s="1"/>
  <c r="W467" i="8"/>
  <c r="Y467" i="8" s="1"/>
  <c r="U468" i="8" s="1"/>
  <c r="W468" i="8" s="1"/>
  <c r="Y468" i="8" s="1"/>
  <c r="U469" i="8" s="1"/>
  <c r="W469" i="8" s="1"/>
  <c r="Y469" i="8" s="1"/>
  <c r="U466" i="8"/>
  <c r="W466" i="8" s="1"/>
  <c r="Y466" i="8" s="1"/>
  <c r="U335" i="8"/>
  <c r="W335" i="8" s="1"/>
  <c r="Y335" i="8" s="1"/>
  <c r="U347" i="8"/>
  <c r="W347" i="8" s="1"/>
  <c r="Y347" i="8" s="1"/>
  <c r="W348" i="8" s="1"/>
  <c r="Y348" i="8" s="1"/>
  <c r="U349" i="8" s="1"/>
  <c r="W349" i="8" s="1"/>
  <c r="Y349" i="8" s="1"/>
  <c r="U350" i="8" s="1"/>
  <c r="W350" i="8" s="1"/>
  <c r="Y350" i="8" s="1"/>
  <c r="U351" i="8" s="1"/>
  <c r="W351" i="8" s="1"/>
  <c r="Y351" i="8" s="1"/>
  <c r="U352" i="8" s="1"/>
  <c r="W352" i="8" s="1"/>
  <c r="Y352" i="8" s="1"/>
  <c r="U353" i="8" s="1"/>
  <c r="W353" i="8" s="1"/>
  <c r="Y353" i="8" s="1"/>
  <c r="U354" i="8" s="1"/>
  <c r="W354" i="8" s="1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W205" i="8"/>
  <c r="Y205" i="8" s="1"/>
  <c r="U206" i="8" s="1"/>
  <c r="W713" i="8"/>
  <c r="Y713" i="8" s="1"/>
  <c r="U714" i="8" s="1"/>
  <c r="W475" i="8"/>
  <c r="Y475" i="8" s="1"/>
  <c r="W395" i="8"/>
  <c r="Y395" i="8" s="1"/>
  <c r="U396" i="8" s="1"/>
  <c r="W618" i="8"/>
  <c r="Y618" i="8" s="1"/>
  <c r="W91" i="8"/>
  <c r="Y91" i="8" s="1"/>
  <c r="U92" i="8" s="1"/>
  <c r="W602" i="8"/>
  <c r="Y602" i="8" s="1"/>
  <c r="U603" i="8" s="1"/>
  <c r="W363" i="8"/>
  <c r="Y363" i="8" s="1"/>
  <c r="D109" i="1"/>
  <c r="U428" i="8" l="1"/>
  <c r="W428" i="8" s="1"/>
  <c r="Y428" i="8" s="1"/>
  <c r="W222" i="8"/>
  <c r="Y222" i="8" s="1"/>
  <c r="W223" i="8" s="1"/>
  <c r="Y223" i="8" s="1"/>
  <c r="U224" i="8" s="1"/>
  <c r="W224" i="8" s="1"/>
  <c r="Y224" i="8" s="1"/>
  <c r="W414" i="8"/>
  <c r="Y414" i="8" s="1"/>
  <c r="W415" i="8" s="1"/>
  <c r="Y415" i="8" s="1"/>
  <c r="U416" i="8" s="1"/>
  <c r="W416" i="8" s="1"/>
  <c r="Y416" i="8" s="1"/>
  <c r="U316" i="8"/>
  <c r="W316" i="8" s="1"/>
  <c r="Y316" i="8" s="1"/>
  <c r="U540" i="8"/>
  <c r="W540" i="8" s="1"/>
  <c r="Y540" i="8" s="1"/>
  <c r="U541" i="8" s="1"/>
  <c r="W541" i="8" s="1"/>
  <c r="Y541" i="8" s="1"/>
  <c r="U542" i="8" s="1"/>
  <c r="U619" i="8"/>
  <c r="W619" i="8" s="1"/>
  <c r="Y619" i="8" s="1"/>
  <c r="W339" i="8"/>
  <c r="Y339" i="8" s="1"/>
  <c r="U340" i="8" s="1"/>
  <c r="W340" i="8" s="1"/>
  <c r="Y340" i="8" s="1"/>
  <c r="U341" i="8" s="1"/>
  <c r="W341" i="8" s="1"/>
  <c r="Y341" i="8" s="1"/>
  <c r="U336" i="8"/>
  <c r="W336" i="8" s="1"/>
  <c r="Y336" i="8" s="1"/>
  <c r="U337" i="8" s="1"/>
  <c r="W337" i="8" s="1"/>
  <c r="Y337" i="8" s="1"/>
  <c r="U338" i="8" s="1"/>
  <c r="W338" i="8" s="1"/>
  <c r="Y338" i="8" s="1"/>
  <c r="W542" i="8"/>
  <c r="Y542" i="8" s="1"/>
  <c r="W206" i="8"/>
  <c r="Y206" i="8" s="1"/>
  <c r="W207" i="8" s="1"/>
  <c r="Y207" i="8" s="1"/>
  <c r="W208" i="8" s="1"/>
  <c r="Y208" i="8" s="1"/>
  <c r="W209" i="8" s="1"/>
  <c r="Y209" i="8" s="1"/>
  <c r="W210" i="8" s="1"/>
  <c r="Y210" i="8" s="1"/>
  <c r="W211" i="8" s="1"/>
  <c r="Y211" i="8" s="1"/>
  <c r="W622" i="8"/>
  <c r="Y622" i="8" s="1"/>
  <c r="W476" i="8"/>
  <c r="Y476" i="8" s="1"/>
  <c r="W364" i="8"/>
  <c r="Y364" i="8" s="1"/>
  <c r="W714" i="8"/>
  <c r="Y714" i="8" s="1"/>
  <c r="U715" i="8" s="1"/>
  <c r="W92" i="8"/>
  <c r="Y92" i="8" s="1"/>
  <c r="U93" i="8" s="1"/>
  <c r="W396" i="8"/>
  <c r="Y396" i="8" s="1"/>
  <c r="U397" i="8" s="1"/>
  <c r="W638" i="8"/>
  <c r="Y638" i="8" s="1"/>
  <c r="W603" i="8"/>
  <c r="Y603" i="8" s="1"/>
  <c r="U604" i="8" s="1"/>
  <c r="U429" i="8" l="1"/>
  <c r="W429" i="8" s="1"/>
  <c r="Y429" i="8" s="1"/>
  <c r="U620" i="8"/>
  <c r="W620" i="8" s="1"/>
  <c r="Y620" i="8" s="1"/>
  <c r="U621" i="8" s="1"/>
  <c r="U317" i="8"/>
  <c r="W317" i="8" s="1"/>
  <c r="Y317" i="8" s="1"/>
  <c r="U318" i="8" s="1"/>
  <c r="W715" i="8"/>
  <c r="Y715" i="8" s="1"/>
  <c r="W716" i="8" s="1"/>
  <c r="Y716" i="8" s="1"/>
  <c r="U717" i="8" s="1"/>
  <c r="W212" i="8"/>
  <c r="Y212" i="8" s="1"/>
  <c r="U225" i="8"/>
  <c r="W225" i="8" s="1"/>
  <c r="Y225" i="8" s="1"/>
  <c r="U417" i="8"/>
  <c r="W417" i="8" s="1"/>
  <c r="Y417" i="8" s="1"/>
  <c r="W543" i="8"/>
  <c r="Y543" i="8" s="1"/>
  <c r="W623" i="8"/>
  <c r="Y623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93" i="8"/>
  <c r="Y93" i="8" s="1"/>
  <c r="U94" i="8" s="1"/>
  <c r="W397" i="8"/>
  <c r="Y397" i="8" s="1"/>
  <c r="U398" i="8" s="1"/>
  <c r="U365" i="8"/>
  <c r="W365" i="8" s="1"/>
  <c r="Y365" i="8" s="1"/>
  <c r="W477" i="8"/>
  <c r="Y477" i="8" s="1"/>
  <c r="W639" i="8"/>
  <c r="Y639" i="8" s="1"/>
  <c r="W604" i="8"/>
  <c r="Y604" i="8" s="1"/>
  <c r="U605" i="8" s="1"/>
  <c r="U430" i="8" l="1"/>
  <c r="W430" i="8" s="1"/>
  <c r="Y430" i="8" s="1"/>
  <c r="W431" i="8" s="1"/>
  <c r="Y431" i="8" s="1"/>
  <c r="U432" i="8" s="1"/>
  <c r="W432" i="8" s="1"/>
  <c r="Y432" i="8" s="1"/>
  <c r="W433" i="8" s="1"/>
  <c r="Y433" i="8" s="1"/>
  <c r="U434" i="8" s="1"/>
  <c r="W434" i="8" s="1"/>
  <c r="Y434" i="8" s="1"/>
  <c r="U435" i="8" s="1"/>
  <c r="W435" i="8" s="1"/>
  <c r="Y435" i="8" s="1"/>
  <c r="U436" i="8" s="1"/>
  <c r="W436" i="8" s="1"/>
  <c r="Y436" i="8" s="1"/>
  <c r="U437" i="8" s="1"/>
  <c r="W437" i="8" s="1"/>
  <c r="Y437" i="8" s="1"/>
  <c r="W318" i="8"/>
  <c r="Y318" i="8" s="1"/>
  <c r="W319" i="8" s="1"/>
  <c r="Y319" i="8" s="1"/>
  <c r="U320" i="8" s="1"/>
  <c r="W320" i="8" s="1"/>
  <c r="Y320" i="8" s="1"/>
  <c r="U321" i="8" s="1"/>
  <c r="W321" i="8" s="1"/>
  <c r="Y321" i="8" s="1"/>
  <c r="U322" i="8" s="1"/>
  <c r="W322" i="8" s="1"/>
  <c r="Y322" i="8" s="1"/>
  <c r="U323" i="8" s="1"/>
  <c r="W323" i="8" s="1"/>
  <c r="Y323" i="8" s="1"/>
  <c r="U324" i="8" s="1"/>
  <c r="W324" i="8" s="1"/>
  <c r="Y324" i="8" s="1"/>
  <c r="U325" i="8" s="1"/>
  <c r="W325" i="8" s="1"/>
  <c r="Y325" i="8" s="1"/>
  <c r="W621" i="8"/>
  <c r="Y621" i="8" s="1"/>
  <c r="W213" i="8"/>
  <c r="Y213" i="8" s="1"/>
  <c r="U226" i="8"/>
  <c r="W226" i="8" s="1"/>
  <c r="Y226" i="8" s="1"/>
  <c r="U418" i="8"/>
  <c r="W418" i="8" s="1"/>
  <c r="Y418" i="8" s="1"/>
  <c r="U419" i="8" s="1"/>
  <c r="W419" i="8" s="1"/>
  <c r="Y419" i="8" s="1"/>
  <c r="U420" i="8" s="1"/>
  <c r="W420" i="8" s="1"/>
  <c r="Y420" i="8" s="1"/>
  <c r="U421" i="8" s="1"/>
  <c r="W421" i="8" s="1"/>
  <c r="Y421" i="8" s="1"/>
  <c r="U366" i="8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W372" i="8" s="1"/>
  <c r="Y372" i="8" s="1"/>
  <c r="W373" i="8" s="1"/>
  <c r="Y373" i="8" s="1"/>
  <c r="W544" i="8"/>
  <c r="Y544" i="8" s="1"/>
  <c r="W398" i="8"/>
  <c r="Y398" i="8" s="1"/>
  <c r="W478" i="8"/>
  <c r="Y478" i="8" s="1"/>
  <c r="W605" i="8"/>
  <c r="Y605" i="8" s="1"/>
  <c r="W94" i="8"/>
  <c r="Y94" i="8" s="1"/>
  <c r="W640" i="8"/>
  <c r="Y640" i="8" s="1"/>
  <c r="W717" i="8"/>
  <c r="Y717" i="8" s="1"/>
  <c r="U718" i="8" s="1"/>
  <c r="U227" i="8" l="1"/>
  <c r="W227" i="8" s="1"/>
  <c r="Y227" i="8" s="1"/>
  <c r="W545" i="8"/>
  <c r="Y545" i="8" s="1"/>
  <c r="W479" i="8"/>
  <c r="Y479" i="8" s="1"/>
  <c r="W399" i="8"/>
  <c r="Y399" i="8" s="1"/>
  <c r="W95" i="8"/>
  <c r="Y95" i="8" s="1"/>
  <c r="W606" i="8"/>
  <c r="Y606" i="8" s="1"/>
  <c r="W641" i="8"/>
  <c r="Y641" i="8" s="1"/>
  <c r="W718" i="8"/>
  <c r="Y718" i="8" s="1"/>
  <c r="U719" i="8" s="1"/>
  <c r="U228" i="8" l="1"/>
  <c r="W228" i="8" s="1"/>
  <c r="Y228" i="8" s="1"/>
  <c r="W546" i="8"/>
  <c r="Y546" i="8" s="1"/>
  <c r="W480" i="8"/>
  <c r="Y480" i="8" s="1"/>
  <c r="W481" i="8" s="1"/>
  <c r="Y481" i="8" s="1"/>
  <c r="W96" i="8"/>
  <c r="Y96" i="8" s="1"/>
  <c r="U607" i="8"/>
  <c r="W607" i="8" s="1"/>
  <c r="Y607" i="8" s="1"/>
  <c r="W400" i="8"/>
  <c r="Y400" i="8" s="1"/>
  <c r="W642" i="8"/>
  <c r="Y642" i="8" s="1"/>
  <c r="W719" i="8"/>
  <c r="Y719" i="8" s="1"/>
  <c r="U720" i="8" s="1"/>
  <c r="U229" i="8" l="1"/>
  <c r="W229" i="8" s="1"/>
  <c r="Y229" i="8" s="1"/>
  <c r="W547" i="8"/>
  <c r="Y547" i="8" s="1"/>
  <c r="U482" i="8"/>
  <c r="W482" i="8" s="1"/>
  <c r="Y482" i="8" s="1"/>
  <c r="W483" i="8" s="1"/>
  <c r="Y483" i="8" s="1"/>
  <c r="W484" i="8" s="1"/>
  <c r="Y484" i="8" s="1"/>
  <c r="W485" i="8" s="1"/>
  <c r="Y485" i="8" s="1"/>
  <c r="W401" i="8"/>
  <c r="Y401" i="8" s="1"/>
  <c r="W97" i="8"/>
  <c r="Y97" i="8" s="1"/>
  <c r="U608" i="8"/>
  <c r="W608" i="8" s="1"/>
  <c r="Y608" i="8" s="1"/>
  <c r="W643" i="8"/>
  <c r="Y643" i="8" s="1"/>
  <c r="W720" i="8"/>
  <c r="Y720" i="8" s="1"/>
  <c r="U721" i="8" s="1"/>
  <c r="H43" i="1"/>
  <c r="E43" i="1"/>
  <c r="B43" i="1"/>
  <c r="W548" i="8" l="1"/>
  <c r="Y548" i="8" s="1"/>
  <c r="W549" i="8" s="1"/>
  <c r="Y549" i="8" s="1"/>
  <c r="W98" i="8"/>
  <c r="Y98" i="8" s="1"/>
  <c r="U609" i="8"/>
  <c r="W609" i="8" s="1"/>
  <c r="Y609" i="8" s="1"/>
  <c r="W402" i="8"/>
  <c r="Y402" i="8" s="1"/>
  <c r="W644" i="8"/>
  <c r="Y644" i="8" s="1"/>
  <c r="W721" i="8"/>
  <c r="Y721" i="8" s="1"/>
  <c r="U722" i="8" s="1"/>
  <c r="U610" i="8" l="1"/>
  <c r="W610" i="8" s="1"/>
  <c r="Y610" i="8" s="1"/>
  <c r="W403" i="8"/>
  <c r="Y403" i="8" s="1"/>
  <c r="W99" i="8"/>
  <c r="Y99" i="8" s="1"/>
  <c r="W722" i="8"/>
  <c r="Y722" i="8" s="1"/>
  <c r="U723" i="8" s="1"/>
  <c r="W100" i="8" l="1"/>
  <c r="Y100" i="8" s="1"/>
  <c r="W404" i="8"/>
  <c r="Y404" i="8" s="1"/>
  <c r="U611" i="8"/>
  <c r="W611" i="8" s="1"/>
  <c r="Y611" i="8" s="1"/>
  <c r="W723" i="8"/>
  <c r="Y723" i="8" s="1"/>
  <c r="W405" i="8" l="1"/>
  <c r="Y405" i="8" s="1"/>
  <c r="W101" i="8"/>
  <c r="Y101" i="8" s="1"/>
  <c r="U612" i="8"/>
  <c r="W612" i="8" s="1"/>
  <c r="Y612" i="8" s="1"/>
  <c r="K335" i="8" l="1"/>
  <c r="B84" i="1" l="1"/>
  <c r="R562" i="8" l="1"/>
  <c r="W303" i="8" l="1"/>
  <c r="R682" i="8" l="1"/>
  <c r="K111" i="8" l="1"/>
  <c r="B49" i="1" l="1"/>
  <c r="R314" i="8" l="1"/>
  <c r="R315" i="8" s="1"/>
  <c r="R316" i="8" l="1"/>
  <c r="R317" i="8" s="1"/>
  <c r="R318" i="8" s="1"/>
  <c r="R319" i="8" s="1"/>
  <c r="R320" i="8" s="1"/>
  <c r="R321" i="8" s="1"/>
  <c r="R322" i="8" s="1"/>
  <c r="R323" i="8" s="1"/>
  <c r="R324" i="8" s="1"/>
  <c r="R325" i="8" s="1"/>
  <c r="B72" i="1"/>
  <c r="R499" i="8" l="1"/>
  <c r="C498" i="8" s="1"/>
  <c r="G497" i="8"/>
  <c r="K497" i="8" s="1"/>
  <c r="C497" i="8"/>
  <c r="G23" i="1" s="1"/>
  <c r="C496" i="8"/>
  <c r="F23" i="1" s="1"/>
  <c r="K495" i="8"/>
  <c r="J23" i="1" s="1"/>
  <c r="G495" i="8"/>
  <c r="M23" i="1" s="1"/>
  <c r="H489" i="8"/>
  <c r="G489" i="8"/>
  <c r="C546" i="8"/>
  <c r="G545" i="8"/>
  <c r="C545" i="8"/>
  <c r="G30" i="1" s="1"/>
  <c r="C544" i="8"/>
  <c r="F30" i="1" s="1"/>
  <c r="K543" i="8"/>
  <c r="J30" i="1" s="1"/>
  <c r="G543" i="8"/>
  <c r="M30" i="1" s="1"/>
  <c r="H537" i="8"/>
  <c r="G537" i="8"/>
  <c r="U389" i="8"/>
  <c r="W389" i="8" s="1"/>
  <c r="Y389" i="8" s="1"/>
  <c r="R389" i="8"/>
  <c r="R387" i="8"/>
  <c r="G385" i="8"/>
  <c r="C385" i="8"/>
  <c r="G50" i="1" s="1"/>
  <c r="C384" i="8"/>
  <c r="F50" i="1" s="1"/>
  <c r="G383" i="8"/>
  <c r="M50" i="1" s="1"/>
  <c r="W378" i="8"/>
  <c r="Y378" i="8" s="1"/>
  <c r="H377" i="8"/>
  <c r="G377" i="8"/>
  <c r="G273" i="8"/>
  <c r="C273" i="8"/>
  <c r="G58" i="1" s="1"/>
  <c r="C272" i="8"/>
  <c r="F58" i="1" s="1"/>
  <c r="K271" i="8"/>
  <c r="J58" i="1" s="1"/>
  <c r="G271" i="8"/>
  <c r="M58" i="1" s="1"/>
  <c r="W266" i="8"/>
  <c r="Y266" i="8" s="1"/>
  <c r="U267" i="8" s="1"/>
  <c r="W267" i="8" s="1"/>
  <c r="Y267" i="8" s="1"/>
  <c r="U268" i="8" s="1"/>
  <c r="H265" i="8"/>
  <c r="G265" i="8"/>
  <c r="C466" i="8"/>
  <c r="G465" i="8"/>
  <c r="C465" i="8"/>
  <c r="G24" i="1" s="1"/>
  <c r="C464" i="8"/>
  <c r="F24" i="1" s="1"/>
  <c r="K463" i="8"/>
  <c r="J24" i="1" s="1"/>
  <c r="G463" i="8"/>
  <c r="M24" i="1" s="1"/>
  <c r="H457" i="8"/>
  <c r="G457" i="8"/>
  <c r="G129" i="8"/>
  <c r="C129" i="8"/>
  <c r="G17" i="1" s="1"/>
  <c r="C128" i="8"/>
  <c r="K127" i="8"/>
  <c r="J17" i="1" s="1"/>
  <c r="G127" i="8"/>
  <c r="M17" i="1" s="1"/>
  <c r="W122" i="8"/>
  <c r="Y122" i="8" s="1"/>
  <c r="H121" i="8"/>
  <c r="G121" i="8"/>
  <c r="G719" i="8"/>
  <c r="K719" i="8" s="1"/>
  <c r="C719" i="8"/>
  <c r="G83" i="1" s="1"/>
  <c r="C718" i="8"/>
  <c r="F83" i="1" s="1"/>
  <c r="K717" i="8"/>
  <c r="J83" i="1" s="1"/>
  <c r="G717" i="8"/>
  <c r="M83" i="1" s="1"/>
  <c r="C720" i="8"/>
  <c r="H711" i="8"/>
  <c r="G711" i="8"/>
  <c r="G225" i="8"/>
  <c r="O43" i="1" s="1"/>
  <c r="C225" i="8"/>
  <c r="G43" i="1" s="1"/>
  <c r="C224" i="8"/>
  <c r="F43" i="1" s="1"/>
  <c r="K223" i="8"/>
  <c r="G223" i="8"/>
  <c r="M43" i="1" s="1"/>
  <c r="H217" i="8"/>
  <c r="G217" i="8"/>
  <c r="G433" i="8"/>
  <c r="K433" i="8" s="1"/>
  <c r="C433" i="8"/>
  <c r="G65" i="1" s="1"/>
  <c r="C432" i="8"/>
  <c r="K431" i="8"/>
  <c r="J65" i="1" s="1"/>
  <c r="G431" i="8"/>
  <c r="M65" i="1" s="1"/>
  <c r="R427" i="8"/>
  <c r="R428" i="8" s="1"/>
  <c r="R429" i="8" s="1"/>
  <c r="R431" i="8" s="1"/>
  <c r="R432" i="8" s="1"/>
  <c r="R433" i="8" s="1"/>
  <c r="R434" i="8" s="1"/>
  <c r="H425" i="8"/>
  <c r="G425" i="8"/>
  <c r="G369" i="8"/>
  <c r="O49" i="1" s="1"/>
  <c r="C369" i="8"/>
  <c r="G49" i="1" s="1"/>
  <c r="C368" i="8"/>
  <c r="C370" i="8"/>
  <c r="I366" i="8" s="1"/>
  <c r="K367" i="8"/>
  <c r="J49" i="1" s="1"/>
  <c r="G367" i="8"/>
  <c r="M49" i="1" s="1"/>
  <c r="H361" i="8"/>
  <c r="G361" i="8"/>
  <c r="G81" i="8"/>
  <c r="K81" i="8" s="1"/>
  <c r="C81" i="8"/>
  <c r="G14" i="1" s="1"/>
  <c r="C80" i="8"/>
  <c r="R79" i="8"/>
  <c r="C82" i="8" s="1"/>
  <c r="J14" i="1"/>
  <c r="G79" i="8"/>
  <c r="M14" i="1" s="1"/>
  <c r="H73" i="8"/>
  <c r="G73" i="8"/>
  <c r="G656" i="8"/>
  <c r="C656" i="8"/>
  <c r="G91" i="1" s="1"/>
  <c r="C655" i="8"/>
  <c r="J91" i="1"/>
  <c r="G654" i="8"/>
  <c r="M91" i="1" s="1"/>
  <c r="C657" i="8"/>
  <c r="H648" i="8"/>
  <c r="G648" i="8"/>
  <c r="G353" i="8"/>
  <c r="K353" i="8" s="1"/>
  <c r="C353" i="8"/>
  <c r="G48" i="1" s="1"/>
  <c r="C352" i="8"/>
  <c r="F48" i="1" s="1"/>
  <c r="K351" i="8"/>
  <c r="G351" i="8"/>
  <c r="M48" i="1" s="1"/>
  <c r="H345" i="8"/>
  <c r="G345" i="8"/>
  <c r="U802" i="8"/>
  <c r="W802" i="8" s="1"/>
  <c r="Y802" i="8" s="1"/>
  <c r="R801" i="8"/>
  <c r="U799" i="8"/>
  <c r="W799" i="8" s="1"/>
  <c r="Y799" i="8" s="1"/>
  <c r="U800" i="8" s="1"/>
  <c r="W800" i="8" s="1"/>
  <c r="Y800" i="8" s="1"/>
  <c r="U801" i="8" s="1"/>
  <c r="R798" i="8"/>
  <c r="G798" i="8"/>
  <c r="K798" i="8" s="1"/>
  <c r="C798" i="8"/>
  <c r="C797" i="8"/>
  <c r="K796" i="8"/>
  <c r="G796" i="8"/>
  <c r="R793" i="8"/>
  <c r="W791" i="8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H790" i="8"/>
  <c r="G790" i="8"/>
  <c r="U786" i="8"/>
  <c r="W786" i="8" s="1"/>
  <c r="Y786" i="8" s="1"/>
  <c r="R786" i="8"/>
  <c r="R785" i="8"/>
  <c r="R784" i="8"/>
  <c r="U783" i="8"/>
  <c r="W783" i="8" s="1"/>
  <c r="Y783" i="8" s="1"/>
  <c r="U784" i="8" s="1"/>
  <c r="W784" i="8" s="1"/>
  <c r="Y784" i="8" s="1"/>
  <c r="U785" i="8" s="1"/>
  <c r="R783" i="8"/>
  <c r="R782" i="8"/>
  <c r="G782" i="8"/>
  <c r="K782" i="8" s="1"/>
  <c r="C782" i="8"/>
  <c r="R781" i="8"/>
  <c r="C781" i="8"/>
  <c r="R780" i="8"/>
  <c r="K780" i="8"/>
  <c r="G780" i="8"/>
  <c r="R779" i="8"/>
  <c r="K779" i="8"/>
  <c r="R778" i="8"/>
  <c r="W775" i="8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H774" i="8"/>
  <c r="G774" i="8"/>
  <c r="G113" i="8"/>
  <c r="K113" i="8" s="1"/>
  <c r="C113" i="8"/>
  <c r="G63" i="1" s="1"/>
  <c r="C112" i="8"/>
  <c r="F63" i="1" s="1"/>
  <c r="G111" i="8"/>
  <c r="M63" i="1" s="1"/>
  <c r="H105" i="8"/>
  <c r="G105" i="8"/>
  <c r="G209" i="8"/>
  <c r="C209" i="8"/>
  <c r="G41" i="1" s="1"/>
  <c r="C208" i="8"/>
  <c r="F41" i="1" s="1"/>
  <c r="K207" i="8"/>
  <c r="J41" i="1" s="1"/>
  <c r="G207" i="8"/>
  <c r="M41" i="1" s="1"/>
  <c r="H201" i="8"/>
  <c r="G201" i="8"/>
  <c r="R771" i="8"/>
  <c r="R770" i="8"/>
  <c r="R769" i="8"/>
  <c r="R768" i="8"/>
  <c r="R767" i="8"/>
  <c r="G767" i="8"/>
  <c r="K767" i="8" s="1"/>
  <c r="C767" i="8"/>
  <c r="R766" i="8"/>
  <c r="C766" i="8"/>
  <c r="R765" i="8"/>
  <c r="K765" i="8"/>
  <c r="G765" i="8"/>
  <c r="R764" i="8"/>
  <c r="K764" i="8"/>
  <c r="R763" i="8"/>
  <c r="W762" i="8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2" i="8"/>
  <c r="W761" i="8"/>
  <c r="Y761" i="8" s="1"/>
  <c r="R761" i="8"/>
  <c r="W760" i="8"/>
  <c r="Y760" i="8" s="1"/>
  <c r="H759" i="8"/>
  <c r="G759" i="8"/>
  <c r="U755" i="8"/>
  <c r="W755" i="8" s="1"/>
  <c r="Y755" i="8" s="1"/>
  <c r="R755" i="8"/>
  <c r="R754" i="8"/>
  <c r="R753" i="8"/>
  <c r="U752" i="8"/>
  <c r="W752" i="8" s="1"/>
  <c r="Y752" i="8" s="1"/>
  <c r="U753" i="8" s="1"/>
  <c r="W753" i="8" s="1"/>
  <c r="Y753" i="8" s="1"/>
  <c r="U754" i="8" s="1"/>
  <c r="R752" i="8"/>
  <c r="R751" i="8"/>
  <c r="G751" i="8"/>
  <c r="K751" i="8" s="1"/>
  <c r="C751" i="8"/>
  <c r="R750" i="8"/>
  <c r="C750" i="8"/>
  <c r="R749" i="8"/>
  <c r="K749" i="8"/>
  <c r="G749" i="8"/>
  <c r="R748" i="8"/>
  <c r="K748" i="8"/>
  <c r="R747" i="8"/>
  <c r="R746" i="8"/>
  <c r="R745" i="8"/>
  <c r="W744" i="8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H743" i="8"/>
  <c r="G743" i="8"/>
  <c r="R736" i="8"/>
  <c r="G735" i="8"/>
  <c r="K735" i="8" s="1"/>
  <c r="C735" i="8"/>
  <c r="C734" i="8"/>
  <c r="R733" i="8"/>
  <c r="K733" i="8"/>
  <c r="G733" i="8"/>
  <c r="R730" i="8"/>
  <c r="R729" i="8"/>
  <c r="W728" i="8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H727" i="8"/>
  <c r="G727" i="8"/>
  <c r="G608" i="8"/>
  <c r="K608" i="8" s="1"/>
  <c r="C608" i="8"/>
  <c r="G40" i="1" s="1"/>
  <c r="C607" i="8"/>
  <c r="F40" i="1" s="1"/>
  <c r="K606" i="8"/>
  <c r="J40" i="1" s="1"/>
  <c r="G606" i="8"/>
  <c r="M40" i="1" s="1"/>
  <c r="H600" i="8"/>
  <c r="G600" i="8"/>
  <c r="G321" i="8"/>
  <c r="K321" i="8" s="1"/>
  <c r="C321" i="8"/>
  <c r="G56" i="1" s="1"/>
  <c r="C320" i="8"/>
  <c r="K319" i="8"/>
  <c r="J56" i="1" s="1"/>
  <c r="G319" i="8"/>
  <c r="M56" i="1" s="1"/>
  <c r="C322" i="8"/>
  <c r="H313" i="8"/>
  <c r="G313" i="8"/>
  <c r="G417" i="8"/>
  <c r="O64" i="1" s="1"/>
  <c r="C417" i="8"/>
  <c r="G64" i="1" s="1"/>
  <c r="C416" i="8"/>
  <c r="K415" i="8"/>
  <c r="J64" i="1" s="1"/>
  <c r="G415" i="8"/>
  <c r="M64" i="1" s="1"/>
  <c r="H409" i="8"/>
  <c r="G409" i="8"/>
  <c r="G88" i="1"/>
  <c r="F88" i="1"/>
  <c r="J88" i="1"/>
  <c r="M88" i="1"/>
  <c r="G529" i="8"/>
  <c r="K529" i="8" s="1"/>
  <c r="C529" i="8"/>
  <c r="G32" i="1" s="1"/>
  <c r="C528" i="8"/>
  <c r="F32" i="1" s="1"/>
  <c r="K527" i="8"/>
  <c r="J32" i="1" s="1"/>
  <c r="G527" i="8"/>
  <c r="M32" i="1" s="1"/>
  <c r="H521" i="8"/>
  <c r="G521" i="8"/>
  <c r="R882" i="8"/>
  <c r="R881" i="8"/>
  <c r="R880" i="8"/>
  <c r="R879" i="8"/>
  <c r="R878" i="8"/>
  <c r="G878" i="8"/>
  <c r="K878" i="8" s="1"/>
  <c r="C878" i="8"/>
  <c r="G84" i="1" s="1"/>
  <c r="R877" i="8"/>
  <c r="C877" i="8"/>
  <c r="F84" i="1" s="1"/>
  <c r="R876" i="8"/>
  <c r="K876" i="8"/>
  <c r="J84" i="1" s="1"/>
  <c r="G876" i="8"/>
  <c r="M84" i="1" s="1"/>
  <c r="R875" i="8"/>
  <c r="R874" i="8"/>
  <c r="R873" i="8"/>
  <c r="R872" i="8"/>
  <c r="W871" i="8"/>
  <c r="Y871" i="8" s="1"/>
  <c r="U872" i="8" s="1"/>
  <c r="W872" i="8" s="1"/>
  <c r="Y872" i="8" s="1"/>
  <c r="U873" i="8" s="1"/>
  <c r="W873" i="8" s="1"/>
  <c r="Y873" i="8" s="1"/>
  <c r="H870" i="8"/>
  <c r="G870" i="8"/>
  <c r="G624" i="8"/>
  <c r="K624" i="8" s="1"/>
  <c r="C624" i="8"/>
  <c r="G80" i="1" s="1"/>
  <c r="C623" i="8"/>
  <c r="F80" i="1" s="1"/>
  <c r="K622" i="8"/>
  <c r="J80" i="1" s="1"/>
  <c r="G622" i="8"/>
  <c r="M80" i="1" s="1"/>
  <c r="H616" i="8"/>
  <c r="G616" i="8"/>
  <c r="C562" i="8"/>
  <c r="I558" i="8" s="1"/>
  <c r="G561" i="8"/>
  <c r="K561" i="8" s="1"/>
  <c r="C561" i="8"/>
  <c r="G33" i="1" s="1"/>
  <c r="C560" i="8"/>
  <c r="F33" i="1" s="1"/>
  <c r="K559" i="8"/>
  <c r="J33" i="1" s="1"/>
  <c r="G559" i="8"/>
  <c r="M33" i="1" s="1"/>
  <c r="H553" i="8"/>
  <c r="G553" i="8"/>
  <c r="R864" i="8"/>
  <c r="R862" i="8"/>
  <c r="G862" i="8"/>
  <c r="K862" i="8" s="1"/>
  <c r="C862" i="8"/>
  <c r="G79" i="1" s="1"/>
  <c r="C861" i="8"/>
  <c r="F79" i="1" s="1"/>
  <c r="R860" i="8"/>
  <c r="K860" i="8"/>
  <c r="J79" i="1" s="1"/>
  <c r="G860" i="8"/>
  <c r="M79" i="1" s="1"/>
  <c r="R856" i="8"/>
  <c r="H854" i="8"/>
  <c r="G854" i="8"/>
  <c r="U850" i="8"/>
  <c r="W850" i="8" s="1"/>
  <c r="Y850" i="8" s="1"/>
  <c r="R850" i="8"/>
  <c r="R849" i="8"/>
  <c r="R848" i="8"/>
  <c r="R847" i="8"/>
  <c r="R846" i="8"/>
  <c r="G846" i="8"/>
  <c r="K846" i="8" s="1"/>
  <c r="C846" i="8"/>
  <c r="R845" i="8"/>
  <c r="C845" i="8"/>
  <c r="R844" i="8"/>
  <c r="G844" i="8"/>
  <c r="R843" i="8"/>
  <c r="K843" i="8"/>
  <c r="K845" i="8" s="1"/>
  <c r="R842" i="8"/>
  <c r="R841" i="8"/>
  <c r="R840" i="8"/>
  <c r="W839" i="8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R839" i="8"/>
  <c r="H838" i="8"/>
  <c r="G838" i="8"/>
  <c r="G830" i="8"/>
  <c r="K830" i="8" s="1"/>
  <c r="C830" i="8"/>
  <c r="G92" i="1" s="1"/>
  <c r="C829" i="8"/>
  <c r="F92" i="1" s="1"/>
  <c r="K828" i="8"/>
  <c r="J92" i="1" s="1"/>
  <c r="G828" i="8"/>
  <c r="M92" i="1" s="1"/>
  <c r="R823" i="8"/>
  <c r="R824" i="8" s="1"/>
  <c r="R825" i="8" s="1"/>
  <c r="H822" i="8"/>
  <c r="G822" i="8"/>
  <c r="R581" i="8"/>
  <c r="R578" i="8"/>
  <c r="R579" i="8" s="1"/>
  <c r="G577" i="8"/>
  <c r="K577" i="8" s="1"/>
  <c r="C577" i="8"/>
  <c r="G67" i="1" s="1"/>
  <c r="R576" i="8"/>
  <c r="C576" i="8"/>
  <c r="F67" i="1" s="1"/>
  <c r="K575" i="8"/>
  <c r="J67" i="1" s="1"/>
  <c r="G575" i="8"/>
  <c r="M67" i="1" s="1"/>
  <c r="R573" i="8"/>
  <c r="H569" i="8"/>
  <c r="G569" i="8"/>
  <c r="U818" i="8"/>
  <c r="W818" i="8" s="1"/>
  <c r="Y818" i="8" s="1"/>
  <c r="R818" i="8"/>
  <c r="R817" i="8"/>
  <c r="R816" i="8"/>
  <c r="U815" i="8"/>
  <c r="W815" i="8" s="1"/>
  <c r="Y815" i="8" s="1"/>
  <c r="U816" i="8" s="1"/>
  <c r="W816" i="8" s="1"/>
  <c r="Y816" i="8" s="1"/>
  <c r="U817" i="8" s="1"/>
  <c r="R815" i="8"/>
  <c r="R814" i="8"/>
  <c r="G814" i="8"/>
  <c r="K814" i="8" s="1"/>
  <c r="C814" i="8"/>
  <c r="R813" i="8"/>
  <c r="C813" i="8"/>
  <c r="R812" i="8"/>
  <c r="K812" i="8"/>
  <c r="G812" i="8"/>
  <c r="R811" i="8"/>
  <c r="R810" i="8"/>
  <c r="R809" i="8"/>
  <c r="R808" i="8"/>
  <c r="W807" i="8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H806" i="8"/>
  <c r="G806" i="8"/>
  <c r="C290" i="8"/>
  <c r="G289" i="8"/>
  <c r="K289" i="8" s="1"/>
  <c r="C289" i="8"/>
  <c r="G55" i="1" s="1"/>
  <c r="C288" i="8"/>
  <c r="J55" i="1"/>
  <c r="G287" i="8"/>
  <c r="M55" i="1" s="1"/>
  <c r="Y282" i="8"/>
  <c r="U283" i="8" s="1"/>
  <c r="W283" i="8" s="1"/>
  <c r="Y283" i="8" s="1"/>
  <c r="U284" i="8" s="1"/>
  <c r="H281" i="8"/>
  <c r="G281" i="8"/>
  <c r="G401" i="8"/>
  <c r="O47" i="1" s="1"/>
  <c r="C401" i="8"/>
  <c r="G47" i="1" s="1"/>
  <c r="C400" i="8"/>
  <c r="F47" i="1" s="1"/>
  <c r="K399" i="8"/>
  <c r="J47" i="1" s="1"/>
  <c r="G399" i="8"/>
  <c r="M47" i="1" s="1"/>
  <c r="H393" i="8"/>
  <c r="G393" i="8"/>
  <c r="G481" i="8"/>
  <c r="C481" i="8"/>
  <c r="G25" i="1" s="1"/>
  <c r="C480" i="8"/>
  <c r="F25" i="1" s="1"/>
  <c r="K479" i="8"/>
  <c r="J25" i="1" s="1"/>
  <c r="G479" i="8"/>
  <c r="M25" i="1" s="1"/>
  <c r="H473" i="8"/>
  <c r="G473" i="8"/>
  <c r="G337" i="8"/>
  <c r="K337" i="8" s="1"/>
  <c r="C337" i="8"/>
  <c r="G51" i="1" s="1"/>
  <c r="C336" i="8"/>
  <c r="F51" i="1" s="1"/>
  <c r="J51" i="1"/>
  <c r="G335" i="8"/>
  <c r="M51" i="1" s="1"/>
  <c r="H329" i="8"/>
  <c r="G329" i="8"/>
  <c r="G640" i="8"/>
  <c r="K640" i="8" s="1"/>
  <c r="C640" i="8"/>
  <c r="G42" i="1" s="1"/>
  <c r="C639" i="8"/>
  <c r="F42" i="1" s="1"/>
  <c r="K638" i="8"/>
  <c r="J42" i="1" s="1"/>
  <c r="G638" i="8"/>
  <c r="M42" i="1" s="1"/>
  <c r="H632" i="8"/>
  <c r="G632" i="8"/>
  <c r="G89" i="1"/>
  <c r="F89" i="1"/>
  <c r="J89" i="1"/>
  <c r="M89" i="1"/>
  <c r="G97" i="8"/>
  <c r="K97" i="8" s="1"/>
  <c r="C97" i="8"/>
  <c r="G62" i="1" s="1"/>
  <c r="C96" i="8"/>
  <c r="K95" i="8"/>
  <c r="J62" i="1" s="1"/>
  <c r="G95" i="8"/>
  <c r="M62" i="1" s="1"/>
  <c r="H89" i="8"/>
  <c r="G89" i="8"/>
  <c r="G241" i="8"/>
  <c r="K241" i="8" s="1"/>
  <c r="C241" i="8"/>
  <c r="G66" i="1" s="1"/>
  <c r="C240" i="8"/>
  <c r="F66" i="1" s="1"/>
  <c r="K239" i="8"/>
  <c r="J66" i="1" s="1"/>
  <c r="G239" i="8"/>
  <c r="M66" i="1" s="1"/>
  <c r="Y234" i="8"/>
  <c r="U235" i="8" s="1"/>
  <c r="H233" i="8"/>
  <c r="G233" i="8"/>
  <c r="C514" i="8"/>
  <c r="G513" i="8"/>
  <c r="K513" i="8" s="1"/>
  <c r="C513" i="8"/>
  <c r="G31" i="1" s="1"/>
  <c r="C512" i="8"/>
  <c r="F31" i="1" s="1"/>
  <c r="K511" i="8"/>
  <c r="J31" i="1" s="1"/>
  <c r="G511" i="8"/>
  <c r="M31" i="1" s="1"/>
  <c r="W506" i="8"/>
  <c r="Y506" i="8" s="1"/>
  <c r="U507" i="8" s="1"/>
  <c r="H505" i="8"/>
  <c r="G505" i="8"/>
  <c r="G193" i="8"/>
  <c r="K193" i="8" s="1"/>
  <c r="C193" i="8"/>
  <c r="G37" i="1" s="1"/>
  <c r="C192" i="8"/>
  <c r="F37" i="1" s="1"/>
  <c r="K191" i="8"/>
  <c r="J37" i="1" s="1"/>
  <c r="G191" i="8"/>
  <c r="M37" i="1" s="1"/>
  <c r="W186" i="8"/>
  <c r="Y186" i="8" s="1"/>
  <c r="U187" i="8" s="1"/>
  <c r="H185" i="8"/>
  <c r="G185" i="8"/>
  <c r="R452" i="8"/>
  <c r="R453" i="8" s="1"/>
  <c r="G449" i="8"/>
  <c r="K449" i="8" s="1"/>
  <c r="C449" i="8"/>
  <c r="G26" i="1" s="1"/>
  <c r="C448" i="8"/>
  <c r="F26" i="1" s="1"/>
  <c r="K447" i="8"/>
  <c r="J26" i="1" s="1"/>
  <c r="G447" i="8"/>
  <c r="M26" i="1" s="1"/>
  <c r="R443" i="8"/>
  <c r="W442" i="8"/>
  <c r="Y442" i="8" s="1"/>
  <c r="U443" i="8" s="1"/>
  <c r="W443" i="8" s="1"/>
  <c r="Y443" i="8" s="1"/>
  <c r="H441" i="8"/>
  <c r="G441" i="8"/>
  <c r="G305" i="8"/>
  <c r="K305" i="8" s="1"/>
  <c r="C305" i="8"/>
  <c r="G57" i="1" s="1"/>
  <c r="C304" i="8"/>
  <c r="F57" i="1" s="1"/>
  <c r="K303" i="8"/>
  <c r="J57" i="1" s="1"/>
  <c r="G303" i="8"/>
  <c r="M57" i="1" s="1"/>
  <c r="W298" i="8"/>
  <c r="Y298" i="8" s="1"/>
  <c r="U299" i="8" s="1"/>
  <c r="W299" i="8" s="1"/>
  <c r="Y299" i="8" s="1"/>
  <c r="U300" i="8" s="1"/>
  <c r="W300" i="8" s="1"/>
  <c r="Y300" i="8" s="1"/>
  <c r="R298" i="8"/>
  <c r="R299" i="8" s="1"/>
  <c r="R300" i="8" s="1"/>
  <c r="R301" i="8" s="1"/>
  <c r="R302" i="8" s="1"/>
  <c r="R303" i="8" s="1"/>
  <c r="R304" i="8" s="1"/>
  <c r="R305" i="8" s="1"/>
  <c r="R306" i="8" s="1"/>
  <c r="R307" i="8" s="1"/>
  <c r="R308" i="8" s="1"/>
  <c r="R309" i="8" s="1"/>
  <c r="H297" i="8"/>
  <c r="G297" i="8"/>
  <c r="G86" i="1"/>
  <c r="F86" i="1"/>
  <c r="J86" i="1"/>
  <c r="M86" i="1"/>
  <c r="G257" i="8"/>
  <c r="O44" i="1" s="1"/>
  <c r="C257" i="8"/>
  <c r="G44" i="1" s="1"/>
  <c r="C258" i="8"/>
  <c r="C256" i="8"/>
  <c r="F44" i="1" s="1"/>
  <c r="K255" i="8"/>
  <c r="J44" i="1" s="1"/>
  <c r="G255" i="8"/>
  <c r="M44" i="1" s="1"/>
  <c r="Y250" i="8"/>
  <c r="U251" i="8" s="1"/>
  <c r="H249" i="8"/>
  <c r="G249" i="8"/>
  <c r="R708" i="8"/>
  <c r="C705" i="8" s="1"/>
  <c r="G704" i="8"/>
  <c r="K704" i="8" s="1"/>
  <c r="C704" i="8"/>
  <c r="G85" i="1" s="1"/>
  <c r="C703" i="8"/>
  <c r="F85" i="1" s="1"/>
  <c r="K702" i="8"/>
  <c r="J85" i="1" s="1"/>
  <c r="G702" i="8"/>
  <c r="M85" i="1" s="1"/>
  <c r="H696" i="8"/>
  <c r="G696" i="8"/>
  <c r="G688" i="8"/>
  <c r="K688" i="8" s="1"/>
  <c r="C688" i="8"/>
  <c r="G87" i="1" s="1"/>
  <c r="C687" i="8"/>
  <c r="F87" i="1" s="1"/>
  <c r="K686" i="8"/>
  <c r="J87" i="1" s="1"/>
  <c r="G686" i="8"/>
  <c r="M87" i="1" s="1"/>
  <c r="R684" i="8"/>
  <c r="R685" i="8" s="1"/>
  <c r="R686" i="8" s="1"/>
  <c r="W682" i="8"/>
  <c r="Y682" i="8" s="1"/>
  <c r="W683" i="8" s="1"/>
  <c r="Y683" i="8" s="1"/>
  <c r="W684" i="8" s="1"/>
  <c r="Y684" i="8" s="1"/>
  <c r="W685" i="8" s="1"/>
  <c r="Y685" i="8" s="1"/>
  <c r="H680" i="8"/>
  <c r="G680" i="8"/>
  <c r="C673" i="8"/>
  <c r="G672" i="8"/>
  <c r="K672" i="8" s="1"/>
  <c r="C672" i="8"/>
  <c r="G82" i="1" s="1"/>
  <c r="C671" i="8"/>
  <c r="K670" i="8"/>
  <c r="J82" i="1" s="1"/>
  <c r="G670" i="8"/>
  <c r="M82" i="1" s="1"/>
  <c r="H664" i="8"/>
  <c r="G664" i="8"/>
  <c r="G177" i="8"/>
  <c r="K177" i="8" s="1"/>
  <c r="C177" i="8"/>
  <c r="G68" i="1" s="1"/>
  <c r="C176" i="8"/>
  <c r="K175" i="8"/>
  <c r="J68" i="1" s="1"/>
  <c r="G175" i="8"/>
  <c r="M68" i="1" s="1"/>
  <c r="H169" i="8"/>
  <c r="G169" i="8"/>
  <c r="C162" i="8"/>
  <c r="I158" i="8" s="1"/>
  <c r="G161" i="8"/>
  <c r="K161" i="8" s="1"/>
  <c r="C161" i="8"/>
  <c r="G39" i="1" s="1"/>
  <c r="C160" i="8"/>
  <c r="K159" i="8"/>
  <c r="J39" i="1" s="1"/>
  <c r="G159" i="8"/>
  <c r="M39" i="1" s="1"/>
  <c r="H153" i="8"/>
  <c r="G153" i="8"/>
  <c r="G145" i="8"/>
  <c r="K145" i="8" s="1"/>
  <c r="C145" i="8"/>
  <c r="G38" i="1" s="1"/>
  <c r="C144" i="8"/>
  <c r="K143" i="8"/>
  <c r="J38" i="1" s="1"/>
  <c r="G143" i="8"/>
  <c r="M38" i="1" s="1"/>
  <c r="W138" i="8"/>
  <c r="Y138" i="8" s="1"/>
  <c r="U139" i="8" s="1"/>
  <c r="H137" i="8"/>
  <c r="G137" i="8"/>
  <c r="R52" i="8"/>
  <c r="R51" i="8"/>
  <c r="R49" i="8"/>
  <c r="R48" i="8"/>
  <c r="G48" i="8"/>
  <c r="K48" i="8" s="1"/>
  <c r="C48" i="8"/>
  <c r="G19" i="1" s="1"/>
  <c r="R47" i="8"/>
  <c r="C47" i="8"/>
  <c r="F19" i="1" s="1"/>
  <c r="K46" i="8"/>
  <c r="J19" i="1" s="1"/>
  <c r="G46" i="8"/>
  <c r="M19" i="1" s="1"/>
  <c r="R45" i="8"/>
  <c r="R44" i="8"/>
  <c r="R43" i="8"/>
  <c r="W41" i="8"/>
  <c r="Y41" i="8" s="1"/>
  <c r="U42" i="8" s="1"/>
  <c r="H40" i="8"/>
  <c r="G40" i="8"/>
  <c r="G65" i="8"/>
  <c r="K65" i="8" s="1"/>
  <c r="C65" i="8"/>
  <c r="G15" i="1" s="1"/>
  <c r="C64" i="8"/>
  <c r="F15" i="1" s="1"/>
  <c r="K63" i="8"/>
  <c r="J15" i="1" s="1"/>
  <c r="G63" i="8"/>
  <c r="M15" i="1" s="1"/>
  <c r="W58" i="8"/>
  <c r="Y58" i="8" s="1"/>
  <c r="U59" i="8" s="1"/>
  <c r="H57" i="8"/>
  <c r="G57" i="8"/>
  <c r="G593" i="8"/>
  <c r="K593" i="8" s="1"/>
  <c r="C593" i="8"/>
  <c r="G72" i="1" s="1"/>
  <c r="C592" i="8"/>
  <c r="F72" i="1" s="1"/>
  <c r="J72" i="1"/>
  <c r="G591" i="8"/>
  <c r="M72" i="1" s="1"/>
  <c r="C594" i="8"/>
  <c r="H585" i="8"/>
  <c r="G585" i="8"/>
  <c r="O18" i="1"/>
  <c r="G18" i="1"/>
  <c r="F18" i="1"/>
  <c r="M18" i="1"/>
  <c r="G16" i="1"/>
  <c r="F16" i="1"/>
  <c r="P16" i="1"/>
  <c r="H83" i="1"/>
  <c r="E83" i="1"/>
  <c r="B83" i="1"/>
  <c r="H64" i="1"/>
  <c r="E64" i="1"/>
  <c r="B64" i="1"/>
  <c r="H85" i="1"/>
  <c r="E85" i="1"/>
  <c r="B85" i="1"/>
  <c r="H92" i="1"/>
  <c r="E92" i="1"/>
  <c r="J63" i="1"/>
  <c r="H63" i="1"/>
  <c r="E63" i="1"/>
  <c r="B63" i="1"/>
  <c r="H62" i="1"/>
  <c r="E62" i="1"/>
  <c r="H33" i="1"/>
  <c r="E33" i="1"/>
  <c r="B33" i="1"/>
  <c r="H56" i="1"/>
  <c r="E56" i="1"/>
  <c r="H49" i="1"/>
  <c r="E49" i="1"/>
  <c r="H66" i="1"/>
  <c r="E66" i="1"/>
  <c r="H86" i="1"/>
  <c r="E86" i="1"/>
  <c r="E25" i="1"/>
  <c r="B25" i="1"/>
  <c r="H42" i="1"/>
  <c r="E42" i="1"/>
  <c r="H47" i="1"/>
  <c r="E47" i="1"/>
  <c r="H80" i="1"/>
  <c r="E80" i="1"/>
  <c r="H55" i="1"/>
  <c r="E55" i="1"/>
  <c r="B55" i="1"/>
  <c r="H89" i="1"/>
  <c r="E89" i="1"/>
  <c r="H67" i="1"/>
  <c r="E67" i="1"/>
  <c r="B67" i="1"/>
  <c r="H51" i="1"/>
  <c r="E51" i="1"/>
  <c r="B51" i="1"/>
  <c r="H48" i="1"/>
  <c r="E48" i="1"/>
  <c r="B48" i="1"/>
  <c r="H88" i="1"/>
  <c r="E88" i="1"/>
  <c r="H84" i="1"/>
  <c r="E84" i="1"/>
  <c r="H44" i="1"/>
  <c r="E44" i="1"/>
  <c r="B44" i="1"/>
  <c r="H31" i="1"/>
  <c r="E31" i="1"/>
  <c r="H82" i="1"/>
  <c r="E82" i="1"/>
  <c r="H91" i="1"/>
  <c r="E91" i="1"/>
  <c r="B91" i="1"/>
  <c r="H57" i="1"/>
  <c r="E57" i="1"/>
  <c r="H68" i="1"/>
  <c r="E68" i="1"/>
  <c r="H65" i="1"/>
  <c r="E65" i="1"/>
  <c r="B65" i="1"/>
  <c r="H40" i="1"/>
  <c r="E40" i="1"/>
  <c r="H39" i="1"/>
  <c r="E39" i="1"/>
  <c r="H38" i="1"/>
  <c r="E38" i="1"/>
  <c r="B38" i="1"/>
  <c r="H37" i="1"/>
  <c r="E37" i="1"/>
  <c r="H30" i="1"/>
  <c r="E30" i="1"/>
  <c r="B30" i="1"/>
  <c r="H50" i="1"/>
  <c r="E50" i="1"/>
  <c r="B50" i="1"/>
  <c r="H58" i="1"/>
  <c r="E58" i="1"/>
  <c r="B58" i="1"/>
  <c r="H24" i="1"/>
  <c r="E24" i="1"/>
  <c r="B24" i="1"/>
  <c r="H23" i="1"/>
  <c r="E23" i="1"/>
  <c r="B23" i="1"/>
  <c r="H79" i="1"/>
  <c r="E79" i="1"/>
  <c r="B79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87" i="1"/>
  <c r="E87" i="1"/>
  <c r="B87" i="1"/>
  <c r="H14" i="1"/>
  <c r="E14" i="1"/>
  <c r="B14" i="1"/>
  <c r="H72" i="1"/>
  <c r="E72" i="1"/>
  <c r="O16" i="1"/>
  <c r="M16" i="1"/>
  <c r="L16" i="1"/>
  <c r="I16" i="1"/>
  <c r="H16" i="1"/>
  <c r="H15" i="1"/>
  <c r="E15" i="1"/>
  <c r="E11" i="1"/>
  <c r="D5" i="1"/>
  <c r="D4" i="1"/>
  <c r="P1" i="1"/>
  <c r="N1" i="1"/>
  <c r="E94" i="1" s="1"/>
  <c r="F65" i="1" l="1"/>
  <c r="U301" i="8"/>
  <c r="W301" i="8" s="1"/>
  <c r="Y301" i="8" s="1"/>
  <c r="U123" i="8"/>
  <c r="W123" i="8" s="1"/>
  <c r="Y123" i="8" s="1"/>
  <c r="I254" i="8"/>
  <c r="K254" i="8" s="1"/>
  <c r="K256" i="8" s="1"/>
  <c r="E45" i="1"/>
  <c r="I590" i="8"/>
  <c r="I72" i="1" s="1"/>
  <c r="I716" i="8"/>
  <c r="K716" i="8" s="1"/>
  <c r="K718" i="8" s="1"/>
  <c r="K83" i="1" s="1"/>
  <c r="F17" i="1"/>
  <c r="E34" i="1"/>
  <c r="E59" i="1"/>
  <c r="F14" i="1"/>
  <c r="I78" i="8"/>
  <c r="K78" i="8" s="1"/>
  <c r="K80" i="8" s="1"/>
  <c r="K82" i="8" s="1"/>
  <c r="K558" i="8"/>
  <c r="K560" i="8" s="1"/>
  <c r="K562" i="8" s="1"/>
  <c r="J27" i="1"/>
  <c r="I318" i="8"/>
  <c r="K318" i="8" s="1"/>
  <c r="K320" i="8" s="1"/>
  <c r="I542" i="8"/>
  <c r="K542" i="8" s="1"/>
  <c r="K544" i="8" s="1"/>
  <c r="E27" i="1"/>
  <c r="W507" i="8"/>
  <c r="Y507" i="8" s="1"/>
  <c r="U508" i="8" s="1"/>
  <c r="W284" i="8"/>
  <c r="Y284" i="8" s="1"/>
  <c r="U285" i="8" s="1"/>
  <c r="F62" i="1"/>
  <c r="K669" i="8"/>
  <c r="K671" i="8" s="1"/>
  <c r="K673" i="8" s="1"/>
  <c r="E73" i="1"/>
  <c r="K366" i="8"/>
  <c r="K368" i="8" s="1"/>
  <c r="F55" i="1"/>
  <c r="K286" i="8"/>
  <c r="K288" i="8" s="1"/>
  <c r="I462" i="8"/>
  <c r="J69" i="1"/>
  <c r="E69" i="1"/>
  <c r="E52" i="1"/>
  <c r="J43" i="1"/>
  <c r="J73" i="1" s="1"/>
  <c r="U1" i="8"/>
  <c r="C736" i="8"/>
  <c r="C306" i="8"/>
  <c r="I302" i="8" s="1"/>
  <c r="K302" i="8" s="1"/>
  <c r="K304" i="8" s="1"/>
  <c r="M74" i="1"/>
  <c r="C799" i="8"/>
  <c r="I494" i="8"/>
  <c r="I23" i="1" s="1"/>
  <c r="C274" i="8"/>
  <c r="I270" i="8" s="1"/>
  <c r="C226" i="8"/>
  <c r="I222" i="8" s="1"/>
  <c r="C49" i="8"/>
  <c r="I45" i="8" s="1"/>
  <c r="C768" i="8"/>
  <c r="I510" i="8"/>
  <c r="K510" i="8" s="1"/>
  <c r="K512" i="8" s="1"/>
  <c r="C847" i="8"/>
  <c r="K158" i="8"/>
  <c r="K160" i="8" s="1"/>
  <c r="K39" i="1" s="1"/>
  <c r="W42" i="8"/>
  <c r="Y42" i="8" s="1"/>
  <c r="U43" i="8" s="1"/>
  <c r="C783" i="8"/>
  <c r="C752" i="8"/>
  <c r="C146" i="8"/>
  <c r="I142" i="8" s="1"/>
  <c r="F82" i="1"/>
  <c r="F39" i="1"/>
  <c r="F64" i="1"/>
  <c r="F49" i="1"/>
  <c r="F91" i="1"/>
  <c r="C863" i="8"/>
  <c r="I859" i="8" s="1"/>
  <c r="K859" i="8" s="1"/>
  <c r="K861" i="8" s="1"/>
  <c r="K79" i="1" s="1"/>
  <c r="U444" i="8"/>
  <c r="W444" i="8" s="1"/>
  <c r="Y444" i="8" s="1"/>
  <c r="K766" i="8"/>
  <c r="C130" i="8"/>
  <c r="W235" i="8"/>
  <c r="Y235" i="8" s="1"/>
  <c r="U236" i="8" s="1"/>
  <c r="N16" i="1"/>
  <c r="W59" i="8"/>
  <c r="Y59" i="8" s="1"/>
  <c r="U60" i="8" s="1"/>
  <c r="W187" i="8"/>
  <c r="Y187" i="8" s="1"/>
  <c r="U188" i="8" s="1"/>
  <c r="C338" i="8"/>
  <c r="I334" i="8" s="1"/>
  <c r="W139" i="8"/>
  <c r="Y139" i="8" s="1"/>
  <c r="U140" i="8" s="1"/>
  <c r="R687" i="8"/>
  <c r="R688" i="8" s="1"/>
  <c r="R689" i="8" s="1"/>
  <c r="R690" i="8" s="1"/>
  <c r="R691" i="8" s="1"/>
  <c r="R692" i="8" s="1"/>
  <c r="C689" i="8" s="1"/>
  <c r="W251" i="8"/>
  <c r="Y251" i="8" s="1"/>
  <c r="U252" i="8" s="1"/>
  <c r="C578" i="8"/>
  <c r="U874" i="8"/>
  <c r="W874" i="8" s="1"/>
  <c r="Y874" i="8" s="1"/>
  <c r="W379" i="8"/>
  <c r="Y379" i="8" s="1"/>
  <c r="C114" i="8"/>
  <c r="I110" i="8" s="1"/>
  <c r="K110" i="8" s="1"/>
  <c r="O67" i="1"/>
  <c r="L89" i="1"/>
  <c r="F68" i="1"/>
  <c r="C178" i="8"/>
  <c r="I174" i="8" s="1"/>
  <c r="Y303" i="8"/>
  <c r="W304" i="8" s="1"/>
  <c r="Y304" i="8" s="1"/>
  <c r="Y305" i="8" s="1"/>
  <c r="C354" i="8"/>
  <c r="I350" i="8" s="1"/>
  <c r="C641" i="8"/>
  <c r="I637" i="8" s="1"/>
  <c r="W686" i="8"/>
  <c r="Y686" i="8" s="1"/>
  <c r="C815" i="8"/>
  <c r="C242" i="8"/>
  <c r="I238" i="8" s="1"/>
  <c r="L88" i="1"/>
  <c r="C879" i="8"/>
  <c r="K875" i="8" s="1"/>
  <c r="K877" i="8" s="1"/>
  <c r="C386" i="8"/>
  <c r="I382" i="8" s="1"/>
  <c r="C831" i="8"/>
  <c r="I827" i="8" s="1"/>
  <c r="C530" i="8"/>
  <c r="O88" i="1"/>
  <c r="P88" i="1"/>
  <c r="O79" i="1"/>
  <c r="O48" i="1"/>
  <c r="C434" i="8"/>
  <c r="I430" i="8" s="1"/>
  <c r="W268" i="8"/>
  <c r="Y268" i="8" s="1"/>
  <c r="C625" i="8"/>
  <c r="I621" i="8" s="1"/>
  <c r="G607" i="8"/>
  <c r="N40" i="1" s="1"/>
  <c r="C450" i="8"/>
  <c r="I446" i="8" s="1"/>
  <c r="C210" i="8"/>
  <c r="I206" i="8" s="1"/>
  <c r="F38" i="1"/>
  <c r="K781" i="8"/>
  <c r="K783" i="8" s="1"/>
  <c r="O40" i="1"/>
  <c r="K701" i="8"/>
  <c r="K703" i="8" s="1"/>
  <c r="K732" i="8"/>
  <c r="K734" i="8" s="1"/>
  <c r="K795" i="8"/>
  <c r="K797" i="8" s="1"/>
  <c r="O63" i="1"/>
  <c r="O56" i="1"/>
  <c r="O55" i="1"/>
  <c r="O33" i="1"/>
  <c r="K209" i="8"/>
  <c r="O41" i="1"/>
  <c r="K225" i="8"/>
  <c r="O58" i="1"/>
  <c r="K273" i="8"/>
  <c r="K545" i="8"/>
  <c r="O30" i="1"/>
  <c r="O39" i="1"/>
  <c r="K465" i="8"/>
  <c r="O24" i="1"/>
  <c r="O32" i="1"/>
  <c r="K129" i="8"/>
  <c r="O17" i="1"/>
  <c r="K481" i="8"/>
  <c r="O25" i="1"/>
  <c r="O87" i="1"/>
  <c r="O23" i="1"/>
  <c r="O38" i="1"/>
  <c r="O84" i="1"/>
  <c r="O85" i="1"/>
  <c r="F56" i="1"/>
  <c r="O31" i="1"/>
  <c r="O19" i="1"/>
  <c r="O42" i="1"/>
  <c r="O80" i="1"/>
  <c r="O68" i="1"/>
  <c r="C418" i="8"/>
  <c r="I414" i="8" s="1"/>
  <c r="K750" i="8"/>
  <c r="K752" i="8" s="1"/>
  <c r="O15" i="1"/>
  <c r="K656" i="8"/>
  <c r="O91" i="1"/>
  <c r="K385" i="8"/>
  <c r="O50" i="1"/>
  <c r="O86" i="1"/>
  <c r="G609" i="8"/>
  <c r="P40" i="1" s="1"/>
  <c r="O92" i="1"/>
  <c r="G526" i="8"/>
  <c r="L32" i="1" s="1"/>
  <c r="O62" i="1"/>
  <c r="O26" i="1"/>
  <c r="O57" i="1"/>
  <c r="O51" i="1"/>
  <c r="K811" i="8"/>
  <c r="K813" i="8" s="1"/>
  <c r="O66" i="1"/>
  <c r="K417" i="8"/>
  <c r="O37" i="1"/>
  <c r="O14" i="1"/>
  <c r="J48" i="1"/>
  <c r="J52" i="1" s="1"/>
  <c r="K369" i="8"/>
  <c r="K401" i="8"/>
  <c r="O82" i="1"/>
  <c r="O83" i="1"/>
  <c r="O65" i="1"/>
  <c r="G764" i="8"/>
  <c r="W770" i="8"/>
  <c r="Y770" i="8" s="1"/>
  <c r="K847" i="8"/>
  <c r="G843" i="8"/>
  <c r="W849" i="8"/>
  <c r="W881" i="8"/>
  <c r="O72" i="1"/>
  <c r="G94" i="8"/>
  <c r="L62" i="1" s="1"/>
  <c r="G779" i="8"/>
  <c r="W785" i="8"/>
  <c r="G334" i="8"/>
  <c r="L51" i="1" s="1"/>
  <c r="K257" i="8"/>
  <c r="Y732" i="8"/>
  <c r="G206" i="8"/>
  <c r="L41" i="1" s="1"/>
  <c r="O89" i="1"/>
  <c r="P89" i="1"/>
  <c r="N89" i="1"/>
  <c r="G811" i="8"/>
  <c r="W817" i="8"/>
  <c r="G574" i="8"/>
  <c r="L67" i="1" s="1"/>
  <c r="G605" i="8"/>
  <c r="L40" i="1" s="1"/>
  <c r="N88" i="1"/>
  <c r="G494" i="8"/>
  <c r="L23" i="1" s="1"/>
  <c r="W754" i="8"/>
  <c r="G748" i="8"/>
  <c r="G795" i="8"/>
  <c r="W801" i="8"/>
  <c r="G350" i="8"/>
  <c r="L48" i="1" s="1"/>
  <c r="G222" i="8"/>
  <c r="L43" i="1" s="1"/>
  <c r="G110" i="8"/>
  <c r="L63" i="1" s="1"/>
  <c r="W388" i="8"/>
  <c r="G382" i="8"/>
  <c r="L50" i="1" s="1"/>
  <c r="U302" i="8" l="1"/>
  <c r="W302" i="8" s="1"/>
  <c r="Y302" i="8" s="1"/>
  <c r="K370" i="8"/>
  <c r="U124" i="8"/>
  <c r="W124" i="8" s="1"/>
  <c r="Y124" i="8" s="1"/>
  <c r="I574" i="8"/>
  <c r="K574" i="8" s="1"/>
  <c r="K576" i="8" s="1"/>
  <c r="I43" i="1"/>
  <c r="K258" i="8"/>
  <c r="K126" i="8"/>
  <c r="K128" i="8" s="1"/>
  <c r="Y306" i="8"/>
  <c r="K446" i="8"/>
  <c r="K448" i="8" s="1"/>
  <c r="K322" i="8"/>
  <c r="Q56" i="1" s="1"/>
  <c r="W508" i="8"/>
  <c r="Y508" i="8" s="1"/>
  <c r="U509" i="8" s="1"/>
  <c r="W285" i="8"/>
  <c r="Y285" i="8" s="1"/>
  <c r="U286" i="8" s="1"/>
  <c r="J45" i="1"/>
  <c r="K45" i="8"/>
  <c r="K47" i="8" s="1"/>
  <c r="K49" i="8" s="1"/>
  <c r="I526" i="8"/>
  <c r="K526" i="8" s="1"/>
  <c r="K528" i="8" s="1"/>
  <c r="K382" i="8"/>
  <c r="K384" i="8" s="1"/>
  <c r="K270" i="8"/>
  <c r="K272" i="8" s="1"/>
  <c r="Q18" i="1"/>
  <c r="K55" i="1"/>
  <c r="K290" i="8"/>
  <c r="K621" i="8"/>
  <c r="K623" i="8" s="1"/>
  <c r="K350" i="8"/>
  <c r="K352" i="8" s="1"/>
  <c r="O74" i="1"/>
  <c r="K142" i="8"/>
  <c r="K144" i="8" s="1"/>
  <c r="K146" i="8" s="1"/>
  <c r="C98" i="8"/>
  <c r="I94" i="8" s="1"/>
  <c r="C66" i="8"/>
  <c r="I62" i="8" s="1"/>
  <c r="K653" i="8"/>
  <c r="K655" i="8" s="1"/>
  <c r="K44" i="1"/>
  <c r="W43" i="8"/>
  <c r="Y43" i="8" s="1"/>
  <c r="U44" i="8" s="1"/>
  <c r="C194" i="8"/>
  <c r="I190" i="8" s="1"/>
  <c r="K190" i="8" s="1"/>
  <c r="K192" i="8" s="1"/>
  <c r="K194" i="8" s="1"/>
  <c r="K33" i="1"/>
  <c r="I64" i="1"/>
  <c r="K112" i="8"/>
  <c r="K114" i="8" s="1"/>
  <c r="K637" i="8"/>
  <c r="K639" i="8" s="1"/>
  <c r="K641" i="8" s="1"/>
  <c r="Q42" i="1" s="1"/>
  <c r="I685" i="8"/>
  <c r="I87" i="1" s="1"/>
  <c r="K162" i="8"/>
  <c r="U445" i="8"/>
  <c r="I18" i="1"/>
  <c r="W252" i="8"/>
  <c r="Y252" i="8" s="1"/>
  <c r="U253" i="8" s="1"/>
  <c r="W140" i="8"/>
  <c r="Y140" i="8" s="1"/>
  <c r="U141" i="8" s="1"/>
  <c r="W236" i="8"/>
  <c r="Y236" i="8" s="1"/>
  <c r="U237" i="8" s="1"/>
  <c r="W60" i="8"/>
  <c r="Y60" i="8" s="1"/>
  <c r="U61" i="8" s="1"/>
  <c r="W188" i="8"/>
  <c r="Y188" i="8" s="1"/>
  <c r="U189" i="8" s="1"/>
  <c r="K18" i="1"/>
  <c r="K863" i="8"/>
  <c r="Q79" i="1" s="1"/>
  <c r="I65" i="1"/>
  <c r="K14" i="1"/>
  <c r="Q14" i="1"/>
  <c r="K238" i="8"/>
  <c r="K240" i="8" s="1"/>
  <c r="K334" i="8"/>
  <c r="K336" i="8" s="1"/>
  <c r="I51" i="1"/>
  <c r="I56" i="1"/>
  <c r="U875" i="8"/>
  <c r="W875" i="8" s="1"/>
  <c r="Y875" i="8" s="1"/>
  <c r="W380" i="8"/>
  <c r="Y380" i="8" s="1"/>
  <c r="W687" i="8"/>
  <c r="Y687" i="8" s="1"/>
  <c r="K827" i="8"/>
  <c r="K829" i="8" s="1"/>
  <c r="K174" i="8"/>
  <c r="K176" i="8" s="1"/>
  <c r="K178" i="8" s="1"/>
  <c r="Q68" i="1" s="1"/>
  <c r="G863" i="8"/>
  <c r="P79" i="1" s="1"/>
  <c r="K206" i="8"/>
  <c r="K208" i="8" s="1"/>
  <c r="K210" i="8" s="1"/>
  <c r="I30" i="1"/>
  <c r="I57" i="1"/>
  <c r="I49" i="1"/>
  <c r="I14" i="1"/>
  <c r="I19" i="1"/>
  <c r="K590" i="8"/>
  <c r="K592" i="8" s="1"/>
  <c r="K594" i="8" s="1"/>
  <c r="W269" i="8"/>
  <c r="K494" i="8"/>
  <c r="K496" i="8" s="1"/>
  <c r="I80" i="1"/>
  <c r="I85" i="1"/>
  <c r="I38" i="1"/>
  <c r="I39" i="1"/>
  <c r="I83" i="1"/>
  <c r="I82" i="1"/>
  <c r="I31" i="1"/>
  <c r="I44" i="1"/>
  <c r="I84" i="1"/>
  <c r="K89" i="1"/>
  <c r="I89" i="1"/>
  <c r="I55" i="1"/>
  <c r="I68" i="1"/>
  <c r="I26" i="1"/>
  <c r="I48" i="1"/>
  <c r="I79" i="1"/>
  <c r="I33" i="1"/>
  <c r="I24" i="1"/>
  <c r="K462" i="8"/>
  <c r="K464" i="8" s="1"/>
  <c r="K466" i="8" s="1"/>
  <c r="I63" i="1"/>
  <c r="K414" i="8"/>
  <c r="K416" i="8" s="1"/>
  <c r="K64" i="1" s="1"/>
  <c r="W771" i="8"/>
  <c r="I91" i="1"/>
  <c r="K815" i="8"/>
  <c r="G530" i="8"/>
  <c r="P32" i="1" s="1"/>
  <c r="G528" i="8"/>
  <c r="N32" i="1" s="1"/>
  <c r="K49" i="1"/>
  <c r="I86" i="1"/>
  <c r="Q31" i="1"/>
  <c r="K31" i="1"/>
  <c r="K56" i="1"/>
  <c r="K736" i="8"/>
  <c r="K879" i="8"/>
  <c r="K84" i="1"/>
  <c r="K82" i="1"/>
  <c r="K799" i="8"/>
  <c r="K546" i="8"/>
  <c r="K30" i="1"/>
  <c r="K306" i="8"/>
  <c r="Q57" i="1" s="1"/>
  <c r="K57" i="1"/>
  <c r="Y388" i="8"/>
  <c r="Y801" i="8"/>
  <c r="G799" i="8" s="1"/>
  <c r="G797" i="8"/>
  <c r="G813" i="8"/>
  <c r="Y817" i="8"/>
  <c r="G815" i="8" s="1"/>
  <c r="G208" i="8"/>
  <c r="N41" i="1" s="1"/>
  <c r="G210" i="8"/>
  <c r="P41" i="1" s="1"/>
  <c r="G845" i="8"/>
  <c r="Y849" i="8"/>
  <c r="G847" i="8" s="1"/>
  <c r="G354" i="8"/>
  <c r="P48" i="1" s="1"/>
  <c r="G352" i="8"/>
  <c r="N48" i="1" s="1"/>
  <c r="G498" i="8"/>
  <c r="P23" i="1" s="1"/>
  <c r="G496" i="8"/>
  <c r="N23" i="1" s="1"/>
  <c r="G338" i="8"/>
  <c r="P51" i="1" s="1"/>
  <c r="G336" i="8"/>
  <c r="N51" i="1" s="1"/>
  <c r="G781" i="8"/>
  <c r="Y785" i="8"/>
  <c r="G783" i="8" s="1"/>
  <c r="G226" i="8"/>
  <c r="P43" i="1" s="1"/>
  <c r="G224" i="8"/>
  <c r="N43" i="1" s="1"/>
  <c r="G578" i="8"/>
  <c r="P67" i="1" s="1"/>
  <c r="G576" i="8"/>
  <c r="N67" i="1" s="1"/>
  <c r="K705" i="8"/>
  <c r="Q85" i="1" s="1"/>
  <c r="K85" i="1"/>
  <c r="U733" i="8"/>
  <c r="Y754" i="8"/>
  <c r="G752" i="8" s="1"/>
  <c r="G750" i="8"/>
  <c r="Y881" i="8"/>
  <c r="U125" i="8" l="1"/>
  <c r="W125" i="8" s="1"/>
  <c r="Y125" i="8" s="1"/>
  <c r="U126" i="8" s="1"/>
  <c r="I67" i="1"/>
  <c r="K67" i="1"/>
  <c r="K578" i="8"/>
  <c r="Q67" i="1" s="1"/>
  <c r="R67" i="1" s="1"/>
  <c r="K222" i="8"/>
  <c r="K224" i="8" s="1"/>
  <c r="K43" i="1" s="1"/>
  <c r="I17" i="1"/>
  <c r="K17" i="1"/>
  <c r="K130" i="8"/>
  <c r="Q17" i="1" s="1"/>
  <c r="W307" i="8"/>
  <c r="Y307" i="8" s="1"/>
  <c r="K450" i="8"/>
  <c r="K26" i="1"/>
  <c r="K50" i="1"/>
  <c r="K386" i="8"/>
  <c r="Q50" i="1" s="1"/>
  <c r="W286" i="8"/>
  <c r="Y286" i="8" s="1"/>
  <c r="I62" i="1"/>
  <c r="Q30" i="1"/>
  <c r="Q19" i="1"/>
  <c r="K19" i="1"/>
  <c r="K86" i="1"/>
  <c r="I32" i="1"/>
  <c r="Q37" i="1"/>
  <c r="K530" i="8"/>
  <c r="K32" i="1"/>
  <c r="I50" i="1"/>
  <c r="W44" i="8"/>
  <c r="Y44" i="8" s="1"/>
  <c r="U45" i="8" s="1"/>
  <c r="K63" i="1"/>
  <c r="Q82" i="1"/>
  <c r="K274" i="8"/>
  <c r="Q58" i="1" s="1"/>
  <c r="K58" i="1"/>
  <c r="I58" i="1"/>
  <c r="Q44" i="1"/>
  <c r="I15" i="1"/>
  <c r="K80" i="1"/>
  <c r="Q80" i="1"/>
  <c r="S14" i="1"/>
  <c r="K48" i="1"/>
  <c r="K354" i="8"/>
  <c r="Q48" i="1" s="1"/>
  <c r="Q55" i="1"/>
  <c r="K38" i="1"/>
  <c r="C482" i="8"/>
  <c r="K91" i="1"/>
  <c r="K657" i="8"/>
  <c r="Q91" i="1" s="1"/>
  <c r="S91" i="1" s="1"/>
  <c r="C609" i="8"/>
  <c r="I605" i="8" s="1"/>
  <c r="K24" i="1"/>
  <c r="Q49" i="1"/>
  <c r="K37" i="1"/>
  <c r="I37" i="1"/>
  <c r="Q83" i="1"/>
  <c r="K72" i="1"/>
  <c r="W445" i="8"/>
  <c r="Q11" i="1"/>
  <c r="S11" i="1"/>
  <c r="R79" i="1"/>
  <c r="I42" i="1"/>
  <c r="K685" i="8"/>
  <c r="K687" i="8" s="1"/>
  <c r="K87" i="1" s="1"/>
  <c r="D7" i="1"/>
  <c r="W189" i="8"/>
  <c r="Y189" i="8" s="1"/>
  <c r="U190" i="8" s="1"/>
  <c r="W61" i="8"/>
  <c r="Y61" i="8" s="1"/>
  <c r="U62" i="8" s="1"/>
  <c r="W62" i="8" s="1"/>
  <c r="W253" i="8"/>
  <c r="Y253" i="8" s="1"/>
  <c r="U254" i="8" s="1"/>
  <c r="W237" i="8"/>
  <c r="Y237" i="8" s="1"/>
  <c r="U238" i="8" s="1"/>
  <c r="W141" i="8"/>
  <c r="Y141" i="8" s="1"/>
  <c r="U142" i="8" s="1"/>
  <c r="Y771" i="8"/>
  <c r="G768" i="8" s="1"/>
  <c r="G766" i="8"/>
  <c r="K430" i="8"/>
  <c r="K432" i="8" s="1"/>
  <c r="K434" i="8" s="1"/>
  <c r="Q86" i="1"/>
  <c r="I66" i="1"/>
  <c r="K338" i="8"/>
  <c r="K51" i="1"/>
  <c r="K242" i="8"/>
  <c r="K66" i="1"/>
  <c r="G859" i="8"/>
  <c r="L79" i="1" s="1"/>
  <c r="I88" i="1"/>
  <c r="K88" i="1"/>
  <c r="Q88" i="1"/>
  <c r="G861" i="8"/>
  <c r="N79" i="1" s="1"/>
  <c r="W688" i="8"/>
  <c r="Y688" i="8" s="1"/>
  <c r="U876" i="8"/>
  <c r="W876" i="8" s="1"/>
  <c r="Y876" i="8" s="1"/>
  <c r="W381" i="8"/>
  <c r="Y381" i="8" s="1"/>
  <c r="K68" i="1"/>
  <c r="K92" i="1"/>
  <c r="Q92" i="1"/>
  <c r="I92" i="1"/>
  <c r="Q38" i="1"/>
  <c r="Q39" i="1"/>
  <c r="Q84" i="1"/>
  <c r="K23" i="1"/>
  <c r="I41" i="1"/>
  <c r="K41" i="1"/>
  <c r="Q41" i="1"/>
  <c r="W733" i="8"/>
  <c r="Y269" i="8"/>
  <c r="Q89" i="1"/>
  <c r="K418" i="8"/>
  <c r="W882" i="8"/>
  <c r="Y882" i="8" s="1"/>
  <c r="Q33" i="1"/>
  <c r="K42" i="1"/>
  <c r="W126" i="8" l="1"/>
  <c r="Y126" i="8" s="1"/>
  <c r="W127" i="8" s="1"/>
  <c r="Y127" i="8" s="1"/>
  <c r="U128" i="8" s="1"/>
  <c r="W128" i="8" s="1"/>
  <c r="Y128" i="8" s="1"/>
  <c r="U129" i="8" s="1"/>
  <c r="W129" i="8" s="1"/>
  <c r="Y129" i="8" s="1"/>
  <c r="I478" i="8"/>
  <c r="K478" i="8" s="1"/>
  <c r="K480" i="8" s="1"/>
  <c r="W308" i="8"/>
  <c r="Y308" i="8" s="1"/>
  <c r="K226" i="8"/>
  <c r="Q43" i="1" s="1"/>
  <c r="Q59" i="1"/>
  <c r="Q32" i="1"/>
  <c r="Q34" i="1" s="1"/>
  <c r="Q26" i="1"/>
  <c r="S26" i="1" s="1"/>
  <c r="W287" i="8"/>
  <c r="Y287" i="8" s="1"/>
  <c r="W509" i="8"/>
  <c r="Y509" i="8" s="1"/>
  <c r="U510" i="8" s="1"/>
  <c r="Q51" i="1"/>
  <c r="R51" i="1" s="1"/>
  <c r="R52" i="1" s="1"/>
  <c r="K94" i="8"/>
  <c r="K96" i="8" s="1"/>
  <c r="K98" i="8" s="1"/>
  <c r="Q62" i="1" s="1"/>
  <c r="S30" i="1"/>
  <c r="Q66" i="1"/>
  <c r="Q23" i="1"/>
  <c r="D48" i="1"/>
  <c r="W45" i="8"/>
  <c r="Y45" i="8" s="1"/>
  <c r="I40" i="1"/>
  <c r="K62" i="8"/>
  <c r="K64" i="8" s="1"/>
  <c r="K66" i="8" s="1"/>
  <c r="Q15" i="1" s="1"/>
  <c r="Q63" i="1"/>
  <c r="Q24" i="1"/>
  <c r="G705" i="8"/>
  <c r="P85" i="1" s="1"/>
  <c r="C402" i="8"/>
  <c r="I398" i="8" s="1"/>
  <c r="Q64" i="1"/>
  <c r="K605" i="8"/>
  <c r="K607" i="8" s="1"/>
  <c r="K609" i="8" s="1"/>
  <c r="Q72" i="1"/>
  <c r="Y445" i="8"/>
  <c r="U446" i="8" s="1"/>
  <c r="K689" i="8"/>
  <c r="Q87" i="1" s="1"/>
  <c r="S87" i="1" s="1"/>
  <c r="Y62" i="8"/>
  <c r="G78" i="8"/>
  <c r="L14" i="1" s="1"/>
  <c r="G96" i="8"/>
  <c r="N62" i="1" s="1"/>
  <c r="W142" i="8"/>
  <c r="Y142" i="8" s="1"/>
  <c r="W238" i="8"/>
  <c r="Y238" i="8" s="1"/>
  <c r="W254" i="8"/>
  <c r="Y254" i="8" s="1"/>
  <c r="W190" i="8"/>
  <c r="Y190" i="8" s="1"/>
  <c r="G114" i="8"/>
  <c r="P63" i="1" s="1"/>
  <c r="G112" i="8"/>
  <c r="N63" i="1" s="1"/>
  <c r="W309" i="8"/>
  <c r="G302" i="8"/>
  <c r="L57" i="1" s="1"/>
  <c r="K65" i="1"/>
  <c r="Q65" i="1"/>
  <c r="S65" i="1" s="1"/>
  <c r="G462" i="8"/>
  <c r="L24" i="1" s="1"/>
  <c r="D92" i="1"/>
  <c r="U877" i="8"/>
  <c r="W877" i="8" s="1"/>
  <c r="Y877" i="8" s="1"/>
  <c r="U878" i="8" s="1"/>
  <c r="W382" i="8"/>
  <c r="Y382" i="8" s="1"/>
  <c r="Y733" i="8"/>
  <c r="U270" i="8"/>
  <c r="S43" i="1" l="1"/>
  <c r="S73" i="1" s="1"/>
  <c r="W41" i="1"/>
  <c r="I25" i="1"/>
  <c r="E107" i="1"/>
  <c r="W44" i="1"/>
  <c r="K482" i="8"/>
  <c r="Q25" i="1" s="1"/>
  <c r="Q27" i="1" s="1"/>
  <c r="K25" i="1"/>
  <c r="Q69" i="1"/>
  <c r="U130" i="8"/>
  <c r="W130" i="8" s="1"/>
  <c r="Y130" i="8" s="1"/>
  <c r="U131" i="8" s="1"/>
  <c r="W131" i="8" s="1"/>
  <c r="W288" i="8"/>
  <c r="Y288" i="8" s="1"/>
  <c r="K62" i="1"/>
  <c r="K398" i="8"/>
  <c r="K400" i="8" s="1"/>
  <c r="K47" i="1" s="1"/>
  <c r="S23" i="1"/>
  <c r="S27" i="1" s="1"/>
  <c r="W46" i="8"/>
  <c r="Y46" i="8" s="1"/>
  <c r="Q40" i="1"/>
  <c r="Q45" i="1" s="1"/>
  <c r="U47" i="1" s="1"/>
  <c r="K15" i="1"/>
  <c r="U41" i="1"/>
  <c r="G703" i="8"/>
  <c r="N85" i="1" s="1"/>
  <c r="G701" i="8"/>
  <c r="L85" i="1" s="1"/>
  <c r="K40" i="1"/>
  <c r="W446" i="8"/>
  <c r="G558" i="8"/>
  <c r="L33" i="1" s="1"/>
  <c r="W63" i="8"/>
  <c r="Y63" i="8" s="1"/>
  <c r="W255" i="8"/>
  <c r="Y255" i="8" s="1"/>
  <c r="W239" i="8"/>
  <c r="Y239" i="8" s="1"/>
  <c r="W143" i="8"/>
  <c r="Y143" i="8" s="1"/>
  <c r="Y309" i="8"/>
  <c r="G306" i="8" s="1"/>
  <c r="P57" i="1" s="1"/>
  <c r="G304" i="8"/>
  <c r="N57" i="1" s="1"/>
  <c r="W191" i="8"/>
  <c r="Y191" i="8" s="1"/>
  <c r="G82" i="8"/>
  <c r="P14" i="1" s="1"/>
  <c r="G80" i="8"/>
  <c r="N14" i="1" s="1"/>
  <c r="G562" i="8"/>
  <c r="P33" i="1" s="1"/>
  <c r="G560" i="8"/>
  <c r="N33" i="1" s="1"/>
  <c r="G466" i="8"/>
  <c r="P24" i="1" s="1"/>
  <c r="G464" i="8"/>
  <c r="N24" i="1" s="1"/>
  <c r="W689" i="8"/>
  <c r="W878" i="8"/>
  <c r="W383" i="8"/>
  <c r="Y383" i="8" s="1"/>
  <c r="U734" i="8"/>
  <c r="W270" i="8"/>
  <c r="U72" i="1" l="1"/>
  <c r="Q74" i="1"/>
  <c r="S45" i="1"/>
  <c r="T27" i="1"/>
  <c r="U77" i="1"/>
  <c r="W77" i="1"/>
  <c r="U75" i="1"/>
  <c r="U47" i="8"/>
  <c r="W47" i="8" s="1"/>
  <c r="Y47" i="8" s="1"/>
  <c r="U48" i="8" s="1"/>
  <c r="W48" i="8" s="1"/>
  <c r="Y48" i="8" s="1"/>
  <c r="U49" i="8" s="1"/>
  <c r="W49" i="8" s="1"/>
  <c r="Y49" i="8" s="1"/>
  <c r="U50" i="8" s="1"/>
  <c r="Y131" i="8"/>
  <c r="U132" i="8" s="1"/>
  <c r="E103" i="1"/>
  <c r="W289" i="8"/>
  <c r="Y289" i="8" s="1"/>
  <c r="W290" i="8" s="1"/>
  <c r="Y290" i="8" s="1"/>
  <c r="P6" i="12"/>
  <c r="R6" i="12" s="1"/>
  <c r="E101" i="1"/>
  <c r="I47" i="1"/>
  <c r="K402" i="8"/>
  <c r="Q47" i="1" s="1"/>
  <c r="Q52" i="1" s="1"/>
  <c r="Q73" i="1"/>
  <c r="E106" i="1"/>
  <c r="Y446" i="8"/>
  <c r="U447" i="8" s="1"/>
  <c r="W64" i="8"/>
  <c r="Y64" i="8" s="1"/>
  <c r="W192" i="8"/>
  <c r="Y192" i="8" s="1"/>
  <c r="G478" i="8"/>
  <c r="L25" i="1" s="1"/>
  <c r="W144" i="8"/>
  <c r="Y144" i="8" s="1"/>
  <c r="W240" i="8"/>
  <c r="Y240" i="8" s="1"/>
  <c r="W256" i="8"/>
  <c r="Y256" i="8" s="1"/>
  <c r="Y689" i="8"/>
  <c r="Y878" i="8"/>
  <c r="W384" i="8"/>
  <c r="Y384" i="8" s="1"/>
  <c r="W385" i="8" s="1"/>
  <c r="W734" i="8"/>
  <c r="Y270" i="8"/>
  <c r="Q15" i="12" l="1"/>
  <c r="P15" i="12"/>
  <c r="P8" i="12"/>
  <c r="R8" i="12" s="1"/>
  <c r="W447" i="8"/>
  <c r="W145" i="8"/>
  <c r="Y145" i="8" s="1"/>
  <c r="W146" i="8" s="1"/>
  <c r="G414" i="8"/>
  <c r="L64" i="1" s="1"/>
  <c r="G653" i="8"/>
  <c r="L91" i="1" s="1"/>
  <c r="W193" i="8"/>
  <c r="Y193" i="8" s="1"/>
  <c r="W257" i="8"/>
  <c r="Y257" i="8" s="1"/>
  <c r="W50" i="8"/>
  <c r="Y50" i="8" s="1"/>
  <c r="U51" i="8" s="1"/>
  <c r="W241" i="8"/>
  <c r="Y241" i="8" s="1"/>
  <c r="W65" i="8"/>
  <c r="Y65" i="8" s="1"/>
  <c r="G482" i="8"/>
  <c r="P25" i="1" s="1"/>
  <c r="G480" i="8"/>
  <c r="N25" i="1" s="1"/>
  <c r="W690" i="8"/>
  <c r="U879" i="8"/>
  <c r="Y385" i="8"/>
  <c r="Y734" i="8"/>
  <c r="U271" i="8"/>
  <c r="R15" i="12" l="1"/>
  <c r="E104" i="1"/>
  <c r="P128" i="1"/>
  <c r="W291" i="8"/>
  <c r="Y447" i="8"/>
  <c r="U448" i="8" s="1"/>
  <c r="W258" i="8"/>
  <c r="Y258" i="8" s="1"/>
  <c r="W66" i="8"/>
  <c r="Y66" i="8" s="1"/>
  <c r="W51" i="8"/>
  <c r="Y51" i="8" s="1"/>
  <c r="U52" i="8" s="1"/>
  <c r="W194" i="8"/>
  <c r="Y194" i="8" s="1"/>
  <c r="W242" i="8"/>
  <c r="Y242" i="8" s="1"/>
  <c r="G398" i="8"/>
  <c r="L47" i="1" s="1"/>
  <c r="Y146" i="8"/>
  <c r="G657" i="8"/>
  <c r="P91" i="1" s="1"/>
  <c r="G655" i="8"/>
  <c r="N91" i="1" s="1"/>
  <c r="G366" i="8"/>
  <c r="L49" i="1" s="1"/>
  <c r="G418" i="8"/>
  <c r="P64" i="1" s="1"/>
  <c r="G416" i="8"/>
  <c r="N64" i="1" s="1"/>
  <c r="G542" i="8"/>
  <c r="L30" i="1" s="1"/>
  <c r="Y690" i="8"/>
  <c r="W879" i="8"/>
  <c r="G875" i="8"/>
  <c r="L84" i="1" s="1"/>
  <c r="W880" i="8"/>
  <c r="Y880" i="8" s="1"/>
  <c r="W386" i="8"/>
  <c r="U735" i="8"/>
  <c r="W271" i="8"/>
  <c r="W132" i="8" l="1"/>
  <c r="Y291" i="8"/>
  <c r="W259" i="8"/>
  <c r="Y259" i="8" s="1"/>
  <c r="Y386" i="8"/>
  <c r="W448" i="8"/>
  <c r="W195" i="8"/>
  <c r="Y195" i="8" s="1"/>
  <c r="G45" i="8"/>
  <c r="L19" i="1" s="1"/>
  <c r="W52" i="8"/>
  <c r="W243" i="8"/>
  <c r="Y243" i="8" s="1"/>
  <c r="W67" i="8"/>
  <c r="Y67" i="8" s="1"/>
  <c r="G400" i="8"/>
  <c r="N47" i="1" s="1"/>
  <c r="G402" i="8"/>
  <c r="P47" i="1" s="1"/>
  <c r="G669" i="8"/>
  <c r="L82" i="1" s="1"/>
  <c r="G430" i="8"/>
  <c r="L65" i="1" s="1"/>
  <c r="G370" i="8"/>
  <c r="P49" i="1" s="1"/>
  <c r="G368" i="8"/>
  <c r="N49" i="1" s="1"/>
  <c r="G716" i="8"/>
  <c r="L83" i="1" s="1"/>
  <c r="G546" i="8"/>
  <c r="P30" i="1" s="1"/>
  <c r="G544" i="8"/>
  <c r="N30" i="1" s="1"/>
  <c r="W691" i="8"/>
  <c r="Y691" i="8" s="1"/>
  <c r="Y879" i="8"/>
  <c r="G879" i="8" s="1"/>
  <c r="P84" i="1" s="1"/>
  <c r="G877" i="8"/>
  <c r="N84" i="1" s="1"/>
  <c r="W735" i="8"/>
  <c r="Y271" i="8"/>
  <c r="U272" i="8" s="1"/>
  <c r="Y132" i="8" l="1"/>
  <c r="G254" i="8"/>
  <c r="L44" i="1" s="1"/>
  <c r="W147" i="8"/>
  <c r="W387" i="8"/>
  <c r="Y448" i="8"/>
  <c r="G98" i="8"/>
  <c r="P62" i="1" s="1"/>
  <c r="W244" i="8"/>
  <c r="Y244" i="8" s="1"/>
  <c r="W196" i="8"/>
  <c r="Y196" i="8" s="1"/>
  <c r="W68" i="8"/>
  <c r="Y68" i="8" s="1"/>
  <c r="G827" i="8"/>
  <c r="L92" i="1" s="1"/>
  <c r="G637" i="8"/>
  <c r="L42" i="1" s="1"/>
  <c r="G318" i="8"/>
  <c r="L56" i="1" s="1"/>
  <c r="G621" i="8"/>
  <c r="L80" i="1" s="1"/>
  <c r="Y52" i="8"/>
  <c r="G49" i="8" s="1"/>
  <c r="P19" i="1" s="1"/>
  <c r="G47" i="8"/>
  <c r="N19" i="1" s="1"/>
  <c r="G720" i="8"/>
  <c r="P83" i="1" s="1"/>
  <c r="G718" i="8"/>
  <c r="N83" i="1" s="1"/>
  <c r="G434" i="8"/>
  <c r="P65" i="1" s="1"/>
  <c r="G432" i="8"/>
  <c r="N65" i="1" s="1"/>
  <c r="W692" i="8"/>
  <c r="G685" i="8"/>
  <c r="L87" i="1" s="1"/>
  <c r="G158" i="8"/>
  <c r="L39" i="1" s="1"/>
  <c r="Y735" i="8"/>
  <c r="W197" i="8" l="1"/>
  <c r="Y197" i="8" s="1"/>
  <c r="G194" i="8" s="1"/>
  <c r="P37" i="1" s="1"/>
  <c r="U133" i="8"/>
  <c r="W245" i="8"/>
  <c r="Y245" i="8" s="1"/>
  <c r="G242" i="8" s="1"/>
  <c r="P66" i="1" s="1"/>
  <c r="W260" i="8"/>
  <c r="W292" i="8"/>
  <c r="G62" i="8"/>
  <c r="L15" i="1" s="1"/>
  <c r="G238" i="8"/>
  <c r="L66" i="1" s="1"/>
  <c r="G190" i="8"/>
  <c r="L37" i="1" s="1"/>
  <c r="Y387" i="8"/>
  <c r="G386" i="8" s="1"/>
  <c r="P50" i="1" s="1"/>
  <c r="G384" i="8"/>
  <c r="N50" i="1" s="1"/>
  <c r="Y147" i="8"/>
  <c r="U449" i="8"/>
  <c r="G625" i="8"/>
  <c r="P80" i="1" s="1"/>
  <c r="G623" i="8"/>
  <c r="N80" i="1" s="1"/>
  <c r="G240" i="8"/>
  <c r="N66" i="1" s="1"/>
  <c r="G641" i="8"/>
  <c r="P42" i="1" s="1"/>
  <c r="G639" i="8"/>
  <c r="N42" i="1" s="1"/>
  <c r="G673" i="8"/>
  <c r="P82" i="1" s="1"/>
  <c r="G671" i="8"/>
  <c r="N82" i="1" s="1"/>
  <c r="G322" i="8"/>
  <c r="P56" i="1" s="1"/>
  <c r="G320" i="8"/>
  <c r="N56" i="1" s="1"/>
  <c r="G192" i="8"/>
  <c r="N37" i="1" s="1"/>
  <c r="G831" i="8"/>
  <c r="P92" i="1" s="1"/>
  <c r="G829" i="8"/>
  <c r="N92" i="1" s="1"/>
  <c r="Y692" i="8"/>
  <c r="G689" i="8" s="1"/>
  <c r="P87" i="1" s="1"/>
  <c r="G687" i="8"/>
  <c r="N87" i="1" s="1"/>
  <c r="G162" i="8"/>
  <c r="P39" i="1" s="1"/>
  <c r="G160" i="8"/>
  <c r="N39" i="1" s="1"/>
  <c r="U736" i="8"/>
  <c r="W272" i="8"/>
  <c r="W133" i="8" l="1"/>
  <c r="G126" i="8"/>
  <c r="L17" i="1" s="1"/>
  <c r="Y292" i="8"/>
  <c r="G286" i="8" s="1"/>
  <c r="L55" i="1" s="1"/>
  <c r="Y260" i="8"/>
  <c r="W69" i="8"/>
  <c r="L86" i="1"/>
  <c r="W449" i="8"/>
  <c r="W736" i="8"/>
  <c r="Y272" i="8"/>
  <c r="U273" i="8" s="1"/>
  <c r="Y133" i="8" l="1"/>
  <c r="G130" i="8" s="1"/>
  <c r="P17" i="1" s="1"/>
  <c r="G128" i="8"/>
  <c r="N17" i="1" s="1"/>
  <c r="W261" i="8"/>
  <c r="W293" i="8"/>
  <c r="Y69" i="8"/>
  <c r="G66" i="8" s="1"/>
  <c r="P15" i="1" s="1"/>
  <c r="G64" i="8"/>
  <c r="N15" i="1" s="1"/>
  <c r="P86" i="1"/>
  <c r="N86" i="1"/>
  <c r="W148" i="8"/>
  <c r="Y449" i="8"/>
  <c r="Y736" i="8"/>
  <c r="W273" i="8"/>
  <c r="Y261" i="8" l="1"/>
  <c r="G258" i="8" s="1"/>
  <c r="P44" i="1" s="1"/>
  <c r="G256" i="8"/>
  <c r="N44" i="1" s="1"/>
  <c r="Y293" i="8"/>
  <c r="G290" i="8" s="1"/>
  <c r="P55" i="1" s="1"/>
  <c r="G288" i="8"/>
  <c r="N55" i="1" s="1"/>
  <c r="Y148" i="8"/>
  <c r="Y273" i="8"/>
  <c r="U274" i="8" s="1"/>
  <c r="U450" i="8"/>
  <c r="U737" i="8"/>
  <c r="W450" i="8" l="1"/>
  <c r="W274" i="8"/>
  <c r="W737" i="8"/>
  <c r="W149" i="8" l="1"/>
  <c r="G142" i="8"/>
  <c r="L38" i="1" s="1"/>
  <c r="Y274" i="8"/>
  <c r="U275" i="8" s="1"/>
  <c r="Y450" i="8"/>
  <c r="Y737" i="8"/>
  <c r="Y149" i="8" l="1"/>
  <c r="G146" i="8" s="1"/>
  <c r="P38" i="1" s="1"/>
  <c r="G144" i="8"/>
  <c r="N38" i="1" s="1"/>
  <c r="W275" i="8"/>
  <c r="U451" i="8"/>
  <c r="U738" i="8"/>
  <c r="Y275" i="8" l="1"/>
  <c r="W451" i="8"/>
  <c r="Y738" i="8"/>
  <c r="U739" i="8" s="1"/>
  <c r="W739" i="8" s="1"/>
  <c r="U276" i="8" l="1"/>
  <c r="Y451" i="8"/>
  <c r="G732" i="8"/>
  <c r="Y739" i="8"/>
  <c r="G736" i="8" s="1"/>
  <c r="G734" i="8"/>
  <c r="W276" i="8" l="1"/>
  <c r="U452" i="8"/>
  <c r="W586" i="8"/>
  <c r="Y586" i="8" s="1"/>
  <c r="Y276" i="8" l="1"/>
  <c r="W452" i="8"/>
  <c r="W587" i="8"/>
  <c r="Y587" i="8" s="1"/>
  <c r="U277" i="8" l="1"/>
  <c r="Y452" i="8"/>
  <c r="W588" i="8"/>
  <c r="Y588" i="8" s="1"/>
  <c r="W277" i="8" l="1"/>
  <c r="G270" i="8"/>
  <c r="L58" i="1" s="1"/>
  <c r="U453" i="8"/>
  <c r="W589" i="8"/>
  <c r="Y589" i="8" s="1"/>
  <c r="Y277" i="8" l="1"/>
  <c r="G274" i="8" s="1"/>
  <c r="P58" i="1" s="1"/>
  <c r="G272" i="8"/>
  <c r="N58" i="1" s="1"/>
  <c r="W590" i="8"/>
  <c r="Y590" i="8" s="1"/>
  <c r="W591" i="8" s="1"/>
  <c r="Y591" i="8" s="1"/>
  <c r="W453" i="8"/>
  <c r="G446" i="8"/>
  <c r="L26" i="1" s="1"/>
  <c r="Y453" i="8" l="1"/>
  <c r="G450" i="8" s="1"/>
  <c r="P26" i="1" s="1"/>
  <c r="G448" i="8"/>
  <c r="N26" i="1" s="1"/>
  <c r="Y592" i="8"/>
  <c r="U593" i="8" l="1"/>
  <c r="L18" i="1"/>
  <c r="W593" i="8" l="1"/>
  <c r="Y593" i="8" s="1"/>
  <c r="U594" i="8" l="1"/>
  <c r="W594" i="8" l="1"/>
  <c r="Y594" i="8" l="1"/>
  <c r="U595" i="8" s="1"/>
  <c r="W595" i="8" l="1"/>
  <c r="Y595" i="8" l="1"/>
  <c r="U596" i="8" s="1"/>
  <c r="W596" i="8" l="1"/>
  <c r="Y596" i="8" l="1"/>
  <c r="O113" i="1"/>
  <c r="U597" i="8" l="1"/>
  <c r="W597" i="8" l="1"/>
  <c r="G590" i="8"/>
  <c r="L72" i="1" s="1"/>
  <c r="Y597" i="8" l="1"/>
  <c r="G594" i="8" s="1"/>
  <c r="P72" i="1" s="1"/>
  <c r="G592" i="8"/>
  <c r="N72" i="1" s="1"/>
  <c r="P18" i="1" l="1"/>
  <c r="N18" i="1"/>
  <c r="E16" i="1"/>
  <c r="E20" i="1" s="1"/>
  <c r="J16" i="1"/>
  <c r="J20" i="1" s="1"/>
  <c r="K16" i="1" l="1"/>
  <c r="R1" i="8" l="1"/>
  <c r="Q16" i="1" l="1"/>
  <c r="Q20" i="1" s="1"/>
  <c r="E100" i="1" l="1"/>
  <c r="W170" i="8" l="1"/>
  <c r="Y170" i="8" s="1"/>
  <c r="U171" i="8" s="1"/>
  <c r="W171" i="8" l="1"/>
  <c r="Y171" i="8" s="1"/>
  <c r="U172" i="8" s="1"/>
  <c r="W172" i="8" l="1"/>
  <c r="Y172" i="8" s="1"/>
  <c r="U173" i="8" s="1"/>
  <c r="W173" i="8" l="1"/>
  <c r="Y173" i="8" l="1"/>
  <c r="U174" i="8" s="1"/>
  <c r="W174" i="8" l="1"/>
  <c r="Y174" i="8" s="1"/>
  <c r="W175" i="8" l="1"/>
  <c r="Y175" i="8" s="1"/>
  <c r="U176" i="8" s="1"/>
  <c r="W176" i="8" l="1"/>
  <c r="Y176" i="8" l="1"/>
  <c r="U177" i="8" s="1"/>
  <c r="P12" i="12" l="1"/>
  <c r="W177" i="8" l="1"/>
  <c r="R12" i="12"/>
  <c r="Y177" i="8" l="1"/>
  <c r="U178" i="8" s="1"/>
  <c r="W178" i="8" l="1"/>
  <c r="Y178" i="8" s="1"/>
  <c r="U179" i="8" s="1"/>
  <c r="W179" i="8" l="1"/>
  <c r="Y179" i="8" l="1"/>
  <c r="U180" i="8" s="1"/>
  <c r="G174" i="8" l="1"/>
  <c r="L68" i="1" s="1"/>
  <c r="W180" i="8" l="1"/>
  <c r="Y180" i="8" l="1"/>
  <c r="U181" i="8" s="1"/>
  <c r="W181" i="8" l="1"/>
  <c r="Y181" i="8" l="1"/>
  <c r="G178" i="8" s="1"/>
  <c r="P68" i="1" s="1"/>
  <c r="G176" i="8"/>
  <c r="N68" i="1" s="1"/>
  <c r="Q13" i="12"/>
  <c r="P13" i="12"/>
  <c r="P16" i="12" s="1"/>
  <c r="R13" i="12" l="1"/>
  <c r="R16" i="12" s="1"/>
  <c r="Q16" i="12"/>
  <c r="W510" i="8" l="1"/>
  <c r="Y510" i="8" l="1"/>
  <c r="W511" i="8" l="1"/>
  <c r="Y511" i="8" s="1"/>
  <c r="U512" i="8" s="1"/>
  <c r="W512" i="8" l="1"/>
  <c r="Y512" i="8" l="1"/>
  <c r="U513" i="8" l="1"/>
  <c r="W513" i="8" l="1"/>
  <c r="Y513" i="8" l="1"/>
  <c r="U514" i="8" l="1"/>
  <c r="W514" i="8" s="1"/>
  <c r="Y514" i="8" s="1"/>
  <c r="U515" i="8" s="1"/>
  <c r="W515" i="8" l="1"/>
  <c r="Y515" i="8" l="1"/>
  <c r="U516" i="8" l="1"/>
  <c r="D16" i="1"/>
  <c r="D89" i="1"/>
  <c r="E102" i="1"/>
  <c r="W516" i="8" l="1"/>
  <c r="G510" i="8"/>
  <c r="L31" i="1" s="1"/>
  <c r="L74" i="1" s="1"/>
  <c r="E105" i="1"/>
  <c r="I97" i="1"/>
  <c r="E109" i="1" l="1"/>
  <c r="G106" i="1" s="1"/>
  <c r="Y516" i="8"/>
  <c r="G512" i="8"/>
  <c r="N31" i="1" s="1"/>
  <c r="N74" i="1" s="1"/>
  <c r="E74" i="1"/>
  <c r="G514" i="8" l="1"/>
  <c r="P31" i="1" s="1"/>
  <c r="P74" i="1" s="1"/>
  <c r="U517" i="8"/>
  <c r="W517" i="8" s="1"/>
  <c r="Y517" i="8" s="1"/>
  <c r="Q75" i="1" l="1"/>
  <c r="Q76" i="1" l="1"/>
  <c r="D88" i="1" s="1"/>
  <c r="D80" i="1"/>
  <c r="D86" i="1" l="1"/>
  <c r="R34" i="1" l="1"/>
  <c r="R69" i="1"/>
  <c r="J34" i="1"/>
  <c r="S74" i="1"/>
  <c r="S59" i="1"/>
  <c r="S34" i="1"/>
  <c r="S69" i="1"/>
  <c r="J74" i="1"/>
  <c r="J59" i="1"/>
  <c r="R59" i="1"/>
  <c r="R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K170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37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66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V380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38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38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K506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6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2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8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4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8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826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2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5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<sst xmlns="http://schemas.openxmlformats.org/spreadsheetml/2006/main" count="3413" uniqueCount="230">
  <si>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</si>
  <si>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</si>
  <si>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</si>
  <si>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</si>
  <si>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</si>
  <si>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</si>
  <si>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</si>
  <si>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</si>
  <si>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</si>
  <si>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</si>
  <si>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</si>
  <si>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</si>
  <si>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</si>
  <si>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</si>
  <si>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</si>
  <si>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</si>
  <si>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</si>
  <si>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</si>
  <si>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</si>
  <si>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</si>
  <si>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</si>
  <si>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</si>
  <si>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</si>
  <si>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</si>
  <si>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</si>
  <si>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</si>
  <si>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</si>
  <si>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</si>
  <si>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</si>
  <si>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</si>
  <si>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</si>
  <si>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</si>
  <si>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</si>
  <si>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</si>
  <si>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</si>
  <si>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</si>
  <si>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</si>
  <si>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</si>
  <si>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</si>
  <si>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</si>
  <si>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</si>
  <si>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</si>
  <si>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</si>
  <si>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</si>
  <si>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</si>
  <si>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</si>
  <si>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</si>
  <si>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</si>
  <si>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</si>
  <si>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</si>
  <si>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</si>
  <si>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</si>
  <si>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</si>
  <si>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</si>
  <si>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</si>
  <si>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</si>
  <si>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</si>
  <si>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</si>
  <si>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</si>
  <si>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</si>
  <si>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</si>
  <si>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</si>
  <si>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</si>
  <si>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</si>
  <si>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</si>
  <si>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</si>
  <si>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</si>
  <si>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</si>
  <si>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</si>
  <si>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</si>
  <si>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</si>
  <si>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</si>
  <si>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</si>
  <si>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</si>
  <si>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</si>
  <si>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</si>
  <si>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</si>
  <si>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</si>
  <si>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</si>
  <si>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</si>
  <si>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</si>
  <si>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</si>
  <si>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</si>
  <si>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</si>
  <si>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</si>
  <si>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</si>
  <si>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</si>
  <si>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</si>
  <si>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</si>
  <si>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</si>
  <si>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</si>
  <si>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</si>
  <si>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</si>
  <si>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Amir (Plumber)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</si>
  <si>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</si>
  <si>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</si>
  <si>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</si>
  <si>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</si>
  <si>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</si>
  <si>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</si>
  <si>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</si>
  <si>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</si>
  <si>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</si>
  <si>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</si>
  <si>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</si>
  <si>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</si>
  <si>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Zeeshan AC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</si>
  <si>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</si>
  <si>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</si>
  <si>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</si>
  <si>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</si>
  <si>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</si>
  <si>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</si>
  <si>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</si>
  <si>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</si>
  <si>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</si>
  <si>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</si>
  <si>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0342-2949035</t>
  </si>
  <si>
    <t>0343-3530334</t>
  </si>
  <si>
    <t>August 2020</t>
  </si>
  <si>
    <t>0315-2965342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</si>
  <si>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</si>
  <si>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</si>
  <si>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</si>
  <si>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</si>
  <si>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</si>
  <si>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</si>
  <si>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</si>
  <si>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</si>
  <si>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</si>
  <si>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</si>
  <si>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</si>
  <si>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</si>
  <si>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</si>
  <si>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</si>
  <si>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</si>
  <si>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</si>
  <si>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</si>
  <si>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</si>
  <si>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</si>
  <si>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Rem advance</t>
  </si>
  <si>
    <t>0333-2292165</t>
  </si>
  <si>
    <t>0343-2163562</t>
  </si>
  <si>
    <t>Azeem D/W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</si>
  <si>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</si>
  <si>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</si>
  <si>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</si>
  <si>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</si>
  <si>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</si>
  <si>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</si>
  <si>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</si>
  <si>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</si>
  <si>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</si>
  <si>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</si>
  <si>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</si>
  <si>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</si>
  <si>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</si>
  <si>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</si>
  <si>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</si>
  <si>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</si>
  <si>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</si>
  <si>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</si>
  <si>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</si>
  <si>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</si>
  <si>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</si>
  <si>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</si>
  <si>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</si>
  <si>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</si>
  <si>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</si>
  <si>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</si>
  <si>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</si>
  <si>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</si>
  <si>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0312-2754301</t>
  </si>
  <si>
    <t>0312-5237654</t>
  </si>
  <si>
    <t>Raheel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</si>
  <si>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</si>
  <si>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</si>
  <si>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</si>
  <si>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</si>
  <si>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</si>
  <si>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</si>
  <si>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</si>
  <si>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</si>
  <si>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</si>
  <si>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</si>
  <si>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</si>
  <si>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</si>
  <si>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</si>
  <si>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</si>
  <si>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</si>
  <si>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</si>
  <si>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</si>
  <si>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</si>
  <si>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</si>
  <si>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Mossi salary</t>
  </si>
  <si>
    <t xml:space="preserve">FTC Staff salary </t>
  </si>
  <si>
    <t>Jahangeer, Abid, Shahid, shery, chacha latif, Abbas</t>
  </si>
  <si>
    <t>Mubeen salary</t>
  </si>
  <si>
    <t xml:space="preserve">Zeeshan salary </t>
  </si>
  <si>
    <t>JPMC staff salary</t>
  </si>
  <si>
    <t>abid salary</t>
  </si>
  <si>
    <t>Falcon staff salaries</t>
  </si>
  <si>
    <t>RMR staff salary paid</t>
  </si>
  <si>
    <t>office staff salaries without kamran</t>
  </si>
  <si>
    <t>Asif (Cooling tower)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</si>
  <si>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</si>
  <si>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</si>
  <si>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</si>
  <si>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</si>
  <si>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</si>
  <si>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</si>
  <si>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</si>
  <si>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</si>
  <si>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</si>
  <si>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</si>
  <si>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</si>
  <si>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</si>
  <si>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</si>
  <si>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</si>
  <si>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</si>
  <si>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</si>
  <si>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</si>
  <si>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</si>
  <si>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</si>
  <si>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</si>
  <si>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</si>
  <si>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</si>
  <si>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Noor ul Islam</t>
  </si>
  <si>
    <t>10 Nos leaves remaining</t>
  </si>
  <si>
    <t>Lateef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</si>
</sst>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b/>
      <sz val="17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0" fontId="34" fillId="0" borderId="1" xfId="0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0" borderId="0" xfId="0" applyNumberFormat="1" applyFont="1" applyFill="1"/>
    <xf numFmtId="0" fontId="6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164" fontId="36" fillId="0" borderId="0" xfId="1" applyNumberFormat="1" applyFont="1" applyFill="1" applyBorder="1" applyAlignment="1">
      <alignment vertical="center"/>
    </xf>
    <xf numFmtId="164" fontId="8" fillId="22" borderId="25" xfId="1" applyNumberFormat="1" applyFont="1" applyFill="1" applyBorder="1"/>
    <xf numFmtId="164" fontId="4" fillId="22" borderId="26" xfId="1" applyNumberFormat="1" applyFont="1" applyFill="1" applyBorder="1"/>
    <xf numFmtId="164" fontId="4" fillId="22" borderId="26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7" fillId="21" borderId="27" xfId="1" quotePrefix="1" applyNumberFormat="1" applyFont="1" applyFill="1" applyBorder="1" applyAlignment="1"/>
    <xf numFmtId="164" fontId="10" fillId="0" borderId="1" xfId="0" applyNumberFormat="1" applyFont="1" applyBorder="1"/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41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2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1" fillId="7" borderId="8" xfId="0" applyNumberFormat="1" applyFont="1" applyFill="1" applyBorder="1"/>
    <xf numFmtId="164" fontId="43" fillId="0" borderId="26" xfId="1" applyNumberFormat="1" applyFont="1" applyFill="1" applyBorder="1"/>
    <xf numFmtId="164" fontId="43" fillId="0" borderId="26" xfId="1" applyNumberFormat="1" applyFont="1" applyFill="1" applyBorder="1" applyAlignment="1"/>
    <xf numFmtId="164" fontId="43" fillId="0" borderId="25" xfId="1" applyNumberFormat="1" applyFont="1" applyFill="1" applyBorder="1" applyAlignment="1">
      <alignment horizontal="left"/>
    </xf>
    <xf numFmtId="164" fontId="43" fillId="0" borderId="25" xfId="1" applyNumberFormat="1" applyFont="1" applyFill="1" applyBorder="1" applyAlignment="1"/>
    <xf numFmtId="164" fontId="43" fillId="0" borderId="25" xfId="1" applyNumberFormat="1" applyFont="1" applyFill="1" applyBorder="1"/>
    <xf numFmtId="164" fontId="43" fillId="0" borderId="25" xfId="1" applyNumberFormat="1" applyFont="1" applyFill="1" applyBorder="1" applyAlignment="1">
      <alignment horizontal="left" vertical="top" wrapText="1"/>
    </xf>
    <xf numFmtId="164" fontId="46" fillId="0" borderId="1" xfId="1" applyNumberFormat="1" applyFont="1" applyFill="1" applyBorder="1" applyAlignment="1">
      <alignment horizontal="center" vertical="center"/>
    </xf>
    <xf numFmtId="164" fontId="46" fillId="0" borderId="1" xfId="1" quotePrefix="1" applyNumberFormat="1" applyFont="1" applyFill="1" applyBorder="1" applyAlignment="1">
      <alignment horizontal="center" vertical="center"/>
    </xf>
    <xf numFmtId="164" fontId="46" fillId="0" borderId="1" xfId="1" quotePrefix="1" applyNumberFormat="1" applyFont="1" applyFill="1" applyBorder="1" applyAlignment="1">
      <alignment horizontal="center" vertical="center" wrapText="1"/>
    </xf>
    <xf numFmtId="164" fontId="45" fillId="0" borderId="25" xfId="1" applyNumberFormat="1" applyFont="1" applyFill="1" applyBorder="1"/>
    <xf numFmtId="164" fontId="45" fillId="0" borderId="26" xfId="1" applyNumberFormat="1" applyFont="1" applyFill="1" applyBorder="1"/>
    <xf numFmtId="164" fontId="45" fillId="0" borderId="25" xfId="1" applyNumberFormat="1" applyFont="1" applyFill="1" applyBorder="1" applyAlignment="1">
      <alignment horizontal="left"/>
    </xf>
    <xf numFmtId="164" fontId="46" fillId="0" borderId="1" xfId="1" applyNumberFormat="1" applyFont="1" applyFill="1" applyBorder="1" applyAlignment="1">
      <alignment horizontal="center" vertical="center" wrapText="1"/>
    </xf>
    <xf numFmtId="164" fontId="45" fillId="0" borderId="26" xfId="1" applyNumberFormat="1" applyFont="1" applyFill="1" applyBorder="1" applyAlignment="1">
      <alignment vertical="center"/>
    </xf>
    <xf numFmtId="164" fontId="45" fillId="0" borderId="25" xfId="1" applyNumberFormat="1" applyFont="1" applyFill="1" applyBorder="1" applyAlignment="1">
      <alignment vertical="center"/>
    </xf>
    <xf numFmtId="164" fontId="45" fillId="0" borderId="25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7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48" fillId="0" borderId="1" xfId="0" applyFont="1" applyBorder="1" applyAlignment="1">
      <alignment horizontal="center" vertical="center"/>
    </xf>
    <xf numFmtId="164" fontId="48" fillId="0" borderId="1" xfId="0" applyNumberFormat="1" applyFont="1" applyBorder="1" applyAlignment="1">
      <alignment horizontal="center" vertical="center"/>
    </xf>
    <xf numFmtId="164" fontId="40" fillId="0" borderId="1" xfId="1" applyNumberFormat="1" applyFont="1" applyFill="1" applyBorder="1"/>
    <xf numFmtId="164" fontId="40" fillId="0" borderId="1" xfId="0" applyNumberFormat="1" applyFont="1" applyBorder="1"/>
    <xf numFmtId="0" fontId="40" fillId="0" borderId="0" xfId="0" applyFont="1"/>
    <xf numFmtId="164" fontId="40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48" fillId="0" borderId="1" xfId="0" applyFont="1" applyBorder="1" applyAlignment="1">
      <alignment vertical="center" textRotation="90"/>
    </xf>
    <xf numFmtId="164" fontId="48" fillId="0" borderId="1" xfId="0" applyNumberFormat="1" applyFont="1" applyBorder="1" applyAlignment="1">
      <alignment vertical="center"/>
    </xf>
    <xf numFmtId="0" fontId="48" fillId="2" borderId="9" xfId="0" applyFont="1" applyFill="1" applyBorder="1" applyAlignment="1">
      <alignment vertical="center" textRotation="90"/>
    </xf>
    <xf numFmtId="164" fontId="48" fillId="2" borderId="9" xfId="0" applyNumberFormat="1" applyFont="1" applyFill="1" applyBorder="1" applyAlignment="1">
      <alignment vertical="center"/>
    </xf>
    <xf numFmtId="164" fontId="46" fillId="0" borderId="25" xfId="1" applyNumberFormat="1" applyFont="1" applyFill="1" applyBorder="1" applyAlignment="1">
      <alignment vertical="center"/>
    </xf>
    <xf numFmtId="0" fontId="50" fillId="7" borderId="1" xfId="0" applyFont="1" applyFill="1" applyBorder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0" fontId="51" fillId="0" borderId="0" xfId="0" applyFont="1" applyAlignment="1">
      <alignment vertical="center"/>
    </xf>
    <xf numFmtId="164" fontId="51" fillId="0" borderId="0" xfId="1" applyNumberFormat="1" applyFont="1" applyAlignment="1">
      <alignment vertical="center"/>
    </xf>
    <xf numFmtId="0" fontId="52" fillId="7" borderId="1" xfId="0" applyFont="1" applyFill="1" applyBorder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3" fillId="0" borderId="0" xfId="0" applyFont="1" applyAlignment="1">
      <alignment vertical="center"/>
    </xf>
    <xf numFmtId="164" fontId="53" fillId="0" borderId="0" xfId="1" applyNumberFormat="1" applyFont="1" applyAlignment="1">
      <alignment vertical="center"/>
    </xf>
    <xf numFmtId="164" fontId="51" fillId="0" borderId="0" xfId="0" applyNumberFormat="1" applyFont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0" fontId="54" fillId="7" borderId="0" xfId="0" applyFont="1" applyFill="1" applyAlignment="1">
      <alignment horizontal="center" vertical="center"/>
    </xf>
    <xf numFmtId="164" fontId="55" fillId="0" borderId="0" xfId="0" applyNumberFormat="1" applyFont="1" applyAlignment="1">
      <alignment vertical="center"/>
    </xf>
    <xf numFmtId="164" fontId="55" fillId="0" borderId="0" xfId="1" applyNumberFormat="1" applyFont="1" applyAlignment="1">
      <alignment vertical="center"/>
    </xf>
    <xf numFmtId="0" fontId="55" fillId="0" borderId="0" xfId="0" applyFont="1" applyAlignment="1">
      <alignment vertical="center"/>
    </xf>
    <xf numFmtId="164" fontId="50" fillId="7" borderId="0" xfId="0" applyNumberFormat="1" applyFont="1" applyFill="1" applyAlignment="1">
      <alignment horizontal="center" vertical="center"/>
    </xf>
    <xf numFmtId="164" fontId="49" fillId="0" borderId="1" xfId="1" applyNumberFormat="1" applyFont="1" applyBorder="1" applyAlignment="1">
      <alignment horizontal="right" vertical="center"/>
    </xf>
    <xf numFmtId="164" fontId="49" fillId="0" borderId="1" xfId="1" applyNumberFormat="1" applyFont="1" applyBorder="1" applyAlignment="1">
      <alignment horizontal="center" vertical="center"/>
    </xf>
    <xf numFmtId="164" fontId="49" fillId="2" borderId="1" xfId="1" applyNumberFormat="1" applyFont="1" applyFill="1" applyBorder="1" applyAlignment="1">
      <alignment horizontal="center" vertical="center"/>
    </xf>
    <xf numFmtId="164" fontId="40" fillId="0" borderId="1" xfId="1" applyNumberFormat="1" applyFont="1" applyBorder="1" applyAlignment="1">
      <alignment vertical="center"/>
    </xf>
    <xf numFmtId="164" fontId="49" fillId="0" borderId="1" xfId="1" applyNumberFormat="1" applyFont="1" applyBorder="1" applyAlignment="1">
      <alignment vertical="center"/>
    </xf>
    <xf numFmtId="164" fontId="48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49" fillId="0" borderId="1" xfId="1" applyNumberFormat="1" applyFont="1" applyFill="1" applyBorder="1" applyAlignment="1">
      <alignment vertical="center"/>
    </xf>
    <xf numFmtId="164" fontId="49" fillId="0" borderId="1" xfId="1" applyNumberFormat="1" applyFont="1" applyFill="1" applyBorder="1" applyAlignment="1">
      <alignment horizontal="center" vertical="center"/>
    </xf>
    <xf numFmtId="164" fontId="40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39" fillId="8" borderId="1" xfId="0" applyNumberFormat="1" applyFont="1" applyFill="1" applyBorder="1" applyAlignment="1">
      <alignment vertical="center"/>
    </xf>
    <xf numFmtId="164" fontId="39" fillId="8" borderId="0" xfId="0" applyNumberFormat="1" applyFont="1" applyFill="1"/>
    <xf numFmtId="0" fontId="39" fillId="0" borderId="0" xfId="0" applyFont="1"/>
    <xf numFmtId="164" fontId="39" fillId="0" borderId="0" xfId="1" applyNumberFormat="1" applyFont="1"/>
    <xf numFmtId="164" fontId="38" fillId="7" borderId="1" xfId="0" applyNumberFormat="1" applyFont="1" applyFill="1" applyBorder="1" applyAlignment="1">
      <alignment vertical="center"/>
    </xf>
    <xf numFmtId="164" fontId="57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8" fillId="4" borderId="0" xfId="0" applyFont="1" applyFill="1" applyAlignment="1">
      <alignment vertical="center"/>
    </xf>
    <xf numFmtId="0" fontId="56" fillId="0" borderId="0" xfId="0" applyFont="1"/>
    <xf numFmtId="164" fontId="56" fillId="0" borderId="0" xfId="1" applyNumberFormat="1" applyFont="1"/>
    <xf numFmtId="0" fontId="58" fillId="19" borderId="4" xfId="0" applyFont="1" applyFill="1" applyBorder="1" applyAlignment="1">
      <alignment vertical="center"/>
    </xf>
    <xf numFmtId="0" fontId="58" fillId="19" borderId="23" xfId="0" applyFont="1" applyFill="1" applyBorder="1" applyAlignment="1">
      <alignment vertical="center"/>
    </xf>
    <xf numFmtId="164" fontId="53" fillId="0" borderId="0" xfId="0" applyNumberFormat="1" applyFont="1" applyAlignment="1">
      <alignment vertical="center"/>
    </xf>
    <xf numFmtId="164" fontId="45" fillId="0" borderId="25" xfId="1" applyNumberFormat="1" applyFont="1" applyFill="1" applyBorder="1" applyAlignment="1">
      <alignment wrapText="1"/>
    </xf>
    <xf numFmtId="0" fontId="18" fillId="0" borderId="28" xfId="0" applyFont="1" applyBorder="1" applyAlignment="1">
      <alignment vertical="center"/>
    </xf>
    <xf numFmtId="14" fontId="18" fillId="0" borderId="29" xfId="0" applyNumberFormat="1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164" fontId="19" fillId="0" borderId="29" xfId="1" applyNumberFormat="1" applyFont="1" applyFill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9" fillId="0" borderId="29" xfId="0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right" vertical="center"/>
    </xf>
    <xf numFmtId="164" fontId="18" fillId="0" borderId="29" xfId="0" applyNumberFormat="1" applyFont="1" applyBorder="1" applyAlignment="1">
      <alignment vertical="center"/>
    </xf>
    <xf numFmtId="164" fontId="18" fillId="0" borderId="29" xfId="1" applyNumberFormat="1" applyFont="1" applyFill="1" applyBorder="1" applyAlignment="1">
      <alignment vertical="center"/>
    </xf>
    <xf numFmtId="164" fontId="19" fillId="0" borderId="29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57" fillId="0" borderId="24" xfId="0" applyFont="1" applyBorder="1" applyAlignment="1">
      <alignment vertical="center"/>
    </xf>
    <xf numFmtId="0" fontId="57" fillId="0" borderId="6" xfId="0" applyFont="1" applyBorder="1" applyAlignment="1">
      <alignment vertical="center"/>
    </xf>
    <xf numFmtId="164" fontId="39" fillId="8" borderId="7" xfId="0" applyNumberFormat="1" applyFont="1" applyFill="1" applyBorder="1"/>
    <xf numFmtId="0" fontId="52" fillId="7" borderId="8" xfId="0" applyFont="1" applyFill="1" applyBorder="1" applyAlignment="1">
      <alignment horizontal="center" vertical="center"/>
    </xf>
    <xf numFmtId="0" fontId="36" fillId="0" borderId="0" xfId="0" applyFont="1" applyAlignment="1">
      <alignment horizontal="right" vertical="center"/>
    </xf>
    <xf numFmtId="164" fontId="39" fillId="0" borderId="0" xfId="0" applyNumberFormat="1" applyFont="1" applyAlignment="1">
      <alignment vertical="center"/>
    </xf>
    <xf numFmtId="164" fontId="39" fillId="0" borderId="0" xfId="0" applyNumberFormat="1" applyFont="1"/>
    <xf numFmtId="164" fontId="39" fillId="0" borderId="0" xfId="1" applyNumberFormat="1" applyFont="1" applyFill="1" applyBorder="1"/>
    <xf numFmtId="0" fontId="36" fillId="0" borderId="1" xfId="0" applyFont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vertical="center"/>
    </xf>
    <xf numFmtId="164" fontId="37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35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59" fillId="0" borderId="1" xfId="1" applyNumberFormat="1" applyFont="1" applyBorder="1" applyAlignment="1">
      <alignment vertical="center"/>
    </xf>
    <xf numFmtId="164" fontId="59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59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60" fillId="0" borderId="1" xfId="0" applyFont="1" applyBorder="1"/>
    <xf numFmtId="164" fontId="10" fillId="0" borderId="0" xfId="0" applyNumberFormat="1" applyFont="1" applyAlignment="1">
      <alignment horizontal="right"/>
    </xf>
    <xf numFmtId="164" fontId="52" fillId="7" borderId="0" xfId="0" applyNumberFormat="1" applyFont="1" applyFill="1" applyAlignment="1">
      <alignment horizontal="center" vertical="center"/>
    </xf>
    <xf numFmtId="164" fontId="35" fillId="13" borderId="1" xfId="0" applyNumberFormat="1" applyFont="1" applyFill="1" applyBorder="1"/>
    <xf numFmtId="164" fontId="49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65" fillId="12" borderId="2" xfId="1" quotePrefix="1" applyNumberFormat="1" applyFont="1" applyFill="1" applyBorder="1" applyAlignment="1">
      <alignment vertical="center" textRotation="90"/>
    </xf>
    <xf numFmtId="164" fontId="45" fillId="0" borderId="31" xfId="1" applyNumberFormat="1" applyFont="1" applyFill="1" applyBorder="1"/>
    <xf numFmtId="164" fontId="45" fillId="0" borderId="31" xfId="1" applyNumberFormat="1" applyFont="1" applyFill="1" applyBorder="1" applyAlignment="1">
      <alignment wrapText="1"/>
    </xf>
    <xf numFmtId="164" fontId="45" fillId="0" borderId="32" xfId="1" applyNumberFormat="1" applyFont="1" applyFill="1" applyBorder="1" applyAlignment="1">
      <alignment vertical="center"/>
    </xf>
    <xf numFmtId="164" fontId="46" fillId="0" borderId="7" xfId="1" applyNumberFormat="1" applyFont="1" applyFill="1" applyBorder="1" applyAlignment="1">
      <alignment horizontal="center" vertical="center"/>
    </xf>
    <xf numFmtId="164" fontId="64" fillId="12" borderId="7" xfId="1" quotePrefix="1" applyNumberFormat="1" applyFont="1" applyFill="1" applyBorder="1" applyAlignment="1">
      <alignment horizontal="center" vertical="center"/>
    </xf>
    <xf numFmtId="164" fontId="64" fillId="0" borderId="1" xfId="1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28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48" fillId="18" borderId="1" xfId="0" applyFont="1" applyFill="1" applyBorder="1" applyAlignment="1">
      <alignment vertical="center"/>
    </xf>
    <xf numFmtId="0" fontId="66" fillId="0" borderId="5" xfId="0" applyFont="1" applyBorder="1" applyAlignment="1">
      <alignment vertical="center"/>
    </xf>
    <xf numFmtId="164" fontId="45" fillId="0" borderId="38" xfId="1" applyNumberFormat="1" applyFont="1" applyFill="1" applyBorder="1" applyAlignment="1">
      <alignment vertical="center"/>
    </xf>
    <xf numFmtId="164" fontId="45" fillId="0" borderId="30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50" fillId="7" borderId="5" xfId="0" applyFont="1" applyFill="1" applyBorder="1" applyAlignment="1">
      <alignment horizontal="center" vertical="center"/>
    </xf>
    <xf numFmtId="0" fontId="50" fillId="7" borderId="24" xfId="0" applyFont="1" applyFill="1" applyBorder="1" applyAlignment="1">
      <alignment horizontal="center" vertical="center"/>
    </xf>
    <xf numFmtId="0" fontId="50" fillId="7" borderId="6" xfId="0" applyFont="1" applyFill="1" applyBorder="1" applyAlignment="1">
      <alignment horizontal="center" vertical="center"/>
    </xf>
    <xf numFmtId="0" fontId="52" fillId="7" borderId="5" xfId="0" applyFont="1" applyFill="1" applyBorder="1" applyAlignment="1">
      <alignment horizontal="center" vertical="center"/>
    </xf>
    <xf numFmtId="0" fontId="52" fillId="7" borderId="24" xfId="0" applyFont="1" applyFill="1" applyBorder="1" applyAlignment="1">
      <alignment horizontal="center" vertical="center"/>
    </xf>
    <xf numFmtId="0" fontId="52" fillId="7" borderId="6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54" fillId="7" borderId="5" xfId="0" applyFont="1" applyFill="1" applyBorder="1" applyAlignment="1">
      <alignment horizontal="center" vertical="center"/>
    </xf>
    <xf numFmtId="0" fontId="54" fillId="7" borderId="24" xfId="0" applyFont="1" applyFill="1" applyBorder="1" applyAlignment="1">
      <alignment horizontal="center" vertical="center"/>
    </xf>
    <xf numFmtId="0" fontId="54" fillId="7" borderId="6" xfId="0" applyFont="1" applyFill="1" applyBorder="1" applyAlignment="1">
      <alignment horizontal="center" vertical="center"/>
    </xf>
    <xf numFmtId="164" fontId="38" fillId="23" borderId="3" xfId="1" applyNumberFormat="1" applyFont="1" applyFill="1" applyBorder="1" applyAlignment="1">
      <alignment horizontal="center"/>
    </xf>
    <xf numFmtId="164" fontId="38" fillId="23" borderId="2" xfId="1" applyNumberFormat="1" applyFont="1" applyFill="1" applyBorder="1" applyAlignment="1">
      <alignment horizontal="center"/>
    </xf>
    <xf numFmtId="0" fontId="58" fillId="19" borderId="2" xfId="0" applyFont="1" applyFill="1" applyBorder="1" applyAlignment="1">
      <alignment horizontal="center" vertical="center"/>
    </xf>
    <xf numFmtId="0" fontId="58" fillId="19" borderId="22" xfId="0" applyFont="1" applyFill="1" applyBorder="1" applyAlignment="1">
      <alignment horizontal="center" vertical="center"/>
    </xf>
    <xf numFmtId="0" fontId="58" fillId="19" borderId="3" xfId="0" applyFont="1" applyFill="1" applyBorder="1" applyAlignment="1">
      <alignment horizontal="right" vertical="center"/>
    </xf>
    <xf numFmtId="0" fontId="58" fillId="19" borderId="2" xfId="0" applyFont="1" applyFill="1" applyBorder="1" applyAlignment="1">
      <alignment horizontal="right" vertical="center"/>
    </xf>
    <xf numFmtId="0" fontId="58" fillId="19" borderId="21" xfId="0" applyFont="1" applyFill="1" applyBorder="1" applyAlignment="1">
      <alignment horizontal="right" vertical="center"/>
    </xf>
    <xf numFmtId="0" fontId="58" fillId="19" borderId="22" xfId="0" applyFont="1" applyFill="1" applyBorder="1" applyAlignment="1">
      <alignment horizontal="right" vertical="center"/>
    </xf>
    <xf numFmtId="0" fontId="57" fillId="0" borderId="5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4" fillId="0" borderId="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37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64" fontId="9" fillId="0" borderId="0" xfId="1" applyNumberFormat="1" applyFont="1" applyFill="1" applyBorder="1" applyAlignment="1">
      <alignment horizontal="right" vertical="top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164" fontId="65" fillId="0" borderId="30" xfId="1" quotePrefix="1" applyNumberFormat="1" applyFont="1" applyFill="1" applyBorder="1" applyAlignment="1">
      <alignment horizontal="center" vertical="center" textRotation="90"/>
    </xf>
    <xf numFmtId="164" fontId="65" fillId="0" borderId="30" xfId="1" applyNumberFormat="1" applyFont="1" applyFill="1" applyBorder="1" applyAlignment="1">
      <alignment horizontal="center" vertical="center" textRotation="90"/>
    </xf>
    <xf numFmtId="164" fontId="65" fillId="0" borderId="26" xfId="1" applyNumberFormat="1" applyFont="1" applyFill="1" applyBorder="1" applyAlignment="1">
      <alignment horizontal="center" vertical="center" textRotation="90"/>
    </xf>
    <xf numFmtId="164" fontId="65" fillId="0" borderId="1" xfId="1" quotePrefix="1" applyNumberFormat="1" applyFont="1" applyFill="1" applyBorder="1" applyAlignment="1">
      <alignment horizontal="center" vertical="center" textRotation="90"/>
    </xf>
    <xf numFmtId="164" fontId="46" fillId="0" borderId="33" xfId="1" quotePrefix="1" applyNumberFormat="1" applyFont="1" applyFill="1" applyBorder="1" applyAlignment="1">
      <alignment horizontal="center" vertical="center" textRotation="90"/>
    </xf>
    <xf numFmtId="164" fontId="46" fillId="0" borderId="34" xfId="1" quotePrefix="1" applyNumberFormat="1" applyFont="1" applyFill="1" applyBorder="1" applyAlignment="1">
      <alignment horizontal="center" vertical="center" textRotation="90"/>
    </xf>
    <xf numFmtId="164" fontId="46" fillId="0" borderId="35" xfId="1" quotePrefix="1" applyNumberFormat="1" applyFont="1" applyFill="1" applyBorder="1" applyAlignment="1">
      <alignment horizontal="center" vertical="center" textRotation="90"/>
    </xf>
    <xf numFmtId="17" fontId="8" fillId="0" borderId="2" xfId="0" applyNumberFormat="1" applyFont="1" applyBorder="1" applyAlignment="1">
      <alignment horizontal="center" vertical="center"/>
    </xf>
    <xf numFmtId="17" fontId="8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etty%20Cash%20calculation.xlsx" TargetMode="External"/><Relationship Id="rId1" Type="http://schemas.openxmlformats.org/officeDocument/2006/relationships/externalLinkPath" Target="/Pioneer/Petty%20Cash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h"/>
      <sheetName val="staff"/>
      <sheetName val="Nadeem bhai"/>
      <sheetName val="Bilal bhai"/>
      <sheetName val="Mohsin traders"/>
      <sheetName val="cb"/>
      <sheetName val="Cash Book (DIB)"/>
      <sheetName val="Cash Book (MCB)"/>
      <sheetName val="PES MCB"/>
      <sheetName val="Cash Book"/>
      <sheetName val="Petty cash (old)"/>
      <sheetName val="Absentees"/>
    </sheetNames>
    <sheetDataSet>
      <sheetData sheetId="0">
        <row r="5948">
          <cell r="I5948">
            <v>976968.41666666674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5"/>
  <sheetViews>
    <sheetView view="pageBreakPreview" zoomScaleNormal="90" zoomScaleSheetLayoutView="100" workbookViewId="0">
      <pane ySplit="3" topLeftCell="A52" activePane="bottomLeft" state="frozen"/>
      <selection pane="bottomLeft" activeCell="U34" sqref="U34"/>
    </sheetView>
  </sheetViews>
  <sheetFormatPr defaultRowHeight="12.75" x14ac:dyDescent="0.2"/>
  <cols>
    <col min="1" max="1" width="3.140625" style="283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285" customFormat="1" ht="12.75" customHeight="1" x14ac:dyDescent="0.4">
      <c r="A1" s="374" t="s">
        <v>80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2" t="str">
        <f>'Salary Record'!J1</f>
        <v>May</v>
      </c>
      <c r="O1" s="372"/>
      <c r="P1" s="372">
        <f>'Salary Record'!K1</f>
        <v>2023</v>
      </c>
      <c r="Q1" s="287"/>
      <c r="R1" s="284"/>
      <c r="S1" s="284"/>
      <c r="T1" s="284"/>
      <c r="V1" s="286"/>
    </row>
    <row r="2" spans="1:22" s="285" customFormat="1" ht="15.6" customHeight="1" x14ac:dyDescent="0.4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3"/>
      <c r="O2" s="373"/>
      <c r="P2" s="373"/>
      <c r="Q2" s="288"/>
      <c r="R2" s="284"/>
      <c r="S2" s="284"/>
      <c r="T2" s="284"/>
      <c r="V2" s="286"/>
    </row>
    <row r="3" spans="1:22" ht="39.75" customHeight="1" x14ac:dyDescent="0.2">
      <c r="A3" s="6"/>
      <c r="B3" s="321"/>
      <c r="C3" s="7"/>
      <c r="D3" s="7"/>
      <c r="E3" s="25" t="s">
        <v>29</v>
      </c>
      <c r="F3" s="27" t="s">
        <v>37</v>
      </c>
      <c r="G3" s="25" t="s">
        <v>38</v>
      </c>
      <c r="H3" s="25" t="s">
        <v>25</v>
      </c>
      <c r="I3" s="25" t="s">
        <v>26</v>
      </c>
      <c r="J3" s="25" t="s">
        <v>27</v>
      </c>
      <c r="K3" s="25" t="s">
        <v>28</v>
      </c>
      <c r="L3" s="25" t="s">
        <v>16</v>
      </c>
      <c r="M3" s="25" t="s">
        <v>20</v>
      </c>
      <c r="N3" s="25" t="s">
        <v>19</v>
      </c>
      <c r="O3" s="26" t="s">
        <v>21</v>
      </c>
      <c r="P3" s="25" t="s">
        <v>22</v>
      </c>
      <c r="Q3" s="25" t="s">
        <v>63</v>
      </c>
      <c r="R3" s="25" t="s">
        <v>109</v>
      </c>
      <c r="S3" s="25" t="s">
        <v>63</v>
      </c>
      <c r="T3" s="129"/>
    </row>
    <row r="4" spans="1:22" s="179" customFormat="1" ht="15.75" x14ac:dyDescent="0.2">
      <c r="A4" s="277">
        <v>1</v>
      </c>
      <c r="B4" s="242" t="s">
        <v>10</v>
      </c>
      <c r="C4" s="262"/>
      <c r="D4" s="211">
        <f>E4</f>
        <v>0</v>
      </c>
      <c r="E4" s="245">
        <v>0</v>
      </c>
      <c r="F4" s="177"/>
      <c r="G4" s="245"/>
      <c r="H4" s="245"/>
      <c r="I4" s="245"/>
      <c r="J4" s="245"/>
      <c r="K4" s="245"/>
      <c r="L4" s="247"/>
      <c r="M4" s="247"/>
      <c r="N4" s="248"/>
      <c r="O4" s="247"/>
      <c r="P4" s="248"/>
      <c r="Q4" s="252"/>
      <c r="R4" s="143">
        <v>0</v>
      </c>
      <c r="S4" s="143"/>
      <c r="T4" s="178"/>
      <c r="V4" s="180"/>
    </row>
    <row r="5" spans="1:22" s="179" customFormat="1" ht="15.75" x14ac:dyDescent="0.2">
      <c r="A5" s="278">
        <v>2</v>
      </c>
      <c r="B5" s="242" t="s">
        <v>3</v>
      </c>
      <c r="C5" s="242"/>
      <c r="D5" s="199">
        <f>E5</f>
        <v>0</v>
      </c>
      <c r="E5" s="249">
        <v>0</v>
      </c>
      <c r="F5" s="249"/>
      <c r="G5" s="249"/>
      <c r="H5" s="249"/>
      <c r="I5" s="249"/>
      <c r="J5" s="249"/>
      <c r="K5" s="249"/>
      <c r="L5" s="110"/>
      <c r="M5" s="110"/>
      <c r="N5" s="263"/>
      <c r="O5" s="110"/>
      <c r="P5" s="263"/>
      <c r="Q5" s="250"/>
      <c r="R5" s="143">
        <v>0</v>
      </c>
      <c r="S5" s="143"/>
      <c r="T5" s="178"/>
      <c r="V5" s="180"/>
    </row>
    <row r="6" spans="1:22" ht="23.25" x14ac:dyDescent="0.25">
      <c r="A6" s="359" t="s">
        <v>89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1"/>
      <c r="R6" s="141"/>
      <c r="S6" s="141"/>
      <c r="T6" s="131"/>
    </row>
    <row r="7" spans="1:22" s="179" customFormat="1" ht="15.75" x14ac:dyDescent="0.2">
      <c r="A7" s="277">
        <v>1</v>
      </c>
      <c r="B7" s="242" t="s">
        <v>18</v>
      </c>
      <c r="C7" s="383" t="s">
        <v>36</v>
      </c>
      <c r="D7" s="386">
        <f>SUM(Q7:Q10)</f>
        <v>0</v>
      </c>
      <c r="E7" s="110">
        <v>20000</v>
      </c>
      <c r="F7" s="110"/>
      <c r="G7" s="249"/>
      <c r="H7" s="110"/>
      <c r="I7" s="110"/>
      <c r="J7" s="110"/>
      <c r="K7" s="110"/>
      <c r="L7" s="247"/>
      <c r="M7" s="247"/>
      <c r="N7" s="248"/>
      <c r="O7" s="247"/>
      <c r="P7" s="248"/>
      <c r="Q7" s="252">
        <v>0</v>
      </c>
      <c r="R7" s="143"/>
      <c r="S7" s="143"/>
      <c r="T7" s="178"/>
      <c r="U7" s="178"/>
      <c r="V7" s="180"/>
    </row>
    <row r="8" spans="1:22" s="179" customFormat="1" ht="15.75" x14ac:dyDescent="0.2">
      <c r="A8" s="278">
        <v>2</v>
      </c>
      <c r="B8" s="242" t="s">
        <v>169</v>
      </c>
      <c r="C8" s="384"/>
      <c r="D8" s="387"/>
      <c r="E8" s="110">
        <v>25000</v>
      </c>
      <c r="F8" s="110"/>
      <c r="G8" s="249"/>
      <c r="H8" s="110"/>
      <c r="I8" s="110"/>
      <c r="J8" s="110"/>
      <c r="K8" s="110"/>
      <c r="L8" s="247"/>
      <c r="M8" s="247"/>
      <c r="N8" s="248"/>
      <c r="O8" s="247"/>
      <c r="P8" s="248"/>
      <c r="Q8" s="252">
        <v>0</v>
      </c>
      <c r="R8" s="143"/>
      <c r="S8" s="143"/>
      <c r="T8" s="178"/>
      <c r="U8" s="178"/>
      <c r="V8" s="180"/>
    </row>
    <row r="9" spans="1:22" s="179" customFormat="1" ht="15.75" x14ac:dyDescent="0.2">
      <c r="A9" s="277">
        <v>3</v>
      </c>
      <c r="B9" s="242" t="s">
        <v>30</v>
      </c>
      <c r="C9" s="384"/>
      <c r="D9" s="387"/>
      <c r="E9" s="110">
        <v>20000</v>
      </c>
      <c r="F9" s="110"/>
      <c r="G9" s="249"/>
      <c r="H9" s="110"/>
      <c r="I9" s="110"/>
      <c r="J9" s="110"/>
      <c r="K9" s="110"/>
      <c r="L9" s="247"/>
      <c r="M9" s="247"/>
      <c r="N9" s="248"/>
      <c r="O9" s="247"/>
      <c r="P9" s="248"/>
      <c r="Q9" s="252">
        <v>0</v>
      </c>
      <c r="R9" s="143"/>
      <c r="S9" s="143"/>
      <c r="T9" s="178"/>
      <c r="V9" s="180"/>
    </row>
    <row r="10" spans="1:22" s="179" customFormat="1" ht="15.75" x14ac:dyDescent="0.2">
      <c r="A10" s="278">
        <v>4</v>
      </c>
      <c r="B10" s="242" t="s">
        <v>8</v>
      </c>
      <c r="C10" s="385"/>
      <c r="D10" s="388"/>
      <c r="E10" s="110">
        <v>15000</v>
      </c>
      <c r="F10" s="110"/>
      <c r="G10" s="249"/>
      <c r="H10" s="110"/>
      <c r="I10" s="110"/>
      <c r="J10" s="110"/>
      <c r="K10" s="110"/>
      <c r="L10" s="247"/>
      <c r="M10" s="247"/>
      <c r="N10" s="248"/>
      <c r="O10" s="247"/>
      <c r="P10" s="248"/>
      <c r="Q10" s="252">
        <v>0</v>
      </c>
      <c r="R10" s="143"/>
      <c r="S10" s="143"/>
      <c r="T10" s="178"/>
      <c r="V10" s="181"/>
    </row>
    <row r="11" spans="1:22" s="273" customFormat="1" ht="21" x14ac:dyDescent="0.3">
      <c r="A11" s="365" t="s">
        <v>2</v>
      </c>
      <c r="B11" s="366"/>
      <c r="C11" s="313"/>
      <c r="D11" s="313"/>
      <c r="E11" s="315">
        <f>SUM(E7:E10)</f>
        <v>80000</v>
      </c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271">
        <f>SUM(Q7:Q10)</f>
        <v>0</v>
      </c>
      <c r="R11" s="307">
        <f t="shared" ref="R11:S11" si="0">SUM(R7:R10)</f>
        <v>0</v>
      </c>
      <c r="S11" s="307">
        <f t="shared" si="0"/>
        <v>0</v>
      </c>
      <c r="T11" s="272"/>
      <c r="V11" s="274"/>
    </row>
    <row r="12" spans="1:22" s="273" customFormat="1" ht="21" x14ac:dyDescent="0.3">
      <c r="A12" s="309"/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10"/>
      <c r="R12" s="311"/>
      <c r="S12" s="311"/>
      <c r="T12" s="311"/>
      <c r="V12" s="312"/>
    </row>
    <row r="13" spans="1:22" s="227" customFormat="1" ht="21" customHeight="1" x14ac:dyDescent="0.2">
      <c r="A13" s="362" t="s">
        <v>90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4"/>
      <c r="R13" s="308"/>
      <c r="S13" s="308"/>
      <c r="T13" s="226"/>
      <c r="V13" s="228"/>
    </row>
    <row r="14" spans="1:22" s="179" customFormat="1" ht="15.75" x14ac:dyDescent="0.2">
      <c r="A14" s="278">
        <v>1</v>
      </c>
      <c r="B14" s="242" t="str">
        <f>'Salary Record'!C75</f>
        <v>Ashraf Bhai</v>
      </c>
      <c r="C14" s="182"/>
      <c r="D14" s="183"/>
      <c r="E14" s="110">
        <f>'Salary Record'!K74</f>
        <v>65000</v>
      </c>
      <c r="F14" s="110">
        <f>'Salary Record'!C80</f>
        <v>31</v>
      </c>
      <c r="G14" s="249">
        <f>'Salary Record'!C81</f>
        <v>0</v>
      </c>
      <c r="H14" s="110">
        <f>'Salary Record'!I79</f>
        <v>0</v>
      </c>
      <c r="I14" s="110">
        <f>'Salary Record'!I78</f>
        <v>31</v>
      </c>
      <c r="J14" s="253">
        <f>'Salary Record'!K79</f>
        <v>0</v>
      </c>
      <c r="K14" s="253">
        <f>'Salary Record'!K80</f>
        <v>65000.000000000007</v>
      </c>
      <c r="L14" s="254">
        <f>'Salary Record'!G78</f>
        <v>20000</v>
      </c>
      <c r="M14" s="255">
        <f>'Salary Record'!G79</f>
        <v>5000</v>
      </c>
      <c r="N14" s="256">
        <f>'Salary Record'!G80</f>
        <v>25000</v>
      </c>
      <c r="O14" s="255">
        <f>'Salary Record'!G81</f>
        <v>5000</v>
      </c>
      <c r="P14" s="256">
        <f>'Salary Record'!G82</f>
        <v>20000</v>
      </c>
      <c r="Q14" s="257">
        <f>'Salary Record'!K82</f>
        <v>60000.000000000007</v>
      </c>
      <c r="R14" s="143">
        <v>22000</v>
      </c>
      <c r="S14" s="143">
        <f>Q14-R14</f>
        <v>38000.000000000007</v>
      </c>
      <c r="T14" s="178"/>
      <c r="U14" s="178"/>
      <c r="V14" s="186"/>
    </row>
    <row r="15" spans="1:22" s="179" customFormat="1" ht="15.75" x14ac:dyDescent="0.2">
      <c r="A15" s="278">
        <v>2</v>
      </c>
      <c r="B15" s="242" t="s">
        <v>14</v>
      </c>
      <c r="C15" s="182"/>
      <c r="D15" s="183"/>
      <c r="E15" s="110">
        <f>'Salary Record'!K58</f>
        <v>45000</v>
      </c>
      <c r="F15" s="110">
        <f>'Salary Record'!C64</f>
        <v>31</v>
      </c>
      <c r="G15" s="249">
        <f>'Salary Record'!C65</f>
        <v>0</v>
      </c>
      <c r="H15" s="110">
        <f>'Salary Record'!I63</f>
        <v>0</v>
      </c>
      <c r="I15" s="110">
        <f>'Salary Record'!I62</f>
        <v>31</v>
      </c>
      <c r="J15" s="245">
        <f>'Salary Record'!K63</f>
        <v>0</v>
      </c>
      <c r="K15" s="110">
        <f>'Salary Record'!K64</f>
        <v>45000</v>
      </c>
      <c r="L15" s="246">
        <f>'Salary Record'!G62</f>
        <v>0</v>
      </c>
      <c r="M15" s="246">
        <f>'Salary Record'!G63</f>
        <v>5000</v>
      </c>
      <c r="N15" s="246">
        <f>'Salary Record'!G64</f>
        <v>5000</v>
      </c>
      <c r="O15" s="246">
        <f>'Salary Record'!G65</f>
        <v>5000</v>
      </c>
      <c r="P15" s="246">
        <f>'Salary Record'!G66</f>
        <v>0</v>
      </c>
      <c r="Q15" s="252">
        <f>'Salary Record'!K66</f>
        <v>40000</v>
      </c>
      <c r="R15" s="143"/>
      <c r="S15" s="143"/>
      <c r="T15" s="178"/>
      <c r="U15" s="178"/>
      <c r="V15" s="180"/>
    </row>
    <row r="16" spans="1:22" s="179" customFormat="1" ht="21" customHeight="1" x14ac:dyDescent="0.2">
      <c r="A16" s="277">
        <v>3</v>
      </c>
      <c r="B16" s="242" t="s">
        <v>17</v>
      </c>
      <c r="C16" s="184" t="s">
        <v>34</v>
      </c>
      <c r="D16" s="185">
        <f>SUM(Q16:Q45)</f>
        <v>1473782.2580645161</v>
      </c>
      <c r="E16" s="110">
        <f>'Salary Record'!K9</f>
        <v>60000</v>
      </c>
      <c r="F16" s="110">
        <f>'Salary Record'!C15</f>
        <v>29</v>
      </c>
      <c r="G16" s="110">
        <f>'Salary Record'!C16</f>
        <v>2</v>
      </c>
      <c r="H16" s="245">
        <f>'Salary Record'!I14</f>
        <v>0</v>
      </c>
      <c r="I16" s="110">
        <f>'Salary Record'!I13</f>
        <v>31</v>
      </c>
      <c r="J16" s="245">
        <f>'Salary Record'!K14</f>
        <v>0</v>
      </c>
      <c r="K16" s="110">
        <f>'Salary Record'!K15</f>
        <v>60000</v>
      </c>
      <c r="L16" s="246">
        <f>'Salary Record'!U9</f>
        <v>0</v>
      </c>
      <c r="M16" s="247">
        <f>'Salary Record'!V9</f>
        <v>0</v>
      </c>
      <c r="N16" s="248">
        <f>'Salary Record'!W9</f>
        <v>0</v>
      </c>
      <c r="O16" s="248">
        <f>'Salary Record'!X9</f>
        <v>0</v>
      </c>
      <c r="P16" s="248">
        <f>'Salary Record'!Y9</f>
        <v>0</v>
      </c>
      <c r="Q16" s="252">
        <f>'Salary Record'!K17</f>
        <v>60000</v>
      </c>
      <c r="R16" s="143"/>
      <c r="S16" s="143"/>
      <c r="T16" s="178"/>
      <c r="U16" s="178"/>
      <c r="V16" s="180"/>
    </row>
    <row r="17" spans="1:24" s="179" customFormat="1" ht="21" customHeight="1" x14ac:dyDescent="0.2">
      <c r="A17" s="278">
        <v>4</v>
      </c>
      <c r="B17" s="349" t="str">
        <f>'Salary Record'!C123</f>
        <v>Ahsan Khan</v>
      </c>
      <c r="C17" s="198"/>
      <c r="D17" s="199"/>
      <c r="E17" s="246">
        <f>'Salary Record'!K122</f>
        <v>38000</v>
      </c>
      <c r="F17" s="246">
        <f>'Salary Record'!C128</f>
        <v>25</v>
      </c>
      <c r="G17" s="251">
        <f>'Salary Record'!C129</f>
        <v>6</v>
      </c>
      <c r="H17" s="246">
        <f>'Salary Record'!I127</f>
        <v>0</v>
      </c>
      <c r="I17" s="246">
        <f>'Salary Record'!I126</f>
        <v>29</v>
      </c>
      <c r="J17" s="245">
        <f>'Salary Record'!K127</f>
        <v>0</v>
      </c>
      <c r="K17" s="245">
        <f>'Salary Record'!K128</f>
        <v>35548.38709677419</v>
      </c>
      <c r="L17" s="246">
        <f>'Salary Record'!G126</f>
        <v>35000</v>
      </c>
      <c r="M17" s="246">
        <f>'Salary Record'!G127</f>
        <v>5000</v>
      </c>
      <c r="N17" s="248">
        <f>'Salary Record'!G128</f>
        <v>40000</v>
      </c>
      <c r="O17" s="246">
        <f>'Salary Record'!G129</f>
        <v>5000</v>
      </c>
      <c r="P17" s="248">
        <f>'Salary Record'!G130</f>
        <v>35000</v>
      </c>
      <c r="Q17" s="252">
        <f>'Salary Record'!K130</f>
        <v>30548.38709677419</v>
      </c>
      <c r="R17" s="207"/>
      <c r="S17" s="143"/>
      <c r="T17" s="178"/>
      <c r="V17" s="180">
        <f>Q14+Q15+Q16+Q37+Q39+Q67+Q68</f>
        <v>337120.96774193551</v>
      </c>
      <c r="W17" s="178"/>
    </row>
    <row r="18" spans="1:24" s="179" customFormat="1" ht="15.75" x14ac:dyDescent="0.2">
      <c r="A18" s="278">
        <v>5</v>
      </c>
      <c r="B18" s="242" t="str">
        <f>'Salary Record'!C26</f>
        <v>Mossi</v>
      </c>
      <c r="C18" s="187"/>
      <c r="D18" s="188"/>
      <c r="E18" s="110">
        <f>'Salary Record'!K25</f>
        <v>5000</v>
      </c>
      <c r="F18" s="110">
        <f>'Salary Record'!C31</f>
        <v>0</v>
      </c>
      <c r="G18" s="249">
        <f>'Salary Record'!C32</f>
        <v>0</v>
      </c>
      <c r="H18" s="110"/>
      <c r="I18" s="110">
        <f>'Salary Record'!I29</f>
        <v>0</v>
      </c>
      <c r="J18" s="110"/>
      <c r="K18" s="110">
        <f>'Salary Record'!K31</f>
        <v>5000</v>
      </c>
      <c r="L18" s="247">
        <f>'Salary Record'!G29</f>
        <v>0</v>
      </c>
      <c r="M18" s="247">
        <f>'Salary Record'!G30</f>
        <v>0</v>
      </c>
      <c r="N18" s="248">
        <f>'Salary Record'!G31</f>
        <v>0</v>
      </c>
      <c r="O18" s="247">
        <f>'Salary Record'!G32</f>
        <v>0</v>
      </c>
      <c r="P18" s="248">
        <f>'Salary Record'!G33</f>
        <v>0</v>
      </c>
      <c r="Q18" s="252">
        <f>'Salary Record'!K33</f>
        <v>5000</v>
      </c>
      <c r="R18" s="143"/>
      <c r="S18" s="143"/>
      <c r="T18" s="178"/>
      <c r="V18" s="180"/>
    </row>
    <row r="19" spans="1:24" s="179" customFormat="1" ht="15.75" x14ac:dyDescent="0.2">
      <c r="A19" s="277">
        <v>6</v>
      </c>
      <c r="B19" s="242" t="str">
        <f>'Salary Record'!C42</f>
        <v>Umer Farooq</v>
      </c>
      <c r="C19" s="182"/>
      <c r="D19" s="183"/>
      <c r="E19" s="110">
        <f>'Salary Record'!K41</f>
        <v>18000</v>
      </c>
      <c r="F19" s="110">
        <f>'Salary Record'!C47</f>
        <v>0</v>
      </c>
      <c r="G19" s="249">
        <f>'Salary Record'!C48</f>
        <v>0</v>
      </c>
      <c r="H19" s="110">
        <f>'Salary Record'!I46</f>
        <v>0</v>
      </c>
      <c r="I19" s="110">
        <f>'Salary Record'!I45</f>
        <v>31</v>
      </c>
      <c r="J19" s="258">
        <f>'Salary Record'!K46</f>
        <v>0</v>
      </c>
      <c r="K19" s="258">
        <f>'Salary Record'!K47</f>
        <v>18000</v>
      </c>
      <c r="L19" s="259">
        <f>'Salary Record'!G45</f>
        <v>5000</v>
      </c>
      <c r="M19" s="259">
        <f>'Salary Record'!G46</f>
        <v>0</v>
      </c>
      <c r="N19" s="260">
        <f>'Salary Record'!G47</f>
        <v>5000</v>
      </c>
      <c r="O19" s="259">
        <f>'Salary Record'!G48</f>
        <v>0</v>
      </c>
      <c r="P19" s="260">
        <f>'Salary Record'!G49</f>
        <v>5000</v>
      </c>
      <c r="Q19" s="261">
        <f>'Salary Record'!K49</f>
        <v>18000</v>
      </c>
      <c r="R19" s="143"/>
      <c r="S19" s="143"/>
      <c r="T19" s="178"/>
      <c r="U19" s="178"/>
      <c r="V19" s="180"/>
    </row>
    <row r="20" spans="1:24" s="273" customFormat="1" ht="21" x14ac:dyDescent="0.3">
      <c r="A20" s="365" t="s">
        <v>2</v>
      </c>
      <c r="B20" s="366"/>
      <c r="C20" s="313"/>
      <c r="D20" s="313"/>
      <c r="E20" s="315">
        <f>SUM(E14:E19)</f>
        <v>231000</v>
      </c>
      <c r="F20" s="313"/>
      <c r="G20" s="313"/>
      <c r="H20" s="313"/>
      <c r="I20" s="313"/>
      <c r="J20" s="314">
        <f>SUM(J15:J19)</f>
        <v>0</v>
      </c>
      <c r="K20" s="313"/>
      <c r="L20" s="313"/>
      <c r="M20" s="313"/>
      <c r="N20" s="313"/>
      <c r="O20" s="313"/>
      <c r="P20" s="313"/>
      <c r="Q20" s="315">
        <f>SUM(Q14:Q19)</f>
        <v>213548.38709677418</v>
      </c>
      <c r="R20" s="307">
        <f t="shared" ref="R20:S20" si="1">SUM(R15:R19)</f>
        <v>0</v>
      </c>
      <c r="S20" s="307">
        <f t="shared" si="1"/>
        <v>0</v>
      </c>
      <c r="T20" s="272"/>
      <c r="U20" s="311"/>
      <c r="V20" s="274"/>
    </row>
    <row r="21" spans="1:24" s="273" customFormat="1" ht="21" x14ac:dyDescent="0.3">
      <c r="A21" s="309"/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10"/>
      <c r="R21" s="311"/>
      <c r="S21" s="311"/>
      <c r="T21" s="311"/>
      <c r="V21" s="312"/>
    </row>
    <row r="22" spans="1:24" s="223" customFormat="1" ht="21" customHeight="1" x14ac:dyDescent="0.2">
      <c r="A22" s="359" t="s">
        <v>95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1"/>
      <c r="R22" s="221"/>
      <c r="S22" s="221"/>
      <c r="T22" s="222"/>
      <c r="U22" s="229"/>
      <c r="V22" s="224"/>
    </row>
    <row r="23" spans="1:24" s="193" customFormat="1" ht="20.25" customHeight="1" x14ac:dyDescent="0.2">
      <c r="A23" s="278">
        <v>1</v>
      </c>
      <c r="B23" s="354" t="str">
        <f>'Salary Record'!C491</f>
        <v>Khizer Mujeeb</v>
      </c>
      <c r="C23" s="189"/>
      <c r="D23" s="190"/>
      <c r="E23" s="264">
        <f>'Salary Record'!K490</f>
        <v>29500</v>
      </c>
      <c r="F23" s="264">
        <f>'Salary Record'!C496</f>
        <v>31</v>
      </c>
      <c r="G23" s="265">
        <f>'Salary Record'!C497</f>
        <v>0</v>
      </c>
      <c r="H23" s="264">
        <f>'Salary Record'!I495</f>
        <v>31</v>
      </c>
      <c r="I23" s="264">
        <f>'Salary Record'!I494</f>
        <v>31</v>
      </c>
      <c r="J23" s="238">
        <f>'Salary Record'!K495</f>
        <v>3687.5</v>
      </c>
      <c r="K23" s="264">
        <f>'Salary Record'!K496</f>
        <v>33187.5</v>
      </c>
      <c r="L23" s="239">
        <f>'Salary Record'!G494</f>
        <v>0</v>
      </c>
      <c r="M23" s="240">
        <f>'Salary Record'!G495</f>
        <v>0</v>
      </c>
      <c r="N23" s="241">
        <f>'Salary Record'!G496</f>
        <v>0</v>
      </c>
      <c r="O23" s="240">
        <f>'Salary Record'!G497</f>
        <v>0</v>
      </c>
      <c r="P23" s="241">
        <f>'Salary Record'!G498</f>
        <v>0</v>
      </c>
      <c r="Q23" s="303">
        <f>'Salary Record'!K498</f>
        <v>33187.5</v>
      </c>
      <c r="R23" s="191"/>
      <c r="S23" s="192">
        <f>Q23-R23</f>
        <v>33187.5</v>
      </c>
      <c r="T23" s="178" t="s">
        <v>135</v>
      </c>
      <c r="V23" s="194"/>
    </row>
    <row r="24" spans="1:24" ht="20.25" customHeight="1" x14ac:dyDescent="0.25">
      <c r="A24" s="280">
        <v>2</v>
      </c>
      <c r="B24" s="327" t="str">
        <f>'Salary Record'!C459</f>
        <v>Hassan Khan</v>
      </c>
      <c r="C24" s="99"/>
      <c r="D24" s="92"/>
      <c r="E24" s="22">
        <f>'Salary Record'!K458</f>
        <v>24500</v>
      </c>
      <c r="F24" s="22">
        <f>'Salary Record'!C464</f>
        <v>31</v>
      </c>
      <c r="G24" s="16">
        <f>'Salary Record'!C465</f>
        <v>0</v>
      </c>
      <c r="H24" s="22">
        <f>'Salary Record'!I463</f>
        <v>79</v>
      </c>
      <c r="I24" s="22">
        <f>'Salary Record'!I462</f>
        <v>31</v>
      </c>
      <c r="J24" s="16">
        <f>'Salary Record'!K463</f>
        <v>7804.4354838709678</v>
      </c>
      <c r="K24" s="10">
        <f>'Salary Record'!K464</f>
        <v>32304.43548387097</v>
      </c>
      <c r="L24" s="9">
        <f>'Salary Record'!G462</f>
        <v>0</v>
      </c>
      <c r="M24" s="17">
        <f>'Salary Record'!G463</f>
        <v>0</v>
      </c>
      <c r="N24" s="18">
        <f>'Salary Record'!G464</f>
        <v>0</v>
      </c>
      <c r="O24" s="17">
        <f>'Salary Record'!G465</f>
        <v>0</v>
      </c>
      <c r="P24" s="18">
        <f>'Salary Record'!G466</f>
        <v>0</v>
      </c>
      <c r="Q24" s="143">
        <f>'Salary Record'!K466</f>
        <v>32304.43548387097</v>
      </c>
      <c r="R24" s="23"/>
      <c r="S24" s="23"/>
      <c r="T24" s="130"/>
    </row>
    <row r="25" spans="1:24" s="179" customFormat="1" ht="21" customHeight="1" x14ac:dyDescent="0.2">
      <c r="A25" s="278">
        <v>3</v>
      </c>
      <c r="B25" s="327" t="str">
        <f>'Salary Record'!C475</f>
        <v>Noor ul Islam</v>
      </c>
      <c r="C25" s="210"/>
      <c r="D25" s="211"/>
      <c r="E25" s="110">
        <f>'Salary Record'!K474</f>
        <v>30000</v>
      </c>
      <c r="F25" s="110">
        <f>'Salary Record'!C480</f>
        <v>31</v>
      </c>
      <c r="G25" s="249">
        <f>'Salary Record'!C481</f>
        <v>0</v>
      </c>
      <c r="H25" s="110">
        <f>'Salary Record'!I479</f>
        <v>11</v>
      </c>
      <c r="I25" s="110">
        <f>'Salary Record'!I478</f>
        <v>31</v>
      </c>
      <c r="J25" s="249">
        <f>'Salary Record'!K479</f>
        <v>1330.6451612903227</v>
      </c>
      <c r="K25" s="245">
        <f>'Salary Record'!K480</f>
        <v>31330.645161290322</v>
      </c>
      <c r="L25" s="246">
        <f>'Salary Record'!G478</f>
        <v>0</v>
      </c>
      <c r="M25" s="247">
        <f>'Salary Record'!G479</f>
        <v>0</v>
      </c>
      <c r="N25" s="248" t="str">
        <f>'Salary Record'!G480</f>
        <v/>
      </c>
      <c r="O25" s="247">
        <f>'Salary Record'!G481</f>
        <v>0</v>
      </c>
      <c r="P25" s="248" t="str">
        <f>'Salary Record'!G482</f>
        <v/>
      </c>
      <c r="Q25" s="250">
        <f>'Salary Record'!K482</f>
        <v>31330.645161290322</v>
      </c>
      <c r="R25" s="143"/>
      <c r="S25" s="143"/>
      <c r="T25" s="178"/>
      <c r="V25" s="180"/>
    </row>
    <row r="26" spans="1:24" s="179" customFormat="1" ht="20.25" customHeight="1" x14ac:dyDescent="0.25">
      <c r="A26" s="280">
        <v>4</v>
      </c>
      <c r="B26" s="353" t="str">
        <f>'Salary Record'!C443</f>
        <v>Junaid</v>
      </c>
      <c r="C26" s="195"/>
      <c r="D26" s="196"/>
      <c r="E26" s="246">
        <f>'Salary Record'!K442</f>
        <v>24500</v>
      </c>
      <c r="F26" s="331">
        <f>'Salary Record'!C448</f>
        <v>31</v>
      </c>
      <c r="G26" s="332">
        <f>'Salary Record'!C449</f>
        <v>0</v>
      </c>
      <c r="H26" s="334">
        <f>'Salary Record'!I447</f>
        <v>65</v>
      </c>
      <c r="I26" s="246">
        <f>'Salary Record'!I446</f>
        <v>31</v>
      </c>
      <c r="J26" s="245">
        <f>'Salary Record'!K447</f>
        <v>6421.3709677419356</v>
      </c>
      <c r="K26" s="110">
        <f>'Salary Record'!K448</f>
        <v>30921.370967741936</v>
      </c>
      <c r="L26" s="246">
        <f>'Salary Record'!G446</f>
        <v>0</v>
      </c>
      <c r="M26" s="246">
        <f>'Salary Record'!G447</f>
        <v>0</v>
      </c>
      <c r="N26" s="248">
        <f>'Salary Record'!G448</f>
        <v>0</v>
      </c>
      <c r="O26" s="246">
        <f>'Salary Record'!G449</f>
        <v>0</v>
      </c>
      <c r="P26" s="248">
        <f>'Salary Record'!G450</f>
        <v>0</v>
      </c>
      <c r="Q26" s="250">
        <f>'Salary Record'!K450</f>
        <v>30921.370967741936</v>
      </c>
      <c r="R26" s="197"/>
      <c r="S26" s="143">
        <f>Q26-R26</f>
        <v>30921.370967741936</v>
      </c>
      <c r="T26" s="178"/>
      <c r="V26" s="180"/>
      <c r="X26" s="178"/>
    </row>
    <row r="27" spans="1:24" s="273" customFormat="1" ht="21" x14ac:dyDescent="0.3">
      <c r="A27" s="365" t="s">
        <v>2</v>
      </c>
      <c r="B27" s="366"/>
      <c r="C27" s="313"/>
      <c r="D27" s="313"/>
      <c r="E27" s="315">
        <f>SUM(E23:E26)</f>
        <v>108500</v>
      </c>
      <c r="F27" s="313"/>
      <c r="G27" s="313"/>
      <c r="H27" s="313"/>
      <c r="I27" s="313"/>
      <c r="J27" s="328">
        <f>SUM(J23:J26)</f>
        <v>19243.951612903227</v>
      </c>
      <c r="K27" s="313"/>
      <c r="L27" s="313"/>
      <c r="M27" s="313"/>
      <c r="N27" s="313"/>
      <c r="O27" s="313"/>
      <c r="P27" s="313"/>
      <c r="Q27" s="271">
        <f>SUM(Q23:Q26)</f>
        <v>127743.95161290323</v>
      </c>
      <c r="R27" s="307">
        <f>SUM(R21:R26)</f>
        <v>0</v>
      </c>
      <c r="S27" s="307">
        <f>SUM(S21:S26)</f>
        <v>64108.870967741939</v>
      </c>
      <c r="T27" s="272">
        <f>Q27-Q25</f>
        <v>96413.306451612909</v>
      </c>
      <c r="U27" s="311"/>
      <c r="V27" s="274"/>
    </row>
    <row r="28" spans="1:24" s="273" customFormat="1" ht="21" x14ac:dyDescent="0.3">
      <c r="A28" s="309"/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09"/>
      <c r="Q28" s="310"/>
      <c r="R28" s="311"/>
      <c r="S28" s="311"/>
      <c r="T28" s="311"/>
      <c r="V28" s="312"/>
    </row>
    <row r="29" spans="1:24" s="227" customFormat="1" ht="21" customHeight="1" x14ac:dyDescent="0.2">
      <c r="A29" s="362" t="s">
        <v>94</v>
      </c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4"/>
      <c r="R29" s="225"/>
      <c r="S29" s="225"/>
      <c r="T29" s="338"/>
      <c r="V29" s="228"/>
    </row>
    <row r="30" spans="1:24" s="179" customFormat="1" ht="21" customHeight="1" x14ac:dyDescent="0.2">
      <c r="A30" s="277">
        <v>1</v>
      </c>
      <c r="B30" s="353" t="str">
        <f>'Salary Record'!C539</f>
        <v>Ahsan Razak</v>
      </c>
      <c r="C30" s="200"/>
      <c r="D30" s="201"/>
      <c r="E30" s="110">
        <f>'Salary Record'!K538</f>
        <v>26500</v>
      </c>
      <c r="F30" s="110">
        <f>'Salary Record'!C544</f>
        <v>31</v>
      </c>
      <c r="G30" s="249">
        <f>'Salary Record'!C545</f>
        <v>0</v>
      </c>
      <c r="H30" s="110">
        <f>'Salary Record'!I543</f>
        <v>69</v>
      </c>
      <c r="I30" s="110">
        <f>'Salary Record'!I542</f>
        <v>31</v>
      </c>
      <c r="J30" s="249">
        <f>'Salary Record'!K543</f>
        <v>7372.9838709677424</v>
      </c>
      <c r="K30" s="249">
        <f>'Salary Record'!K544</f>
        <v>33872.983870967742</v>
      </c>
      <c r="L30" s="268">
        <f>'Salary Record'!G542</f>
        <v>5000</v>
      </c>
      <c r="M30" s="110">
        <f>'Salary Record'!G543</f>
        <v>0</v>
      </c>
      <c r="N30" s="263">
        <f>'Salary Record'!G544</f>
        <v>5000</v>
      </c>
      <c r="O30" s="110">
        <f>'Salary Record'!G545</f>
        <v>5000</v>
      </c>
      <c r="P30" s="263">
        <f>'Salary Record'!G546</f>
        <v>0</v>
      </c>
      <c r="Q30" s="250">
        <f>'Salary Record'!K546</f>
        <v>28872.983870967742</v>
      </c>
      <c r="R30" s="143">
        <v>5000</v>
      </c>
      <c r="S30" s="143">
        <f>Q30-R30</f>
        <v>23872.983870967742</v>
      </c>
      <c r="T30" s="178" t="s">
        <v>135</v>
      </c>
      <c r="U30" s="178"/>
      <c r="V30" s="186"/>
    </row>
    <row r="31" spans="1:24" s="179" customFormat="1" ht="21" customHeight="1" x14ac:dyDescent="0.2">
      <c r="A31" s="277">
        <v>2</v>
      </c>
      <c r="B31" s="353" t="str">
        <f>'Salary Record'!C507</f>
        <v>Suleman Dilawer</v>
      </c>
      <c r="C31" s="198"/>
      <c r="D31" s="199"/>
      <c r="E31" s="110">
        <f>'Salary Record'!K506</f>
        <v>27000</v>
      </c>
      <c r="F31" s="110">
        <f>'Salary Record'!C512</f>
        <v>30</v>
      </c>
      <c r="G31" s="249">
        <f>'Salary Record'!C513</f>
        <v>1</v>
      </c>
      <c r="H31" s="110">
        <f>'Salary Record'!I511</f>
        <v>67</v>
      </c>
      <c r="I31" s="110">
        <f>'Salary Record'!I510</f>
        <v>30</v>
      </c>
      <c r="J31" s="245">
        <f>'Salary Record'!K511</f>
        <v>7294.354838709678</v>
      </c>
      <c r="K31" s="245">
        <f>'Salary Record'!K512</f>
        <v>33423.387096774197</v>
      </c>
      <c r="L31" s="246">
        <f>'Salary Record'!G510</f>
        <v>0</v>
      </c>
      <c r="M31" s="247">
        <f>'Salary Record'!G511</f>
        <v>0</v>
      </c>
      <c r="N31" s="248">
        <f>'Salary Record'!G512</f>
        <v>0</v>
      </c>
      <c r="O31" s="247">
        <f>'Salary Record'!G513</f>
        <v>0</v>
      </c>
      <c r="P31" s="248">
        <f>'Salary Record'!G514</f>
        <v>0</v>
      </c>
      <c r="Q31" s="250">
        <f>'Salary Record'!K514</f>
        <v>33423.387096774197</v>
      </c>
      <c r="R31" s="207">
        <v>0</v>
      </c>
      <c r="S31" s="143"/>
      <c r="T31" s="178"/>
      <c r="V31" s="180"/>
    </row>
    <row r="32" spans="1:24" s="179" customFormat="1" ht="21" customHeight="1" x14ac:dyDescent="0.2">
      <c r="A32" s="277">
        <v>3</v>
      </c>
      <c r="B32" s="353" t="str">
        <f>'Salary Record'!C523</f>
        <v>Mumtaz Ali Chakar</v>
      </c>
      <c r="C32" s="198"/>
      <c r="D32" s="199"/>
      <c r="E32" s="267">
        <f>'Salary Record'!K522</f>
        <v>34500</v>
      </c>
      <c r="F32" s="267">
        <f>'Salary Record'!C528</f>
        <v>31</v>
      </c>
      <c r="G32" s="245">
        <f>'Salary Record'!C529</f>
        <v>0</v>
      </c>
      <c r="H32" s="267">
        <f>'Salary Record'!I527</f>
        <v>24</v>
      </c>
      <c r="I32" s="267">
        <f>'Salary Record'!I526</f>
        <v>31</v>
      </c>
      <c r="J32" s="245">
        <f>'Salary Record'!K527</f>
        <v>3338.7096774193551</v>
      </c>
      <c r="K32" s="110">
        <f>'Salary Record'!K528</f>
        <v>37838.709677419356</v>
      </c>
      <c r="L32" s="246">
        <f>'Salary Record'!G526</f>
        <v>0</v>
      </c>
      <c r="M32" s="247">
        <f>'Salary Record'!G527</f>
        <v>0</v>
      </c>
      <c r="N32" s="248">
        <f>'Salary Record'!G528</f>
        <v>0</v>
      </c>
      <c r="O32" s="247">
        <f>'Salary Record'!G529</f>
        <v>0</v>
      </c>
      <c r="P32" s="248">
        <f>'Salary Record'!G530</f>
        <v>0</v>
      </c>
      <c r="Q32" s="250">
        <f>'Salary Record'!K530</f>
        <v>37838.709677419356</v>
      </c>
      <c r="R32" s="197">
        <v>0</v>
      </c>
      <c r="S32" s="143"/>
      <c r="T32" s="178"/>
      <c r="V32" s="180"/>
    </row>
    <row r="33" spans="1:26" ht="15.75" x14ac:dyDescent="0.25">
      <c r="A33" s="277">
        <v>4</v>
      </c>
      <c r="B33" s="353" t="str">
        <f>'Salary Record'!C555</f>
        <v>Sufyan</v>
      </c>
      <c r="C33" s="102"/>
      <c r="D33" s="90"/>
      <c r="E33" s="9">
        <f>'Salary Record'!K554</f>
        <v>22000</v>
      </c>
      <c r="F33" s="9">
        <f>'Salary Record'!C560</f>
        <v>27</v>
      </c>
      <c r="G33" s="21">
        <f>'Salary Record'!C561</f>
        <v>4</v>
      </c>
      <c r="H33" s="9">
        <f>'Salary Record'!I559</f>
        <v>41</v>
      </c>
      <c r="I33" s="9">
        <f>'Salary Record'!I558</f>
        <v>31</v>
      </c>
      <c r="J33" s="16">
        <f>'Salary Record'!K559</f>
        <v>3637.0967741935483</v>
      </c>
      <c r="K33" s="16">
        <f>'Salary Record'!K560</f>
        <v>25637.096774193549</v>
      </c>
      <c r="L33" s="9">
        <f>'Salary Record'!G558</f>
        <v>45000</v>
      </c>
      <c r="M33" s="9">
        <f>'Salary Record'!G559</f>
        <v>0</v>
      </c>
      <c r="N33" s="18">
        <f>'Salary Record'!G560</f>
        <v>45000</v>
      </c>
      <c r="O33" s="9">
        <f>'Salary Record'!G561</f>
        <v>5000</v>
      </c>
      <c r="P33" s="18">
        <f>'Salary Record'!G562</f>
        <v>40000</v>
      </c>
      <c r="Q33" s="143">
        <f>'Salary Record'!K562</f>
        <v>20637.096774193549</v>
      </c>
      <c r="R33" s="144"/>
      <c r="S33" s="23"/>
      <c r="T33" s="130"/>
      <c r="U33" s="8"/>
    </row>
    <row r="34" spans="1:26" s="273" customFormat="1" ht="21" x14ac:dyDescent="0.3">
      <c r="A34" s="365" t="s">
        <v>2</v>
      </c>
      <c r="B34" s="366"/>
      <c r="C34" s="313"/>
      <c r="D34" s="313"/>
      <c r="E34" s="315">
        <f>SUM(E30:E33)</f>
        <v>110000</v>
      </c>
      <c r="F34" s="313"/>
      <c r="G34" s="313"/>
      <c r="H34" s="313"/>
      <c r="I34" s="313"/>
      <c r="J34" s="315">
        <f ca="1">SUM(J30:J81)</f>
        <v>20904.166666666664</v>
      </c>
      <c r="K34" s="313"/>
      <c r="L34" s="313"/>
      <c r="M34" s="313"/>
      <c r="N34" s="313"/>
      <c r="O34" s="313"/>
      <c r="P34" s="313"/>
      <c r="Q34" s="271">
        <f>SUM(Q30:Q33)</f>
        <v>120772.17741935485</v>
      </c>
      <c r="R34" s="307">
        <f ca="1">SUM(R29:R81)</f>
        <v>5000</v>
      </c>
      <c r="S34" s="307">
        <f ca="1">SUM(S29:S81)</f>
        <v>19757.291666666664</v>
      </c>
      <c r="T34" s="272"/>
      <c r="U34" s="311"/>
      <c r="V34" s="274"/>
    </row>
    <row r="35" spans="1:26" s="273" customFormat="1" ht="21" x14ac:dyDescent="0.3">
      <c r="A35" s="309"/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10"/>
      <c r="R35" s="311"/>
      <c r="S35" s="311"/>
      <c r="T35" s="311"/>
      <c r="V35" s="312"/>
    </row>
    <row r="36" spans="1:26" s="234" customFormat="1" ht="21" customHeight="1" x14ac:dyDescent="0.2">
      <c r="A36" s="367" t="s">
        <v>35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9"/>
      <c r="R36" s="230"/>
      <c r="S36" s="230"/>
      <c r="T36" s="231"/>
      <c r="U36" s="232"/>
      <c r="V36" s="233"/>
    </row>
    <row r="37" spans="1:26" s="179" customFormat="1" ht="21" customHeight="1" x14ac:dyDescent="0.2">
      <c r="A37" s="278">
        <v>1</v>
      </c>
      <c r="B37" s="327" t="s">
        <v>5</v>
      </c>
      <c r="C37" s="202"/>
      <c r="D37" s="203"/>
      <c r="E37" s="249">
        <f>'Salary Record'!K186</f>
        <v>60000</v>
      </c>
      <c r="F37" s="249">
        <f>'Salary Record'!C192</f>
        <v>31</v>
      </c>
      <c r="G37" s="249">
        <f>'Salary Record'!C193</f>
        <v>0</v>
      </c>
      <c r="H37" s="249">
        <f>'Salary Record'!I191</f>
        <v>113</v>
      </c>
      <c r="I37" s="249">
        <f>'Salary Record'!I190</f>
        <v>31</v>
      </c>
      <c r="J37" s="245">
        <f>'Salary Record'!K191</f>
        <v>27338.709677419356</v>
      </c>
      <c r="K37" s="245">
        <f>'Salary Record'!K192</f>
        <v>87338.709677419363</v>
      </c>
      <c r="L37" s="246">
        <f>'Salary Record'!G190</f>
        <v>88200</v>
      </c>
      <c r="M37" s="247">
        <f>'Salary Record'!G191</f>
        <v>0</v>
      </c>
      <c r="N37" s="248">
        <f>'Salary Record'!G192</f>
        <v>88200</v>
      </c>
      <c r="O37" s="247">
        <f>'Salary Record'!G193</f>
        <v>5000</v>
      </c>
      <c r="P37" s="248">
        <f>'Salary Record'!G194</f>
        <v>83200</v>
      </c>
      <c r="Q37" s="250">
        <f>'Salary Record'!K194</f>
        <v>82338.709677419363</v>
      </c>
      <c r="R37" s="143"/>
      <c r="S37" s="143"/>
      <c r="T37" s="178" t="s">
        <v>121</v>
      </c>
      <c r="U37" s="180"/>
      <c r="V37" s="180"/>
    </row>
    <row r="38" spans="1:26" s="179" customFormat="1" ht="21" customHeight="1" x14ac:dyDescent="0.2">
      <c r="A38" s="278">
        <v>2</v>
      </c>
      <c r="B38" s="242" t="str">
        <f>'Salary Record'!C139</f>
        <v>Amir (JPMC)</v>
      </c>
      <c r="C38" s="204"/>
      <c r="D38" s="201"/>
      <c r="E38" s="110">
        <f>'Salary Record'!K138</f>
        <v>43000</v>
      </c>
      <c r="F38" s="110">
        <f>'Salary Record'!C144</f>
        <v>31</v>
      </c>
      <c r="G38" s="249">
        <f>'Salary Record'!C145</f>
        <v>0</v>
      </c>
      <c r="H38" s="110">
        <f>'Salary Record'!I143</f>
        <v>29</v>
      </c>
      <c r="I38" s="110">
        <f>'Salary Record'!I142</f>
        <v>31</v>
      </c>
      <c r="J38" s="245">
        <f>'Salary Record'!K143</f>
        <v>5028.2258064516127</v>
      </c>
      <c r="K38" s="245">
        <f>'Salary Record'!K144</f>
        <v>48028.225806451614</v>
      </c>
      <c r="L38" s="246">
        <f>'Salary Record'!G142</f>
        <v>67500</v>
      </c>
      <c r="M38" s="246">
        <f>'Salary Record'!G143</f>
        <v>3000</v>
      </c>
      <c r="N38" s="248">
        <f>'Salary Record'!G144</f>
        <v>70500</v>
      </c>
      <c r="O38" s="246">
        <f>'Salary Record'!G145</f>
        <v>8000</v>
      </c>
      <c r="P38" s="248">
        <f>'Salary Record'!G146</f>
        <v>62500</v>
      </c>
      <c r="Q38" s="250">
        <f>'Salary Record'!K146</f>
        <v>40028.225806451614</v>
      </c>
      <c r="R38" s="143"/>
      <c r="S38" s="143"/>
      <c r="T38" s="178" t="s">
        <v>124</v>
      </c>
      <c r="U38" s="178" t="s">
        <v>127</v>
      </c>
      <c r="V38" s="180"/>
    </row>
    <row r="39" spans="1:26" s="179" customFormat="1" ht="21" customHeight="1" x14ac:dyDescent="0.2">
      <c r="A39" s="278">
        <v>3</v>
      </c>
      <c r="B39" s="242" t="s">
        <v>24</v>
      </c>
      <c r="C39" s="204"/>
      <c r="D39" s="201"/>
      <c r="E39" s="110">
        <f>'Salary Record'!K154</f>
        <v>35000</v>
      </c>
      <c r="F39" s="110">
        <f>'Salary Record'!C160</f>
        <v>31</v>
      </c>
      <c r="G39" s="249">
        <f>'Salary Record'!C161</f>
        <v>0</v>
      </c>
      <c r="H39" s="110">
        <f>'Salary Record'!I159</f>
        <v>0</v>
      </c>
      <c r="I39" s="110">
        <f>'Salary Record'!I158</f>
        <v>31</v>
      </c>
      <c r="J39" s="245">
        <f>'Salary Record'!K159</f>
        <v>0</v>
      </c>
      <c r="K39" s="110">
        <f>'Salary Record'!K160</f>
        <v>35000</v>
      </c>
      <c r="L39" s="246">
        <f>'Salary Record'!G158</f>
        <v>0</v>
      </c>
      <c r="M39" s="247">
        <f>'Salary Record'!G159</f>
        <v>0</v>
      </c>
      <c r="N39" s="248">
        <f>'Salary Record'!G160</f>
        <v>0</v>
      </c>
      <c r="O39" s="247">
        <f>'Salary Record'!G161</f>
        <v>0</v>
      </c>
      <c r="P39" s="248">
        <f>'Salary Record'!G162</f>
        <v>0</v>
      </c>
      <c r="Q39" s="250">
        <f>'Salary Record'!K162</f>
        <v>35000</v>
      </c>
      <c r="R39" s="143"/>
      <c r="S39" s="143"/>
      <c r="T39" s="178" t="s">
        <v>125</v>
      </c>
      <c r="U39" s="178" t="s">
        <v>126</v>
      </c>
      <c r="V39" s="180"/>
    </row>
    <row r="40" spans="1:26" s="179" customFormat="1" ht="21" customHeight="1" x14ac:dyDescent="0.2">
      <c r="A40" s="278">
        <v>4</v>
      </c>
      <c r="B40" s="351" t="s">
        <v>4</v>
      </c>
      <c r="C40" s="195"/>
      <c r="D40" s="196"/>
      <c r="E40" s="249">
        <f>'Salary Record'!K601</f>
        <v>35000</v>
      </c>
      <c r="F40" s="249">
        <f>'Salary Record'!C607</f>
        <v>31</v>
      </c>
      <c r="G40" s="249">
        <f>'Salary Record'!C608</f>
        <v>0</v>
      </c>
      <c r="H40" s="249">
        <f>'Salary Record'!I606</f>
        <v>64</v>
      </c>
      <c r="I40" s="249">
        <f>'Salary Record'!I605</f>
        <v>31</v>
      </c>
      <c r="J40" s="245">
        <f>'Salary Record'!K606</f>
        <v>9032.2580645161288</v>
      </c>
      <c r="K40" s="110">
        <f>'Salary Record'!K607</f>
        <v>44032.258064516129</v>
      </c>
      <c r="L40" s="246">
        <f>'Salary Record'!G605</f>
        <v>20000</v>
      </c>
      <c r="M40" s="247">
        <f>'Salary Record'!G606</f>
        <v>5000</v>
      </c>
      <c r="N40" s="248">
        <f>'Salary Record'!G607</f>
        <v>25000</v>
      </c>
      <c r="O40" s="247">
        <f>'Salary Record'!G608</f>
        <v>5000</v>
      </c>
      <c r="P40" s="248">
        <f>'Salary Record'!G609</f>
        <v>20000</v>
      </c>
      <c r="Q40" s="250">
        <f>'Salary Record'!K609</f>
        <v>39032.258064516129</v>
      </c>
      <c r="R40" s="143"/>
      <c r="S40" s="143"/>
      <c r="T40" s="178" t="s">
        <v>122</v>
      </c>
      <c r="U40" s="179" t="s">
        <v>123</v>
      </c>
      <c r="V40" s="180"/>
      <c r="W40" s="178"/>
      <c r="X40" s="178"/>
    </row>
    <row r="41" spans="1:26" s="179" customFormat="1" ht="21" customHeight="1" x14ac:dyDescent="0.2">
      <c r="A41" s="278">
        <v>5</v>
      </c>
      <c r="B41" s="352" t="str">
        <f>'Salary Record'!C203</f>
        <v>Amjad Ustad</v>
      </c>
      <c r="C41" s="198"/>
      <c r="D41" s="199"/>
      <c r="E41" s="330">
        <f>'Salary Record'!K202</f>
        <v>50000</v>
      </c>
      <c r="F41" s="246">
        <f>'Salary Record'!C208</f>
        <v>30</v>
      </c>
      <c r="G41" s="251">
        <f>'Salary Record'!C209</f>
        <v>1</v>
      </c>
      <c r="H41" s="246">
        <f>'Salary Record'!I207</f>
        <v>0</v>
      </c>
      <c r="I41" s="246">
        <f>'Salary Record'!I206</f>
        <v>31</v>
      </c>
      <c r="J41" s="245">
        <f>'Salary Record'!K207</f>
        <v>0</v>
      </c>
      <c r="K41" s="245">
        <f>'Salary Record'!K208</f>
        <v>50000</v>
      </c>
      <c r="L41" s="246">
        <f>'Salary Record'!G206</f>
        <v>30000</v>
      </c>
      <c r="M41" s="246">
        <f>'Salary Record'!G207</f>
        <v>4000</v>
      </c>
      <c r="N41" s="248">
        <f>'Salary Record'!G208</f>
        <v>34000</v>
      </c>
      <c r="O41" s="246">
        <f>'Salary Record'!G209</f>
        <v>0</v>
      </c>
      <c r="P41" s="248">
        <f>'Salary Record'!G210</f>
        <v>34000</v>
      </c>
      <c r="Q41" s="250">
        <f>'Salary Record'!K210</f>
        <v>50000</v>
      </c>
      <c r="R41" s="197"/>
      <c r="S41" s="143"/>
      <c r="T41" s="178" t="s">
        <v>159</v>
      </c>
      <c r="U41" s="178">
        <f>Q24+Q41+Q62+Q63+Q37+Q38+Q39</f>
        <v>357937.5</v>
      </c>
      <c r="V41" s="180"/>
      <c r="W41" s="178">
        <f>Q43+Q41</f>
        <v>73846.774193548394</v>
      </c>
    </row>
    <row r="42" spans="1:26" s="179" customFormat="1" ht="21" customHeight="1" x14ac:dyDescent="0.2">
      <c r="A42" s="278">
        <v>6</v>
      </c>
      <c r="B42" s="327" t="str">
        <f>'Salary Record'!C634</f>
        <v>Nadeem Painter</v>
      </c>
      <c r="C42" s="213"/>
      <c r="D42" s="214"/>
      <c r="E42" s="270">
        <f>'Salary Record'!K633</f>
        <v>30000</v>
      </c>
      <c r="F42" s="270">
        <f>'Salary Record'!C639</f>
        <v>28</v>
      </c>
      <c r="G42" s="249">
        <f>'Salary Record'!C640</f>
        <v>3</v>
      </c>
      <c r="H42" s="270">
        <f>'Salary Record'!I638</f>
        <v>126</v>
      </c>
      <c r="I42" s="270">
        <f>'Salary Record'!I637</f>
        <v>28</v>
      </c>
      <c r="J42" s="245">
        <f>'Salary Record'!K638</f>
        <v>15241.935483870968</v>
      </c>
      <c r="K42" s="245">
        <f>'Salary Record'!K639</f>
        <v>42338.709677419356</v>
      </c>
      <c r="L42" s="246">
        <f>'Salary Record'!G637</f>
        <v>0</v>
      </c>
      <c r="M42" s="247">
        <f>'Salary Record'!G638</f>
        <v>2500</v>
      </c>
      <c r="N42" s="248">
        <f>'Salary Record'!G639</f>
        <v>2500</v>
      </c>
      <c r="O42" s="247">
        <f>'Salary Record'!G640</f>
        <v>2500</v>
      </c>
      <c r="P42" s="248">
        <f>'Salary Record'!G641</f>
        <v>0</v>
      </c>
      <c r="Q42" s="252">
        <f>'Salary Record'!K641</f>
        <v>39838.709677419356</v>
      </c>
      <c r="R42" s="143"/>
      <c r="S42" s="143"/>
      <c r="T42" s="178"/>
      <c r="V42" s="180"/>
    </row>
    <row r="43" spans="1:26" s="179" customFormat="1" ht="21" customHeight="1" x14ac:dyDescent="0.2">
      <c r="A43" s="278">
        <v>8</v>
      </c>
      <c r="B43" s="327" t="str">
        <f>'Salary Record'!C219</f>
        <v>Raheel</v>
      </c>
      <c r="C43" s="200"/>
      <c r="D43" s="201"/>
      <c r="E43" s="110">
        <f>'Salary Record'!K218</f>
        <v>25000</v>
      </c>
      <c r="F43" s="110">
        <f>'Salary Record'!C224</f>
        <v>29</v>
      </c>
      <c r="G43" s="249">
        <f>'Salary Record'!C225</f>
        <v>2</v>
      </c>
      <c r="H43" s="110">
        <f>'Salary Record'!I223</f>
        <v>74</v>
      </c>
      <c r="I43" s="110">
        <f>'Salary Record'!I222</f>
        <v>29</v>
      </c>
      <c r="J43" s="249">
        <f>'Salary Record'!K223</f>
        <v>7459.677419354839</v>
      </c>
      <c r="K43" s="249">
        <f>'Salary Record'!K224</f>
        <v>30846.774193548386</v>
      </c>
      <c r="L43" s="268">
        <f>'Salary Record'!G222</f>
        <v>13000</v>
      </c>
      <c r="M43" s="110">
        <f>'Salary Record'!G223</f>
        <v>8000</v>
      </c>
      <c r="N43" s="263">
        <f>'Salary Record'!G224</f>
        <v>21000</v>
      </c>
      <c r="O43" s="110">
        <f>'Salary Record'!G225</f>
        <v>7000</v>
      </c>
      <c r="P43" s="263">
        <f>'Salary Record'!G226</f>
        <v>14000</v>
      </c>
      <c r="Q43" s="250">
        <f>'Salary Record'!K226</f>
        <v>23846.774193548386</v>
      </c>
      <c r="R43" s="143">
        <v>18000</v>
      </c>
      <c r="S43" s="143">
        <f>Q43-R43</f>
        <v>5846.7741935483864</v>
      </c>
      <c r="T43" s="178" t="s">
        <v>172</v>
      </c>
      <c r="U43" s="178" t="s">
        <v>173</v>
      </c>
      <c r="V43" s="180"/>
    </row>
    <row r="44" spans="1:26" s="179" customFormat="1" ht="21" customHeight="1" x14ac:dyDescent="0.2">
      <c r="A44" s="278">
        <v>9</v>
      </c>
      <c r="B44" s="327" t="str">
        <f>'Salary Record'!C251</f>
        <v>Gul Sher</v>
      </c>
      <c r="C44" s="204"/>
      <c r="D44" s="201"/>
      <c r="E44" s="246">
        <f>'Salary Record'!K250</f>
        <v>26000</v>
      </c>
      <c r="F44" s="246">
        <f>'Salary Record'!C256</f>
        <v>24</v>
      </c>
      <c r="G44" s="251">
        <f>'Salary Record'!C257</f>
        <v>7</v>
      </c>
      <c r="H44" s="246">
        <f>'Salary Record'!I255</f>
        <v>44</v>
      </c>
      <c r="I44" s="246">
        <f>'Salary Record'!I254</f>
        <v>24</v>
      </c>
      <c r="J44" s="258">
        <f>'Salary Record'!K255</f>
        <v>4612.9032258064517</v>
      </c>
      <c r="K44" s="258">
        <f>'Salary Record'!K256</f>
        <v>24741.935483870966</v>
      </c>
      <c r="L44" s="259">
        <f>'Salary Record'!G254</f>
        <v>8500</v>
      </c>
      <c r="M44" s="259">
        <f>'Salary Record'!G255</f>
        <v>13000</v>
      </c>
      <c r="N44" s="269">
        <f>'Salary Record'!G256</f>
        <v>21500</v>
      </c>
      <c r="O44" s="259">
        <f>'Salary Record'!G257</f>
        <v>10000</v>
      </c>
      <c r="P44" s="269">
        <f>'Salary Record'!G258</f>
        <v>11500</v>
      </c>
      <c r="Q44" s="333">
        <f>'Salary Record'!K258</f>
        <v>14741.935483870966</v>
      </c>
      <c r="R44" s="143"/>
      <c r="S44" s="143"/>
      <c r="T44" s="178" t="s">
        <v>130</v>
      </c>
      <c r="U44" s="178" t="s">
        <v>131</v>
      </c>
      <c r="V44" s="180"/>
      <c r="W44" s="178">
        <f>Q44+Q43+Q41+Q66</f>
        <v>130282.25806451612</v>
      </c>
      <c r="X44" s="180"/>
      <c r="Y44" s="180"/>
      <c r="Z44" s="180"/>
    </row>
    <row r="45" spans="1:26" s="273" customFormat="1" ht="21" x14ac:dyDescent="0.3">
      <c r="A45" s="365" t="s">
        <v>2</v>
      </c>
      <c r="B45" s="366"/>
      <c r="C45" s="313"/>
      <c r="D45" s="313"/>
      <c r="E45" s="315">
        <f>SUM(E37:E44)</f>
        <v>304000</v>
      </c>
      <c r="F45" s="313"/>
      <c r="G45" s="313"/>
      <c r="H45" s="313"/>
      <c r="I45" s="313"/>
      <c r="J45" s="315">
        <f>SUM(J37:J44)</f>
        <v>68713.709677419363</v>
      </c>
      <c r="K45" s="313"/>
      <c r="L45" s="313"/>
      <c r="M45" s="313"/>
      <c r="N45" s="313"/>
      <c r="O45" s="313"/>
      <c r="P45" s="313"/>
      <c r="Q45" s="271">
        <f>SUM(Q37:Q44)</f>
        <v>324826.61290322576</v>
      </c>
      <c r="R45" s="307">
        <f>SUM(R43:R44)</f>
        <v>18000</v>
      </c>
      <c r="S45" s="307">
        <f>SUM(S43:S44)</f>
        <v>5846.7741935483864</v>
      </c>
      <c r="T45" s="272"/>
      <c r="V45" s="274"/>
    </row>
    <row r="46" spans="1:26" s="223" customFormat="1" ht="21" customHeight="1" x14ac:dyDescent="0.2">
      <c r="A46" s="359" t="s">
        <v>91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1"/>
      <c r="R46" s="221"/>
      <c r="S46" s="221"/>
      <c r="T46" s="235"/>
      <c r="U46" s="229"/>
      <c r="V46" s="224"/>
    </row>
    <row r="47" spans="1:26" s="179" customFormat="1" ht="21" customHeight="1" x14ac:dyDescent="0.2">
      <c r="A47" s="278">
        <v>1</v>
      </c>
      <c r="B47" s="327" t="s">
        <v>11</v>
      </c>
      <c r="C47" s="213"/>
      <c r="D47" s="214"/>
      <c r="E47" s="247">
        <f>'Salary Record'!K394</f>
        <v>20000</v>
      </c>
      <c r="F47" s="247">
        <f>'Salary Record'!C400</f>
        <v>30</v>
      </c>
      <c r="G47" s="244">
        <f>'Salary Record'!C401</f>
        <v>1</v>
      </c>
      <c r="H47" s="247">
        <f>'Salary Record'!I399</f>
        <v>0</v>
      </c>
      <c r="I47" s="247">
        <f>'Salary Record'!I398</f>
        <v>31</v>
      </c>
      <c r="J47" s="245">
        <f>'Salary Record'!K399</f>
        <v>0</v>
      </c>
      <c r="K47" s="245">
        <f>'Salary Record'!K400</f>
        <v>20000</v>
      </c>
      <c r="L47" s="246">
        <f>'Salary Record'!G398</f>
        <v>6000</v>
      </c>
      <c r="M47" s="247">
        <f>'Salary Record'!G399</f>
        <v>15000</v>
      </c>
      <c r="N47" s="248">
        <f>'Salary Record'!G400</f>
        <v>21000</v>
      </c>
      <c r="O47" s="247">
        <f>'Salary Record'!G401</f>
        <v>2000</v>
      </c>
      <c r="P47" s="248">
        <f>'Salary Record'!G402</f>
        <v>19000</v>
      </c>
      <c r="Q47" s="250">
        <f>'Salary Record'!K402</f>
        <v>18000</v>
      </c>
      <c r="R47" s="143"/>
      <c r="S47" s="143"/>
      <c r="T47" s="178"/>
      <c r="U47" s="178">
        <f>Q45-Q40</f>
        <v>285794.35483870964</v>
      </c>
      <c r="V47" s="180"/>
      <c r="W47" s="178"/>
    </row>
    <row r="48" spans="1:26" s="179" customFormat="1" ht="21" customHeight="1" x14ac:dyDescent="0.2">
      <c r="A48" s="277">
        <v>2</v>
      </c>
      <c r="B48" s="351" t="str">
        <f>'Salary Record'!C347</f>
        <v>M. Sami</v>
      </c>
      <c r="C48" s="212" t="s">
        <v>88</v>
      </c>
      <c r="D48" s="211">
        <f>Q48</f>
        <v>29177.419354838708</v>
      </c>
      <c r="E48" s="110">
        <f>'Salary Record'!K346</f>
        <v>27000</v>
      </c>
      <c r="F48" s="110">
        <f>'Salary Record'!C352</f>
        <v>30</v>
      </c>
      <c r="G48" s="249">
        <f>'Salary Record'!C353</f>
        <v>1</v>
      </c>
      <c r="H48" s="110">
        <f>'Salary Record'!I351</f>
        <v>20</v>
      </c>
      <c r="I48" s="110">
        <f>'Salary Record'!I350</f>
        <v>31</v>
      </c>
      <c r="J48" s="245">
        <f>'Salary Record'!K351</f>
        <v>2177.4193548387098</v>
      </c>
      <c r="K48" s="245">
        <f>'Salary Record'!K352</f>
        <v>29177.419354838708</v>
      </c>
      <c r="L48" s="246" t="str">
        <f>'Salary Record'!G350</f>
        <v/>
      </c>
      <c r="M48" s="259">
        <f>'Salary Record'!G351</f>
        <v>0</v>
      </c>
      <c r="N48" s="260" t="str">
        <f>'Salary Record'!G352</f>
        <v/>
      </c>
      <c r="O48" s="259">
        <f>'Salary Record'!G353</f>
        <v>0</v>
      </c>
      <c r="P48" s="260" t="str">
        <f>'Salary Record'!G354</f>
        <v/>
      </c>
      <c r="Q48" s="333">
        <f>'Salary Record'!K354</f>
        <v>29177.419354838708</v>
      </c>
      <c r="R48" s="143"/>
      <c r="S48" s="143"/>
      <c r="T48" s="178"/>
      <c r="U48" s="178"/>
      <c r="V48" s="180"/>
      <c r="X48" s="178"/>
    </row>
    <row r="49" spans="1:25" s="179" customFormat="1" ht="21" customHeight="1" x14ac:dyDescent="0.2">
      <c r="A49" s="278">
        <v>3</v>
      </c>
      <c r="B49" s="327" t="str">
        <f>'Salary Record'!C363</f>
        <v>Adil (FTC)</v>
      </c>
      <c r="C49" s="210"/>
      <c r="D49" s="211"/>
      <c r="E49" s="110">
        <f>'Salary Record'!K362</f>
        <v>21000</v>
      </c>
      <c r="F49" s="110">
        <f>'Salary Record'!C368</f>
        <v>31</v>
      </c>
      <c r="G49" s="249">
        <f>'Salary Record'!C369</f>
        <v>0</v>
      </c>
      <c r="H49" s="110">
        <f>'Salary Record'!I367</f>
        <v>6</v>
      </c>
      <c r="I49" s="110">
        <f>'Salary Record'!I366</f>
        <v>31</v>
      </c>
      <c r="J49" s="245">
        <f>'Salary Record'!K367</f>
        <v>508.0645161290322</v>
      </c>
      <c r="K49" s="245">
        <f>'Salary Record'!K368</f>
        <v>21508.06451612903</v>
      </c>
      <c r="L49" s="246" t="str">
        <f>'Salary Record'!G366</f>
        <v/>
      </c>
      <c r="M49" s="247">
        <f>'Salary Record'!G367</f>
        <v>0</v>
      </c>
      <c r="N49" s="248" t="str">
        <f>'Salary Record'!G368</f>
        <v/>
      </c>
      <c r="O49" s="247">
        <f>'Salary Record'!G369</f>
        <v>0</v>
      </c>
      <c r="P49" s="248" t="str">
        <f>'Salary Record'!G370</f>
        <v/>
      </c>
      <c r="Q49" s="250">
        <f>'Salary Record'!K370</f>
        <v>21508.06451612903</v>
      </c>
      <c r="R49" s="143"/>
      <c r="S49" s="143"/>
      <c r="T49" s="178" t="s">
        <v>132</v>
      </c>
      <c r="U49" s="178"/>
      <c r="V49" s="180"/>
    </row>
    <row r="50" spans="1:25" s="179" customFormat="1" ht="21" customHeight="1" x14ac:dyDescent="0.2">
      <c r="A50" s="278">
        <v>4</v>
      </c>
      <c r="B50" s="352" t="str">
        <f>'Salary Record'!C379</f>
        <v>Zafar</v>
      </c>
      <c r="C50" s="195"/>
      <c r="D50" s="196"/>
      <c r="E50" s="246">
        <f>'Salary Record'!K378</f>
        <v>28000</v>
      </c>
      <c r="F50" s="246">
        <f>'Salary Record'!C384</f>
        <v>31</v>
      </c>
      <c r="G50" s="251">
        <f>'Salary Record'!C385</f>
        <v>0</v>
      </c>
      <c r="H50" s="246">
        <f>'Salary Record'!I383</f>
        <v>0</v>
      </c>
      <c r="I50" s="246">
        <f>'Salary Record'!I382</f>
        <v>31</v>
      </c>
      <c r="J50" s="245">
        <f>'Salary Record'!K383</f>
        <v>0</v>
      </c>
      <c r="K50" s="110">
        <f>'Salary Record'!K384</f>
        <v>28000</v>
      </c>
      <c r="L50" s="246">
        <f>'Salary Record'!G382</f>
        <v>0</v>
      </c>
      <c r="M50" s="246">
        <f>'Salary Record'!G383</f>
        <v>0</v>
      </c>
      <c r="N50" s="248" t="str">
        <f>'Salary Record'!G384</f>
        <v/>
      </c>
      <c r="O50" s="246">
        <f>'Salary Record'!G385</f>
        <v>0</v>
      </c>
      <c r="P50" s="248" t="str">
        <f>'Salary Record'!G386</f>
        <v/>
      </c>
      <c r="Q50" s="250">
        <f>'Salary Record'!K386</f>
        <v>28000</v>
      </c>
      <c r="R50" s="143"/>
      <c r="S50" s="143"/>
      <c r="T50" s="178"/>
      <c r="U50" s="178"/>
      <c r="V50" s="180" t="s">
        <v>194</v>
      </c>
      <c r="W50" s="179">
        <v>5000</v>
      </c>
    </row>
    <row r="51" spans="1:25" s="179" customFormat="1" ht="21" customHeight="1" x14ac:dyDescent="0.2">
      <c r="A51" s="277">
        <v>5</v>
      </c>
      <c r="B51" s="327" t="str">
        <f>'Salary Record'!C331</f>
        <v>M. Shafeeq</v>
      </c>
      <c r="C51" s="215"/>
      <c r="D51" s="203"/>
      <c r="E51" s="110">
        <f>'Salary Record'!K330</f>
        <v>22000</v>
      </c>
      <c r="F51" s="110">
        <f>'Salary Record'!C336</f>
        <v>31</v>
      </c>
      <c r="G51" s="249">
        <f>'Salary Record'!C337</f>
        <v>0</v>
      </c>
      <c r="H51" s="110">
        <f>'Salary Record'!I335</f>
        <v>139</v>
      </c>
      <c r="I51" s="110">
        <f>'Salary Record'!I334</f>
        <v>31</v>
      </c>
      <c r="J51" s="249">
        <f>'Salary Record'!K335</f>
        <v>12330.645161290322</v>
      </c>
      <c r="K51" s="249">
        <f>'Salary Record'!K336</f>
        <v>34330.645161290318</v>
      </c>
      <c r="L51" s="268">
        <f>'Salary Record'!G334</f>
        <v>0</v>
      </c>
      <c r="M51" s="110">
        <f>'Salary Record'!G335</f>
        <v>0</v>
      </c>
      <c r="N51" s="263">
        <f>'Salary Record'!G336</f>
        <v>0</v>
      </c>
      <c r="O51" s="110">
        <f>'Salary Record'!G337</f>
        <v>0</v>
      </c>
      <c r="P51" s="263">
        <f>'Salary Record'!G338</f>
        <v>0</v>
      </c>
      <c r="Q51" s="250">
        <f>'Salary Record'!K338</f>
        <v>34330.645161290318</v>
      </c>
      <c r="R51" s="197">
        <f>Q51*75%</f>
        <v>25747.983870967739</v>
      </c>
      <c r="S51" s="143">
        <v>0</v>
      </c>
      <c r="T51" s="178" t="s">
        <v>152</v>
      </c>
      <c r="U51" s="337"/>
      <c r="V51" s="186" t="s">
        <v>195</v>
      </c>
      <c r="W51" s="179">
        <v>149397</v>
      </c>
    </row>
    <row r="52" spans="1:25" s="273" customFormat="1" ht="21" x14ac:dyDescent="0.3">
      <c r="A52" s="365" t="s">
        <v>2</v>
      </c>
      <c r="B52" s="366"/>
      <c r="C52" s="313"/>
      <c r="D52" s="313"/>
      <c r="E52" s="315">
        <f>SUM(E47:E51)</f>
        <v>118000</v>
      </c>
      <c r="F52" s="313"/>
      <c r="G52" s="313"/>
      <c r="H52" s="313"/>
      <c r="I52" s="313"/>
      <c r="J52" s="315">
        <f>SUM(J47:J51)</f>
        <v>15016.129032258064</v>
      </c>
      <c r="K52" s="313"/>
      <c r="L52" s="313"/>
      <c r="M52" s="313"/>
      <c r="N52" s="313"/>
      <c r="O52" s="313"/>
      <c r="P52" s="313"/>
      <c r="Q52" s="271">
        <f>SUM(Q47:Q51)</f>
        <v>131016.12903225806</v>
      </c>
      <c r="R52" s="307">
        <f>SUM(R49:R51)</f>
        <v>25747.983870967739</v>
      </c>
      <c r="S52" s="307">
        <f>SUM(S49:S51)</f>
        <v>0</v>
      </c>
      <c r="T52" s="272"/>
      <c r="V52" s="274" t="s">
        <v>196</v>
      </c>
      <c r="W52" s="273">
        <v>163692</v>
      </c>
    </row>
    <row r="53" spans="1:25" s="273" customFormat="1" ht="21" x14ac:dyDescent="0.3">
      <c r="A53" s="309"/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10"/>
      <c r="R53" s="311"/>
      <c r="S53" s="311"/>
      <c r="T53" s="311"/>
      <c r="V53" s="312" t="s">
        <v>197</v>
      </c>
      <c r="W53" s="273">
        <v>65000</v>
      </c>
    </row>
    <row r="54" spans="1:25" s="223" customFormat="1" ht="21" customHeight="1" x14ac:dyDescent="0.2">
      <c r="A54" s="359" t="s">
        <v>92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1"/>
      <c r="R54" s="221"/>
      <c r="S54" s="221"/>
      <c r="T54" s="235"/>
      <c r="U54" s="229"/>
      <c r="V54" s="224" t="s">
        <v>198</v>
      </c>
      <c r="W54" s="223">
        <v>28000</v>
      </c>
      <c r="Y54" s="229"/>
    </row>
    <row r="55" spans="1:25" s="179" customFormat="1" ht="21" customHeight="1" x14ac:dyDescent="0.2">
      <c r="A55" s="278">
        <v>1</v>
      </c>
      <c r="B55" s="351" t="str">
        <f>'Salary Record'!C283</f>
        <v>Mukhtiar</v>
      </c>
      <c r="C55" s="198"/>
      <c r="D55" s="199"/>
      <c r="E55" s="270">
        <f>'Salary Record'!K282</f>
        <v>1200</v>
      </c>
      <c r="F55" s="270">
        <f>'Salary Record'!C288</f>
        <v>0</v>
      </c>
      <c r="G55" s="249">
        <f>'Salary Record'!C289</f>
        <v>0</v>
      </c>
      <c r="H55" s="270">
        <f>'Salary Record'!I287</f>
        <v>48</v>
      </c>
      <c r="I55" s="270">
        <f>'Salary Record'!I286</f>
        <v>29</v>
      </c>
      <c r="J55" s="245">
        <f>'Salary Record'!K287</f>
        <v>7200</v>
      </c>
      <c r="K55" s="245">
        <f>'Salary Record'!K288</f>
        <v>42000</v>
      </c>
      <c r="L55" s="246">
        <f>'Salary Record'!G286</f>
        <v>16870</v>
      </c>
      <c r="M55" s="247">
        <f>'Salary Record'!G287</f>
        <v>3000</v>
      </c>
      <c r="N55" s="248">
        <f>'Salary Record'!G288</f>
        <v>19870</v>
      </c>
      <c r="O55" s="247">
        <f>'Salary Record'!G289</f>
        <v>5000</v>
      </c>
      <c r="P55" s="248">
        <f>'Salary Record'!G290</f>
        <v>14870</v>
      </c>
      <c r="Q55" s="250">
        <f>'Salary Record'!K290</f>
        <v>37000</v>
      </c>
      <c r="R55" s="143"/>
      <c r="S55" s="143"/>
      <c r="T55" s="178" t="s">
        <v>138</v>
      </c>
      <c r="U55" s="179" t="s">
        <v>139</v>
      </c>
      <c r="V55" s="180" t="s">
        <v>199</v>
      </c>
      <c r="W55" s="179">
        <v>280884</v>
      </c>
    </row>
    <row r="56" spans="1:25" ht="18" x14ac:dyDescent="0.25">
      <c r="A56" s="278">
        <v>2</v>
      </c>
      <c r="B56" s="351" t="str">
        <f>'Salary Record'!C315</f>
        <v>Asif Hussain</v>
      </c>
      <c r="C56" s="102"/>
      <c r="D56" s="90"/>
      <c r="E56" s="22">
        <f>'Salary Record'!K314</f>
        <v>22000</v>
      </c>
      <c r="F56" s="270">
        <f>'Salary Record'!C320</f>
        <v>30</v>
      </c>
      <c r="G56" s="249">
        <f>'Salary Record'!C321</f>
        <v>1</v>
      </c>
      <c r="H56" s="270">
        <f>'Salary Record'!I319</f>
        <v>18</v>
      </c>
      <c r="I56" s="270">
        <f>'Salary Record'!I318</f>
        <v>31</v>
      </c>
      <c r="J56" s="16">
        <f>'Salary Record'!K319</f>
        <v>1596.7741935483871</v>
      </c>
      <c r="K56" s="16">
        <f>'Salary Record'!K320</f>
        <v>23596.774193548386</v>
      </c>
      <c r="L56" s="9">
        <f>'Salary Record'!G318</f>
        <v>2760</v>
      </c>
      <c r="M56" s="17">
        <f>'Salary Record'!G319</f>
        <v>2000</v>
      </c>
      <c r="N56" s="18">
        <f>'Salary Record'!G320</f>
        <v>4760</v>
      </c>
      <c r="O56" s="17">
        <f>'Salary Record'!G321</f>
        <v>3000</v>
      </c>
      <c r="P56" s="18">
        <f>'Salary Record'!G322</f>
        <v>1760</v>
      </c>
      <c r="Q56" s="143">
        <f>'Salary Record'!K322</f>
        <v>20596.774193548386</v>
      </c>
      <c r="R56" s="145"/>
      <c r="S56" s="23"/>
      <c r="T56" s="130"/>
      <c r="U56" s="135"/>
      <c r="V56" s="2" t="s">
        <v>200</v>
      </c>
      <c r="W56">
        <v>36250</v>
      </c>
    </row>
    <row r="57" spans="1:25" ht="15.75" x14ac:dyDescent="0.25">
      <c r="A57" s="280">
        <v>3</v>
      </c>
      <c r="B57" s="351" t="str">
        <f>'Salary Record'!C299</f>
        <v xml:space="preserve">M. Imran </v>
      </c>
      <c r="C57" s="99"/>
      <c r="D57" s="92"/>
      <c r="E57" s="335">
        <f>'Salary Record'!K298</f>
        <v>45000</v>
      </c>
      <c r="F57" s="270">
        <f>'Salary Record'!C304</f>
        <v>29</v>
      </c>
      <c r="G57" s="249">
        <f>'Salary Record'!C305</f>
        <v>2</v>
      </c>
      <c r="H57" s="270">
        <f>'Salary Record'!I303</f>
        <v>14</v>
      </c>
      <c r="I57" s="270">
        <f>'Salary Record'!I302</f>
        <v>31</v>
      </c>
      <c r="J57" s="20">
        <f>'Salary Record'!K303</f>
        <v>2540.322580645161</v>
      </c>
      <c r="K57" s="10">
        <f>'Salary Record'!K304</f>
        <v>47540.322580645159</v>
      </c>
      <c r="L57" s="123">
        <f>'Salary Record'!G302</f>
        <v>10000</v>
      </c>
      <c r="M57" s="10">
        <f>'Salary Record'!G303</f>
        <v>3000</v>
      </c>
      <c r="N57" s="88">
        <f>'Salary Record'!G304</f>
        <v>13000</v>
      </c>
      <c r="O57" s="10">
        <f>'Salary Record'!G305</f>
        <v>3000</v>
      </c>
      <c r="P57" s="88">
        <f>'Salary Record'!G306</f>
        <v>10000</v>
      </c>
      <c r="Q57" s="23">
        <f>'Salary Record'!K306</f>
        <v>44540.322580645159</v>
      </c>
      <c r="R57" s="144"/>
      <c r="S57" s="23"/>
      <c r="T57" s="130"/>
      <c r="U57" s="8"/>
      <c r="V57" s="124" t="s">
        <v>201</v>
      </c>
      <c r="W57">
        <v>106604</v>
      </c>
    </row>
    <row r="58" spans="1:25" s="179" customFormat="1" ht="21" customHeight="1" x14ac:dyDescent="0.2">
      <c r="A58" s="278">
        <v>4</v>
      </c>
      <c r="B58" s="352" t="str">
        <f>'Salary Record'!C267</f>
        <v>Hammad Ahmed</v>
      </c>
      <c r="C58" s="195"/>
      <c r="D58" s="196"/>
      <c r="E58" s="246">
        <f>'Salary Record'!K266</f>
        <v>23000</v>
      </c>
      <c r="F58" s="270">
        <f>'Salary Record'!C272</f>
        <v>30</v>
      </c>
      <c r="G58" s="249">
        <f>'Salary Record'!C273</f>
        <v>1</v>
      </c>
      <c r="H58" s="270">
        <f>'Salary Record'!I271</f>
        <v>17</v>
      </c>
      <c r="I58" s="270">
        <f>'Salary Record'!I270</f>
        <v>31</v>
      </c>
      <c r="J58" s="245">
        <f>'Salary Record'!K271</f>
        <v>1576.6129032258063</v>
      </c>
      <c r="K58" s="110">
        <f>'Salary Record'!K272</f>
        <v>24576.612903225807</v>
      </c>
      <c r="L58" s="246" t="str">
        <f>'Salary Record'!G270</f>
        <v/>
      </c>
      <c r="M58" s="246">
        <f>'Salary Record'!G271</f>
        <v>0</v>
      </c>
      <c r="N58" s="248" t="str">
        <f>'Salary Record'!G272</f>
        <v/>
      </c>
      <c r="O58" s="246">
        <f>'Salary Record'!G273</f>
        <v>0</v>
      </c>
      <c r="P58" s="248" t="str">
        <f>'Salary Record'!G274</f>
        <v/>
      </c>
      <c r="Q58" s="250">
        <f>'Salary Record'!K274</f>
        <v>24576.612903225807</v>
      </c>
      <c r="R58" s="143"/>
      <c r="S58" s="143"/>
      <c r="T58" s="178" t="s">
        <v>154</v>
      </c>
      <c r="V58" s="180" t="s">
        <v>202</v>
      </c>
      <c r="W58" s="179">
        <v>86384</v>
      </c>
    </row>
    <row r="59" spans="1:25" s="273" customFormat="1" ht="21" x14ac:dyDescent="0.3">
      <c r="A59" s="365" t="s">
        <v>2</v>
      </c>
      <c r="B59" s="366"/>
      <c r="C59" s="313"/>
      <c r="D59" s="313"/>
      <c r="E59" s="315">
        <f>SUM(E55:E58)</f>
        <v>91200</v>
      </c>
      <c r="F59" s="313"/>
      <c r="G59" s="313"/>
      <c r="H59" s="313"/>
      <c r="I59" s="313"/>
      <c r="J59" s="315">
        <f ca="1">SUM(J55:J81)</f>
        <v>15604.838709677417</v>
      </c>
      <c r="K59" s="313"/>
      <c r="L59" s="313"/>
      <c r="M59" s="313"/>
      <c r="N59" s="313"/>
      <c r="O59" s="313"/>
      <c r="P59" s="313"/>
      <c r="Q59" s="315">
        <f>SUM(Q55:Q58)</f>
        <v>126713.70967741935</v>
      </c>
      <c r="R59" s="307">
        <f ca="1">SUM(R55:R81)</f>
        <v>0</v>
      </c>
      <c r="S59" s="307">
        <f ca="1">SUM(S55:S81)</f>
        <v>22000</v>
      </c>
      <c r="T59" s="272"/>
      <c r="U59" s="311"/>
      <c r="V59" s="274" t="s">
        <v>203</v>
      </c>
      <c r="W59" s="273">
        <v>98000</v>
      </c>
    </row>
    <row r="60" spans="1:25" s="273" customFormat="1" ht="21" x14ac:dyDescent="0.3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09"/>
      <c r="P60" s="309"/>
      <c r="Q60" s="310"/>
      <c r="R60" s="311"/>
      <c r="S60" s="311"/>
      <c r="T60" s="311"/>
      <c r="V60" s="312"/>
      <c r="W60" s="273">
        <f>SUM(W50:W59)</f>
        <v>1019211</v>
      </c>
    </row>
    <row r="61" spans="1:25" s="227" customFormat="1" ht="21" customHeight="1" x14ac:dyDescent="0.2">
      <c r="A61" s="362" t="s">
        <v>184</v>
      </c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4"/>
      <c r="R61" s="225"/>
      <c r="S61" s="225"/>
      <c r="T61" s="226"/>
      <c r="U61" s="289"/>
      <c r="V61" s="228"/>
      <c r="W61" s="289">
        <v>33000</v>
      </c>
    </row>
    <row r="62" spans="1:25" s="179" customFormat="1" ht="21" customHeight="1" x14ac:dyDescent="0.2">
      <c r="A62" s="277">
        <v>1</v>
      </c>
      <c r="B62" s="350" t="s">
        <v>15</v>
      </c>
      <c r="C62" s="218"/>
      <c r="D62" s="219"/>
      <c r="E62" s="236">
        <f>'Salary Record'!K90</f>
        <v>50000</v>
      </c>
      <c r="F62" s="236">
        <f>'Salary Record'!C96</f>
        <v>31</v>
      </c>
      <c r="G62" s="237">
        <f>'Salary Record'!C97</f>
        <v>0</v>
      </c>
      <c r="H62" s="236">
        <f>'Salary Record'!I95</f>
        <v>101</v>
      </c>
      <c r="I62" s="236">
        <f>'Salary Record'!I94</f>
        <v>31</v>
      </c>
      <c r="J62" s="340">
        <f>'Salary Record'!K95</f>
        <v>20362.903225806454</v>
      </c>
      <c r="K62" s="238">
        <f>'Salary Record'!K96</f>
        <v>70362.903225806454</v>
      </c>
      <c r="L62" s="239">
        <f>'Salary Record'!G94</f>
        <v>0</v>
      </c>
      <c r="M62" s="240">
        <f>'Salary Record'!G95</f>
        <v>10000</v>
      </c>
      <c r="N62" s="241">
        <f>'Salary Record'!G96</f>
        <v>10000</v>
      </c>
      <c r="O62" s="240">
        <f>'Salary Record'!G97</f>
        <v>10000</v>
      </c>
      <c r="P62" s="241">
        <f>'Salary Record'!G98</f>
        <v>0</v>
      </c>
      <c r="Q62" s="303">
        <f>'Salary Record'!K98</f>
        <v>60362.903225806454</v>
      </c>
      <c r="R62" s="192"/>
      <c r="S62" s="143"/>
      <c r="T62" s="178"/>
      <c r="U62" s="178"/>
      <c r="V62" s="180"/>
      <c r="W62" s="178">
        <f>W61+W60</f>
        <v>1052211</v>
      </c>
    </row>
    <row r="63" spans="1:25" s="179" customFormat="1" ht="21" customHeight="1" x14ac:dyDescent="0.2">
      <c r="A63" s="278">
        <v>2</v>
      </c>
      <c r="B63" s="351" t="str">
        <f>'Salary Record'!C107</f>
        <v>Mubeen</v>
      </c>
      <c r="C63" s="182"/>
      <c r="D63" s="183"/>
      <c r="E63" s="247">
        <f>'Salary Record'!K106</f>
        <v>65000</v>
      </c>
      <c r="F63" s="247">
        <f>'Salary Record'!C112</f>
        <v>30</v>
      </c>
      <c r="G63" s="244">
        <f>'Salary Record'!C113</f>
        <v>1</v>
      </c>
      <c r="H63" s="247">
        <f>'Salary Record'!I111</f>
        <v>0</v>
      </c>
      <c r="I63" s="247">
        <f>'Salary Record'!I110</f>
        <v>30</v>
      </c>
      <c r="J63" s="245">
        <f>'Salary Record'!K111</f>
        <v>0</v>
      </c>
      <c r="K63" s="245">
        <f>'Salary Record'!K112</f>
        <v>62903.225806451621</v>
      </c>
      <c r="L63" s="246">
        <f>'Salary Record'!G110</f>
        <v>0</v>
      </c>
      <c r="M63" s="247">
        <f>'Salary Record'!G111</f>
        <v>15000</v>
      </c>
      <c r="N63" s="248">
        <f>'Salary Record'!G112</f>
        <v>15000</v>
      </c>
      <c r="O63" s="247">
        <f>'Salary Record'!G113</f>
        <v>5000</v>
      </c>
      <c r="P63" s="248">
        <f>'Salary Record'!G114</f>
        <v>10000</v>
      </c>
      <c r="Q63" s="250">
        <f>'Salary Record'!K114</f>
        <v>57903.225806451621</v>
      </c>
      <c r="R63" s="143"/>
      <c r="S63" s="143"/>
      <c r="T63" s="178"/>
      <c r="U63" s="178"/>
      <c r="V63" s="180"/>
    </row>
    <row r="64" spans="1:25" s="179" customFormat="1" ht="21" customHeight="1" x14ac:dyDescent="0.2">
      <c r="A64" s="277">
        <v>3</v>
      </c>
      <c r="B64" s="350" t="str">
        <f>'Salary Record'!C411</f>
        <v>A. Lateef Chacha</v>
      </c>
      <c r="C64" s="198"/>
      <c r="D64" s="199"/>
      <c r="E64" s="110">
        <f>'Salary Record'!K410</f>
        <v>25000</v>
      </c>
      <c r="F64" s="110">
        <f>'Salary Record'!C416</f>
        <v>31</v>
      </c>
      <c r="G64" s="249">
        <f>'Salary Record'!C417</f>
        <v>0</v>
      </c>
      <c r="H64" s="110">
        <f>'Salary Record'!I415</f>
        <v>57</v>
      </c>
      <c r="I64" s="110">
        <f>'Salary Record'!I414</f>
        <v>31</v>
      </c>
      <c r="J64" s="245">
        <f>'Salary Record'!K415</f>
        <v>5745.9677419354839</v>
      </c>
      <c r="K64" s="245">
        <f>'Salary Record'!K416</f>
        <v>30745.967741935485</v>
      </c>
      <c r="L64" s="246">
        <f>'Salary Record'!G414</f>
        <v>1000</v>
      </c>
      <c r="M64" s="246">
        <f>'Salary Record'!G415</f>
        <v>3000</v>
      </c>
      <c r="N64" s="248">
        <f>'Salary Record'!G416</f>
        <v>4000</v>
      </c>
      <c r="O64" s="246">
        <f>'Salary Record'!G417</f>
        <v>2000</v>
      </c>
      <c r="P64" s="248">
        <f>'Salary Record'!G418</f>
        <v>2000</v>
      </c>
      <c r="Q64" s="250">
        <f>'Salary Record'!K418</f>
        <v>28745.967741935485</v>
      </c>
      <c r="R64" s="143"/>
      <c r="S64" s="143"/>
      <c r="T64" s="178"/>
      <c r="U64" s="178"/>
      <c r="V64" s="180"/>
    </row>
    <row r="65" spans="1:26" ht="15.75" x14ac:dyDescent="0.25">
      <c r="A65" s="278">
        <v>4</v>
      </c>
      <c r="B65" s="350" t="str">
        <f>'Salary Record'!C427</f>
        <v>Lateef</v>
      </c>
      <c r="C65" s="15"/>
      <c r="D65" s="89"/>
      <c r="E65" s="9">
        <f>'Salary Record'!K426</f>
        <v>30000</v>
      </c>
      <c r="F65" s="9">
        <f>'Salary Record'!C432</f>
        <v>30</v>
      </c>
      <c r="G65" s="21">
        <f>'Salary Record'!C433</f>
        <v>1</v>
      </c>
      <c r="H65" s="9">
        <f>'Salary Record'!I431</f>
        <v>63</v>
      </c>
      <c r="I65" s="9">
        <f>'Salary Record'!I430</f>
        <v>30</v>
      </c>
      <c r="J65" s="16">
        <f>'Salary Record'!K431</f>
        <v>7620.9677419354839</v>
      </c>
      <c r="K65" s="16">
        <f>'Salary Record'!K432</f>
        <v>36653.225806451614</v>
      </c>
      <c r="L65" s="9">
        <f>'Salary Record'!G430</f>
        <v>0</v>
      </c>
      <c r="M65" s="9">
        <f>'Salary Record'!G431</f>
        <v>9000</v>
      </c>
      <c r="N65" s="152">
        <f>'Salary Record'!G432</f>
        <v>9000</v>
      </c>
      <c r="O65" s="9">
        <f>'Salary Record'!G433</f>
        <v>3000</v>
      </c>
      <c r="P65" s="152">
        <f>'Salary Record'!G434</f>
        <v>6000</v>
      </c>
      <c r="Q65" s="143">
        <f>'Salary Record'!K434</f>
        <v>33653.225806451614</v>
      </c>
      <c r="R65" s="144">
        <v>0</v>
      </c>
      <c r="S65" s="23">
        <f t="shared" ref="S65" si="2">Q65-R65</f>
        <v>33653.225806451614</v>
      </c>
      <c r="T65" s="130"/>
      <c r="U65" s="8"/>
      <c r="X65" s="2"/>
      <c r="Z65" s="2"/>
    </row>
    <row r="66" spans="1:26" s="179" customFormat="1" ht="21" customHeight="1" x14ac:dyDescent="0.2">
      <c r="A66" s="277">
        <v>5</v>
      </c>
      <c r="B66" s="327" t="s">
        <v>31</v>
      </c>
      <c r="C66" s="210"/>
      <c r="D66" s="211"/>
      <c r="E66" s="243">
        <f>'Salary Record'!K234</f>
        <v>30000</v>
      </c>
      <c r="F66" s="243">
        <f>'Salary Record'!C240</f>
        <v>30</v>
      </c>
      <c r="G66" s="244">
        <f>'Salary Record'!C241</f>
        <v>1</v>
      </c>
      <c r="H66" s="243">
        <f>'Salary Record'!I239</f>
        <v>138</v>
      </c>
      <c r="I66" s="243">
        <f>'Salary Record'!I238</f>
        <v>31</v>
      </c>
      <c r="J66" s="245">
        <f>'Salary Record'!K239</f>
        <v>16693.548387096773</v>
      </c>
      <c r="K66" s="110">
        <f>'Salary Record'!K240</f>
        <v>46693.548387096773</v>
      </c>
      <c r="L66" s="246">
        <f>'Salary Record'!G238</f>
        <v>74500</v>
      </c>
      <c r="M66" s="247">
        <f>'Salary Record'!G239</f>
        <v>10500</v>
      </c>
      <c r="N66" s="248">
        <f>'Salary Record'!G240</f>
        <v>85000</v>
      </c>
      <c r="O66" s="247">
        <f>'Salary Record'!G241</f>
        <v>5000</v>
      </c>
      <c r="P66" s="248">
        <f>'Salary Record'!G242</f>
        <v>80000</v>
      </c>
      <c r="Q66" s="250">
        <f>'Salary Record'!K242</f>
        <v>41693.548387096773</v>
      </c>
      <c r="R66" s="143"/>
      <c r="S66" s="143"/>
      <c r="T66" s="178" t="s">
        <v>141</v>
      </c>
      <c r="U66" s="178" t="s">
        <v>142</v>
      </c>
      <c r="V66" s="180"/>
    </row>
    <row r="67" spans="1:26" ht="15.75" x14ac:dyDescent="0.25">
      <c r="A67" s="278">
        <v>6</v>
      </c>
      <c r="B67" s="242" t="str">
        <f>'Salary Record'!C571</f>
        <v>Sheheryar Khalid</v>
      </c>
      <c r="C67" s="112"/>
      <c r="D67" s="113"/>
      <c r="E67" s="9">
        <f>'Salary Record'!K570</f>
        <v>30000</v>
      </c>
      <c r="F67" s="9">
        <f>'Salary Record'!C576</f>
        <v>29</v>
      </c>
      <c r="G67" s="21">
        <f>'Salary Record'!C577</f>
        <v>2</v>
      </c>
      <c r="H67" s="9">
        <f>'Salary Record'!I575</f>
        <v>98</v>
      </c>
      <c r="I67" s="9">
        <f>'Salary Record'!I574</f>
        <v>29</v>
      </c>
      <c r="J67" s="341">
        <f>'Salary Record'!K575</f>
        <v>11854.838709677419</v>
      </c>
      <c r="K67" s="16">
        <f>'Salary Record'!K576</f>
        <v>39919.354838709674</v>
      </c>
      <c r="L67" s="9">
        <f>'Salary Record'!G574</f>
        <v>46000</v>
      </c>
      <c r="M67" s="9">
        <f>'Salary Record'!G575</f>
        <v>9000</v>
      </c>
      <c r="N67" s="18">
        <f>'Salary Record'!G576</f>
        <v>55000</v>
      </c>
      <c r="O67" s="9">
        <f>'Salary Record'!G577</f>
        <v>10000</v>
      </c>
      <c r="P67" s="18">
        <f>'Salary Record'!G578</f>
        <v>45000</v>
      </c>
      <c r="Q67" s="250">
        <f>'Salary Record'!K578</f>
        <v>29919.354838709674</v>
      </c>
      <c r="R67" s="145">
        <f>Q67*75%</f>
        <v>22439.516129032258</v>
      </c>
      <c r="S67" s="23">
        <v>0</v>
      </c>
      <c r="T67" s="130"/>
    </row>
    <row r="68" spans="1:26" s="179" customFormat="1" ht="21" customHeight="1" x14ac:dyDescent="0.2">
      <c r="A68" s="278">
        <v>8</v>
      </c>
      <c r="B68" s="242" t="s">
        <v>9</v>
      </c>
      <c r="C68" s="204"/>
      <c r="D68" s="201"/>
      <c r="E68" s="249">
        <f>'Salary Record'!K170</f>
        <v>30000</v>
      </c>
      <c r="F68" s="249">
        <f>'Salary Record'!C176</f>
        <v>31</v>
      </c>
      <c r="G68" s="249">
        <f>'Salary Record'!C177</f>
        <v>0</v>
      </c>
      <c r="H68" s="249">
        <f>'Salary Record'!I175</f>
        <v>65</v>
      </c>
      <c r="I68" s="249">
        <f>'Salary Record'!I174</f>
        <v>31</v>
      </c>
      <c r="J68" s="245">
        <f>'Salary Record'!K175</f>
        <v>7862.9032258064517</v>
      </c>
      <c r="K68" s="245">
        <f>'Salary Record'!K176</f>
        <v>37862.903225806454</v>
      </c>
      <c r="L68" s="246">
        <f>'Salary Record'!G174</f>
        <v>69867</v>
      </c>
      <c r="M68" s="247">
        <f>'Salary Record'!G175</f>
        <v>1000</v>
      </c>
      <c r="N68" s="248">
        <f>'Salary Record'!G176</f>
        <v>70867</v>
      </c>
      <c r="O68" s="247">
        <f>'Salary Record'!G177</f>
        <v>8000</v>
      </c>
      <c r="P68" s="248">
        <f>'Salary Record'!G178</f>
        <v>62867</v>
      </c>
      <c r="Q68" s="250">
        <f>'Salary Record'!K178</f>
        <v>29862.903225806454</v>
      </c>
      <c r="R68" s="143"/>
      <c r="S68" s="143"/>
      <c r="T68" s="178" t="s">
        <v>128</v>
      </c>
      <c r="U68" s="178" t="s">
        <v>129</v>
      </c>
      <c r="V68" s="180"/>
    </row>
    <row r="69" spans="1:26" s="273" customFormat="1" ht="21" x14ac:dyDescent="0.3">
      <c r="A69" s="365" t="s">
        <v>2</v>
      </c>
      <c r="B69" s="366"/>
      <c r="C69" s="313"/>
      <c r="D69" s="313"/>
      <c r="E69" s="317">
        <f>SUM(E62:E68)</f>
        <v>260000</v>
      </c>
      <c r="F69" s="313"/>
      <c r="G69" s="313"/>
      <c r="H69" s="313"/>
      <c r="I69" s="313"/>
      <c r="J69" s="317">
        <f>SUM(J62:J68)</f>
        <v>70141.129032258061</v>
      </c>
      <c r="K69" s="313"/>
      <c r="L69" s="313"/>
      <c r="M69" s="313"/>
      <c r="N69" s="313"/>
      <c r="O69" s="313"/>
      <c r="P69" s="313"/>
      <c r="Q69" s="271">
        <f>SUM(Q62:Q68)</f>
        <v>282141.12903225806</v>
      </c>
      <c r="R69" s="307" t="e">
        <f ca="1">SUM(R64:R92)</f>
        <v>#REF!</v>
      </c>
      <c r="S69" s="307" t="e">
        <f ca="1">SUM(S64:S92)</f>
        <v>#REF!</v>
      </c>
      <c r="T69" s="272"/>
      <c r="V69" s="274">
        <f>Q65+Q64</f>
        <v>62399.193548387098</v>
      </c>
    </row>
    <row r="70" spans="1:26" s="273" customFormat="1" ht="21" x14ac:dyDescent="0.3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10"/>
      <c r="R70" s="311"/>
      <c r="S70" s="311"/>
      <c r="T70" s="311"/>
      <c r="U70" s="311"/>
      <c r="V70" s="312"/>
      <c r="W70" s="311"/>
    </row>
    <row r="71" spans="1:26" s="223" customFormat="1" ht="21" customHeight="1" x14ac:dyDescent="0.2">
      <c r="A71" s="359" t="s">
        <v>183</v>
      </c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1"/>
      <c r="R71" s="221"/>
      <c r="S71" s="221"/>
      <c r="T71" s="235"/>
      <c r="U71" s="229"/>
      <c r="V71" s="224"/>
    </row>
    <row r="72" spans="1:26" s="179" customFormat="1" ht="21" customHeight="1" x14ac:dyDescent="0.3">
      <c r="A72" s="278">
        <v>1</v>
      </c>
      <c r="B72" s="242" t="str">
        <f>'Salary Record'!C587</f>
        <v>Zeeshan AC</v>
      </c>
      <c r="C72" s="182"/>
      <c r="D72" s="183"/>
      <c r="E72" s="110">
        <f>'Salary Record'!K586</f>
        <v>28000</v>
      </c>
      <c r="F72" s="110">
        <f>'Salary Record'!C592</f>
        <v>31</v>
      </c>
      <c r="G72" s="249">
        <f>'Salary Record'!C593</f>
        <v>0</v>
      </c>
      <c r="H72" s="110">
        <f>'Salary Record'!I591</f>
        <v>0</v>
      </c>
      <c r="I72" s="110">
        <f>'Salary Record'!I590</f>
        <v>31</v>
      </c>
      <c r="J72" s="245">
        <f>'Salary Record'!K591</f>
        <v>0</v>
      </c>
      <c r="K72" s="110">
        <f>'Salary Record'!K592</f>
        <v>28000</v>
      </c>
      <c r="L72" s="246">
        <f>'Salary Record'!G590</f>
        <v>0</v>
      </c>
      <c r="M72" s="246">
        <f>'Salary Record'!G591</f>
        <v>0</v>
      </c>
      <c r="N72" s="246" t="str">
        <f>'Salary Record'!G592</f>
        <v/>
      </c>
      <c r="O72" s="246">
        <f>'Salary Record'!G593</f>
        <v>0</v>
      </c>
      <c r="P72" s="246" t="str">
        <f>'Salary Record'!G594</f>
        <v/>
      </c>
      <c r="Q72" s="250">
        <f>'Salary Record'!K594</f>
        <v>28000</v>
      </c>
      <c r="R72" s="143"/>
      <c r="S72" s="143"/>
      <c r="T72" s="178"/>
      <c r="U72" s="178">
        <f>Q69-Q63</f>
        <v>224237.90322580643</v>
      </c>
      <c r="V72" s="274"/>
    </row>
    <row r="73" spans="1:26" s="273" customFormat="1" ht="21" x14ac:dyDescent="0.3">
      <c r="A73" s="365" t="s">
        <v>2</v>
      </c>
      <c r="B73" s="366"/>
      <c r="C73" s="313"/>
      <c r="D73" s="313"/>
      <c r="E73" s="315">
        <f>SUM(E72:E72)</f>
        <v>28000</v>
      </c>
      <c r="F73" s="313"/>
      <c r="G73" s="313"/>
      <c r="H73" s="313"/>
      <c r="I73" s="313"/>
      <c r="J73" s="315">
        <f>SUM(J72:J72)</f>
        <v>0</v>
      </c>
      <c r="K73" s="313"/>
      <c r="L73" s="313"/>
      <c r="M73" s="313"/>
      <c r="N73" s="313"/>
      <c r="O73" s="313"/>
      <c r="P73" s="313"/>
      <c r="Q73" s="271">
        <f>SUM(Q72:Q72)</f>
        <v>28000</v>
      </c>
      <c r="R73" s="307">
        <f>SUM(R72:R72)</f>
        <v>0</v>
      </c>
      <c r="S73" s="307">
        <f>SUM(S72:S72)</f>
        <v>0</v>
      </c>
      <c r="T73" s="272"/>
      <c r="U73" s="311"/>
      <c r="V73" s="274"/>
    </row>
    <row r="74" spans="1:26" ht="21" customHeight="1" x14ac:dyDescent="0.2">
      <c r="A74" s="378" t="s">
        <v>107</v>
      </c>
      <c r="B74" s="379"/>
      <c r="C74" s="305"/>
      <c r="D74" s="305"/>
      <c r="E74" s="319">
        <f>SUM(E4+E5+E73+E59+E52+E45+E34+E27+E20+E11+E69)</f>
        <v>1330700</v>
      </c>
      <c r="F74" s="305"/>
      <c r="G74" s="305"/>
      <c r="H74" s="305"/>
      <c r="I74" s="305"/>
      <c r="J74" s="318">
        <f ca="1">SUM(J4+J5+J73+J59+J52+J45+J34+J27+J20+J11+J69)</f>
        <v>140606.24999999997</v>
      </c>
      <c r="K74" s="306"/>
      <c r="L74" s="276">
        <f>SUM(L4:L73)</f>
        <v>564197</v>
      </c>
      <c r="M74" s="316">
        <f>SUM(M4:M73)</f>
        <v>131000</v>
      </c>
      <c r="N74" s="276">
        <f>SUM(N4:N73)</f>
        <v>695197</v>
      </c>
      <c r="O74" s="276">
        <f>SUM(O4:O73)</f>
        <v>118500</v>
      </c>
      <c r="P74" s="276">
        <f>SUM(P4:P73)</f>
        <v>576697</v>
      </c>
      <c r="Q74" s="275">
        <f>SUM(Q4+Q5+Q73+Q59+Q52+Q45+Q34+Q27+Q20+Q11+Q69)</f>
        <v>1354762.0967741935</v>
      </c>
      <c r="R74" s="98" t="e">
        <f ca="1">SUM(R4+R5+R73+#REF!+R59+R52+#REF!+R45+R34+R27+R20+R11)</f>
        <v>#REF!</v>
      </c>
      <c r="S74" s="98" t="e">
        <f ca="1">SUM(S4+S5+S73+#REF!+S59+S52+#REF!+S45+S34+S27+S20+S11)</f>
        <v>#REF!</v>
      </c>
      <c r="T74" s="132"/>
      <c r="U74" s="8"/>
      <c r="W74" s="8"/>
    </row>
    <row r="75" spans="1:26" ht="20.45" customHeight="1" x14ac:dyDescent="0.2">
      <c r="A75" s="380" t="s">
        <v>192</v>
      </c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2"/>
      <c r="Q75" s="153">
        <f>[1]Cash!$I$5948</f>
        <v>976968.41666666674</v>
      </c>
      <c r="R75" s="98"/>
      <c r="S75" s="98"/>
      <c r="T75" s="132"/>
      <c r="U75" s="8">
        <f>Q72+Q68+Q65+Q63+Q40+Q37+Q26+Q25+Q24+Q23+Q14+Q64</f>
        <v>487280.24193548388</v>
      </c>
      <c r="W75" s="8"/>
    </row>
    <row r="76" spans="1:26" ht="20.45" customHeight="1" x14ac:dyDescent="0.2">
      <c r="A76" s="380" t="s">
        <v>193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2"/>
      <c r="Q76" s="153">
        <f>Q74-Q75</f>
        <v>377793.68010752671</v>
      </c>
      <c r="R76" s="98"/>
      <c r="S76" s="98"/>
      <c r="T76" s="132"/>
      <c r="U76" s="8"/>
      <c r="W76" s="8"/>
    </row>
    <row r="77" spans="1:26" ht="20.45" customHeight="1" x14ac:dyDescent="0.25">
      <c r="A77" s="279"/>
      <c r="B77" s="134"/>
      <c r="C77" s="134"/>
      <c r="D77" s="134"/>
      <c r="E77" s="134"/>
      <c r="F77" s="134"/>
      <c r="G77" s="134"/>
      <c r="H77" s="134"/>
      <c r="I77" s="134"/>
      <c r="J77" s="134"/>
      <c r="K77" s="156"/>
      <c r="L77" s="156"/>
      <c r="M77" s="156"/>
      <c r="N77" s="156"/>
      <c r="O77" s="157"/>
      <c r="P77" s="157"/>
      <c r="Q77" s="158"/>
      <c r="R77" s="98"/>
      <c r="S77" s="98"/>
      <c r="T77" s="132"/>
      <c r="U77" s="8">
        <f>Q72+Q68+Q65+Q64+Q14+Q27</f>
        <v>308006.04838709679</v>
      </c>
      <c r="W77" s="8">
        <f>Q68+Q27+Q14</f>
        <v>217606.8548387097</v>
      </c>
    </row>
    <row r="78" spans="1:26" ht="18" x14ac:dyDescent="0.25">
      <c r="A78" s="281"/>
      <c r="B78" s="154"/>
      <c r="C78" s="100"/>
      <c r="D78" s="101"/>
      <c r="E78" s="9"/>
      <c r="F78" s="9"/>
      <c r="G78" s="21"/>
      <c r="H78" s="104"/>
      <c r="I78" s="9"/>
      <c r="J78" s="16"/>
      <c r="K78" s="10"/>
      <c r="L78" s="9"/>
      <c r="M78" s="9"/>
      <c r="N78" s="18"/>
      <c r="O78" s="9"/>
      <c r="P78" s="18"/>
      <c r="Q78" s="339"/>
      <c r="R78" s="123"/>
      <c r="S78" s="23"/>
      <c r="T78" s="130"/>
      <c r="U78" s="8"/>
      <c r="W78" s="8"/>
    </row>
    <row r="79" spans="1:26" ht="15" x14ac:dyDescent="0.25">
      <c r="A79" s="281">
        <v>5</v>
      </c>
      <c r="B79" s="19">
        <f>'Salary Record'!C856</f>
        <v>0</v>
      </c>
      <c r="C79" s="95"/>
      <c r="D79" s="94"/>
      <c r="E79" s="10">
        <f>'Salary Record'!K855</f>
        <v>0</v>
      </c>
      <c r="F79" s="10">
        <f>'Salary Record'!C861</f>
        <v>0</v>
      </c>
      <c r="G79" s="20">
        <f>'Salary Record'!C862</f>
        <v>0</v>
      </c>
      <c r="H79" s="10">
        <f>'Salary Record'!I860</f>
        <v>0</v>
      </c>
      <c r="I79" s="10">
        <f>'Salary Record'!I859</f>
        <v>0</v>
      </c>
      <c r="J79" s="16">
        <f>'Salary Record'!K860</f>
        <v>0</v>
      </c>
      <c r="K79" s="10">
        <f>'Salary Record'!K861</f>
        <v>0</v>
      </c>
      <c r="L79" s="9">
        <f>'Salary Record'!G859</f>
        <v>0</v>
      </c>
      <c r="M79" s="17">
        <f>'Salary Record'!G860</f>
        <v>0</v>
      </c>
      <c r="N79" s="18">
        <f>'Salary Record'!G861</f>
        <v>0</v>
      </c>
      <c r="O79" s="17">
        <f>'Salary Record'!G862</f>
        <v>0</v>
      </c>
      <c r="P79" s="18">
        <f>'Salary Record'!G863</f>
        <v>0</v>
      </c>
      <c r="Q79" s="23">
        <f>'Salary Record'!K863</f>
        <v>0</v>
      </c>
      <c r="R79" s="145">
        <f>Q79*75%</f>
        <v>0</v>
      </c>
      <c r="S79" s="23">
        <v>0</v>
      </c>
      <c r="T79" s="130"/>
    </row>
    <row r="80" spans="1:26" s="179" customFormat="1" ht="21" customHeight="1" x14ac:dyDescent="0.2">
      <c r="A80" s="277">
        <v>7</v>
      </c>
      <c r="B80" s="242" t="str">
        <f>'Salary Record'!C618</f>
        <v>Asif (Cooling tower)</v>
      </c>
      <c r="C80" s="208" t="s">
        <v>39</v>
      </c>
      <c r="D80" s="209">
        <f>SUM(Q46:Q85)</f>
        <v>3845266.1290322579</v>
      </c>
      <c r="E80" s="247">
        <f>'Salary Record'!K617</f>
        <v>0</v>
      </c>
      <c r="F80" s="247">
        <f>'Salary Record'!C623</f>
        <v>0</v>
      </c>
      <c r="G80" s="244">
        <f>'Salary Record'!C624</f>
        <v>0</v>
      </c>
      <c r="H80" s="247">
        <f>'Salary Record'!I622</f>
        <v>0</v>
      </c>
      <c r="I80" s="247">
        <f>'Salary Record'!I621</f>
        <v>31</v>
      </c>
      <c r="J80" s="245">
        <f>'Salary Record'!K622</f>
        <v>0</v>
      </c>
      <c r="K80" s="245">
        <f>'Salary Record'!K623</f>
        <v>0</v>
      </c>
      <c r="L80" s="246">
        <f>'Salary Record'!G621</f>
        <v>0</v>
      </c>
      <c r="M80" s="247">
        <f>'Salary Record'!G622</f>
        <v>0</v>
      </c>
      <c r="N80" s="247">
        <f>'Salary Record'!G623</f>
        <v>0</v>
      </c>
      <c r="O80" s="247">
        <f>'Salary Record'!G624</f>
        <v>0</v>
      </c>
      <c r="P80" s="248">
        <f>'Salary Record'!G625</f>
        <v>0</v>
      </c>
      <c r="Q80" s="252">
        <f>'Salary Record'!K625</f>
        <v>0</v>
      </c>
      <c r="R80" s="143"/>
      <c r="S80" s="143"/>
      <c r="T80" s="178"/>
      <c r="U80" s="178"/>
      <c r="V80" s="180"/>
    </row>
    <row r="81" spans="1:26" x14ac:dyDescent="0.2">
      <c r="A81" s="282"/>
      <c r="B81" s="147"/>
      <c r="C81" s="147"/>
      <c r="D81" s="147"/>
      <c r="E81" s="117"/>
      <c r="F81" s="117"/>
      <c r="G81" s="148"/>
      <c r="H81" s="117"/>
      <c r="I81" s="117"/>
      <c r="J81" s="117"/>
      <c r="K81" s="117"/>
      <c r="L81" s="117"/>
      <c r="M81" s="117"/>
      <c r="N81" s="149"/>
      <c r="O81" s="117"/>
      <c r="P81" s="149"/>
      <c r="Q81" s="119"/>
    </row>
    <row r="82" spans="1:26" s="179" customFormat="1" ht="21" customHeight="1" x14ac:dyDescent="0.2">
      <c r="A82" s="278">
        <v>5</v>
      </c>
      <c r="B82" s="242"/>
      <c r="C82" s="205"/>
      <c r="D82" s="206"/>
      <c r="E82" s="249">
        <f>'Salary Record'!K665</f>
        <v>0</v>
      </c>
      <c r="F82" s="249">
        <f>'Salary Record'!C671</f>
        <v>28</v>
      </c>
      <c r="G82" s="249">
        <f>'Salary Record'!C672</f>
        <v>3</v>
      </c>
      <c r="H82" s="249">
        <f>'Salary Record'!I670</f>
        <v>0</v>
      </c>
      <c r="I82" s="249">
        <f>'Salary Record'!I669</f>
        <v>0</v>
      </c>
      <c r="J82" s="245">
        <f>'Salary Record'!K670</f>
        <v>0</v>
      </c>
      <c r="K82" s="245">
        <f>'Salary Record'!K671</f>
        <v>0</v>
      </c>
      <c r="L82" s="246">
        <f>'Salary Record'!G669</f>
        <v>0</v>
      </c>
      <c r="M82" s="247">
        <f>'Salary Record'!G670</f>
        <v>0</v>
      </c>
      <c r="N82" s="248">
        <f>'Salary Record'!G671</f>
        <v>0</v>
      </c>
      <c r="O82" s="247">
        <f>'Salary Record'!G672</f>
        <v>0</v>
      </c>
      <c r="P82" s="248">
        <f>'Salary Record'!G673</f>
        <v>0</v>
      </c>
      <c r="Q82" s="304">
        <f>'Salary Record'!K673</f>
        <v>0</v>
      </c>
      <c r="R82" s="207"/>
      <c r="S82" s="143"/>
      <c r="T82" s="178"/>
      <c r="U82" s="178"/>
      <c r="V82" s="180"/>
    </row>
    <row r="83" spans="1:26" s="179" customFormat="1" ht="21" customHeight="1" x14ac:dyDescent="0.2">
      <c r="A83" s="278">
        <v>7</v>
      </c>
      <c r="B83" s="242" t="str">
        <f>'Salary Record'!C713</f>
        <v>Amir (Plumber)</v>
      </c>
      <c r="C83" s="205"/>
      <c r="D83" s="206"/>
      <c r="E83" s="249">
        <f>'Salary Record'!K712</f>
        <v>31000</v>
      </c>
      <c r="F83" s="249">
        <f>'Salary Record'!C718</f>
        <v>0</v>
      </c>
      <c r="G83" s="249">
        <f>'Salary Record'!C719</f>
        <v>0</v>
      </c>
      <c r="H83" s="249">
        <f>'Salary Record'!I717</f>
        <v>44</v>
      </c>
      <c r="I83" s="249">
        <f>'Salary Record'!I716</f>
        <v>31</v>
      </c>
      <c r="J83" s="245">
        <f>'Salary Record'!K717</f>
        <v>5500</v>
      </c>
      <c r="K83" s="245">
        <f>'Salary Record'!K718</f>
        <v>36500</v>
      </c>
      <c r="L83" s="246">
        <f>'Salary Record'!G716</f>
        <v>0</v>
      </c>
      <c r="M83" s="247">
        <f>'Salary Record'!G717</f>
        <v>0</v>
      </c>
      <c r="N83" s="248">
        <f>'Salary Record'!G718</f>
        <v>0</v>
      </c>
      <c r="O83" s="247">
        <f>'Salary Record'!G719</f>
        <v>0</v>
      </c>
      <c r="P83" s="248">
        <f>'Salary Record'!G720</f>
        <v>0</v>
      </c>
      <c r="Q83" s="250">
        <f>'Salary Record'!K720</f>
        <v>0</v>
      </c>
      <c r="R83" s="143"/>
      <c r="S83" s="143"/>
      <c r="T83" s="178" t="s">
        <v>117</v>
      </c>
      <c r="U83" s="178" t="s">
        <v>118</v>
      </c>
      <c r="V83" s="180"/>
    </row>
    <row r="84" spans="1:26" ht="15" x14ac:dyDescent="0.25">
      <c r="A84" s="281">
        <v>7</v>
      </c>
      <c r="B84" s="19">
        <f>'Salary Record'!C872</f>
        <v>0</v>
      </c>
      <c r="C84" s="102"/>
      <c r="D84" s="92"/>
      <c r="E84" s="20">
        <f>'Salary Record'!K871</f>
        <v>0</v>
      </c>
      <c r="F84" s="20">
        <f>'Salary Record'!C877</f>
        <v>0</v>
      </c>
      <c r="G84" s="20">
        <f>'Salary Record'!C878</f>
        <v>0</v>
      </c>
      <c r="H84" s="20">
        <f>'Salary Record'!I876</f>
        <v>0</v>
      </c>
      <c r="I84" s="20">
        <f>'Salary Record'!I875</f>
        <v>0</v>
      </c>
      <c r="J84" s="16">
        <f>'Salary Record'!K876</f>
        <v>0</v>
      </c>
      <c r="K84" s="16">
        <f>'Salary Record'!K877</f>
        <v>0</v>
      </c>
      <c r="L84" s="9">
        <f>'Salary Record'!G875</f>
        <v>0</v>
      </c>
      <c r="M84" s="17">
        <f>'Salary Record'!G876</f>
        <v>0</v>
      </c>
      <c r="N84" s="18">
        <f>'Salary Record'!G877</f>
        <v>0</v>
      </c>
      <c r="O84" s="17">
        <f>'Salary Record'!G878</f>
        <v>0</v>
      </c>
      <c r="P84" s="18">
        <f>'Salary Record'!G879</f>
        <v>0</v>
      </c>
      <c r="Q84" s="23">
        <f>'Salary Record'!K879</f>
        <v>0</v>
      </c>
      <c r="R84" s="144"/>
      <c r="S84" s="23"/>
      <c r="T84" s="130"/>
    </row>
    <row r="85" spans="1:26" ht="15" x14ac:dyDescent="0.25">
      <c r="A85" s="280">
        <v>16</v>
      </c>
      <c r="B85" s="127">
        <f>'Salary Record'!C698</f>
        <v>0</v>
      </c>
      <c r="C85" s="95"/>
      <c r="D85" s="94"/>
      <c r="E85" s="20">
        <f>'Salary Record'!K697</f>
        <v>0</v>
      </c>
      <c r="F85" s="20">
        <f>'Salary Record'!C703</f>
        <v>0</v>
      </c>
      <c r="G85" s="20">
        <f>'Salary Record'!C704</f>
        <v>0</v>
      </c>
      <c r="H85" s="20">
        <f>'Salary Record'!I702</f>
        <v>0</v>
      </c>
      <c r="I85" s="20">
        <f>'Salary Record'!I701</f>
        <v>0</v>
      </c>
      <c r="J85" s="16">
        <f>'Salary Record'!K702</f>
        <v>0</v>
      </c>
      <c r="K85" s="16">
        <f>'Salary Record'!K703</f>
        <v>0</v>
      </c>
      <c r="L85" s="9">
        <f>'Salary Record'!G701</f>
        <v>0</v>
      </c>
      <c r="M85" s="17">
        <f>'Salary Record'!G702</f>
        <v>0</v>
      </c>
      <c r="N85" s="18">
        <f>'Salary Record'!G703</f>
        <v>0</v>
      </c>
      <c r="O85" s="17">
        <f>'Salary Record'!G704</f>
        <v>0</v>
      </c>
      <c r="P85" s="18">
        <f>'Salary Record'!G705</f>
        <v>0</v>
      </c>
      <c r="Q85" s="126">
        <f>'Salary Record'!K705</f>
        <v>0</v>
      </c>
      <c r="R85" s="146"/>
      <c r="S85" s="126"/>
      <c r="T85" s="133"/>
      <c r="U85" s="8"/>
    </row>
    <row r="86" spans="1:26" s="179" customFormat="1" ht="21" customHeight="1" x14ac:dyDescent="0.2">
      <c r="A86" s="277">
        <v>2</v>
      </c>
      <c r="B86" s="322" t="s">
        <v>13</v>
      </c>
      <c r="C86" s="216" t="s">
        <v>32</v>
      </c>
      <c r="D86" s="217" t="e">
        <f>SUM(Q26:Q90)</f>
        <v>#REF!</v>
      </c>
      <c r="E86" s="264" t="e">
        <f>'Salary Record'!#REF!</f>
        <v>#REF!</v>
      </c>
      <c r="F86" s="264" t="e">
        <f>'Salary Record'!#REF!</f>
        <v>#REF!</v>
      </c>
      <c r="G86" s="265" t="e">
        <f>'Salary Record'!#REF!</f>
        <v>#REF!</v>
      </c>
      <c r="H86" s="264" t="e">
        <f>'Salary Record'!#REF!</f>
        <v>#REF!</v>
      </c>
      <c r="I86" s="264" t="e">
        <f>'Salary Record'!#REF!</f>
        <v>#REF!</v>
      </c>
      <c r="J86" s="238" t="e">
        <f>'Salary Record'!#REF!</f>
        <v>#REF!</v>
      </c>
      <c r="K86" s="264" t="e">
        <f>'Salary Record'!#REF!</f>
        <v>#REF!</v>
      </c>
      <c r="L86" s="239" t="e">
        <f>'Salary Record'!#REF!</f>
        <v>#REF!</v>
      </c>
      <c r="M86" s="239" t="e">
        <f>'Salary Record'!#REF!</f>
        <v>#REF!</v>
      </c>
      <c r="N86" s="241" t="e">
        <f>'Salary Record'!#REF!</f>
        <v>#REF!</v>
      </c>
      <c r="O86" s="240" t="e">
        <f>'Salary Record'!#REF!</f>
        <v>#REF!</v>
      </c>
      <c r="P86" s="241" t="e">
        <f>'Salary Record'!#REF!</f>
        <v>#REF!</v>
      </c>
      <c r="Q86" s="266" t="e">
        <f>'Salary Record'!#REF!</f>
        <v>#REF!</v>
      </c>
      <c r="R86" s="192"/>
      <c r="S86" s="143"/>
      <c r="T86" s="178"/>
      <c r="U86" s="178"/>
      <c r="V86" s="180"/>
    </row>
    <row r="87" spans="1:26" ht="15" x14ac:dyDescent="0.25">
      <c r="A87" s="281">
        <v>7</v>
      </c>
      <c r="B87" s="19">
        <f>'Salary Record'!C682</f>
        <v>0</v>
      </c>
      <c r="C87" s="95"/>
      <c r="D87" s="94"/>
      <c r="E87" s="20">
        <f>'Salary Record'!K681</f>
        <v>0</v>
      </c>
      <c r="F87" s="20">
        <f>'Salary Record'!C687</f>
        <v>0</v>
      </c>
      <c r="G87" s="20">
        <f>'Salary Record'!C688</f>
        <v>0</v>
      </c>
      <c r="H87" s="20">
        <f>'Salary Record'!I686</f>
        <v>0</v>
      </c>
      <c r="I87" s="20">
        <f>'Salary Record'!I685</f>
        <v>31</v>
      </c>
      <c r="J87" s="16">
        <f>'Salary Record'!K686</f>
        <v>0</v>
      </c>
      <c r="K87" s="16">
        <f>'Salary Record'!K687</f>
        <v>0</v>
      </c>
      <c r="L87" s="9">
        <f>'Salary Record'!G685</f>
        <v>0</v>
      </c>
      <c r="M87" s="17">
        <f>'Salary Record'!G686</f>
        <v>0</v>
      </c>
      <c r="N87" s="18" t="str">
        <f>'Salary Record'!G687</f>
        <v/>
      </c>
      <c r="O87" s="17">
        <f>'Salary Record'!G688</f>
        <v>0</v>
      </c>
      <c r="P87" s="18" t="str">
        <f>'Salary Record'!G689</f>
        <v/>
      </c>
      <c r="Q87" s="23">
        <f>'Salary Record'!K689</f>
        <v>0</v>
      </c>
      <c r="R87" s="144">
        <v>0</v>
      </c>
      <c r="S87" s="23">
        <f>Q87-R87</f>
        <v>0</v>
      </c>
      <c r="T87" s="130"/>
    </row>
    <row r="88" spans="1:26" ht="15" x14ac:dyDescent="0.25">
      <c r="A88" s="281"/>
      <c r="B88" s="19"/>
      <c r="C88" s="150" t="s">
        <v>33</v>
      </c>
      <c r="D88" s="151" t="e">
        <f>SUM(Q27:Q92)</f>
        <v>#REF!</v>
      </c>
      <c r="E88" s="17" t="e">
        <f>'Salary Record'!#REF!</f>
        <v>#REF!</v>
      </c>
      <c r="F88" s="17" t="e">
        <f>'Salary Record'!#REF!</f>
        <v>#REF!</v>
      </c>
      <c r="G88" s="24" t="e">
        <f>'Salary Record'!#REF!</f>
        <v>#REF!</v>
      </c>
      <c r="H88" s="17" t="e">
        <f>'Salary Record'!#REF!</f>
        <v>#REF!</v>
      </c>
      <c r="I88" s="17" t="e">
        <f>'Salary Record'!#REF!</f>
        <v>#REF!</v>
      </c>
      <c r="J88" s="16" t="e">
        <f>'Salary Record'!#REF!</f>
        <v>#REF!</v>
      </c>
      <c r="K88" s="16" t="e">
        <f>'Salary Record'!#REF!</f>
        <v>#REF!</v>
      </c>
      <c r="L88" s="9" t="e">
        <f>'Salary Record'!#REF!</f>
        <v>#REF!</v>
      </c>
      <c r="M88" s="17" t="e">
        <f>'Salary Record'!#REF!</f>
        <v>#REF!</v>
      </c>
      <c r="N88" s="18" t="e">
        <f>'Salary Record'!#REF!</f>
        <v>#REF!</v>
      </c>
      <c r="O88" s="17" t="e">
        <f>'Salary Record'!#REF!</f>
        <v>#REF!</v>
      </c>
      <c r="P88" s="18" t="e">
        <f>'Salary Record'!#REF!</f>
        <v>#REF!</v>
      </c>
      <c r="Q88" s="23" t="e">
        <f>'Salary Record'!#REF!</f>
        <v>#REF!</v>
      </c>
      <c r="R88" s="144"/>
      <c r="S88" s="23"/>
      <c r="T88" s="130"/>
    </row>
    <row r="89" spans="1:26" s="179" customFormat="1" ht="21" customHeight="1" x14ac:dyDescent="0.2">
      <c r="A89" s="277">
        <v>5</v>
      </c>
      <c r="B89" s="242" t="s">
        <v>160</v>
      </c>
      <c r="C89" s="210" t="s">
        <v>87</v>
      </c>
      <c r="D89" s="211">
        <f>SUM(Q27:Q70)</f>
        <v>2098683.4677419355</v>
      </c>
      <c r="E89" s="270" t="e">
        <f>'Salary Record'!#REF!</f>
        <v>#REF!</v>
      </c>
      <c r="F89" s="270" t="e">
        <f>'Salary Record'!#REF!</f>
        <v>#REF!</v>
      </c>
      <c r="G89" s="249" t="e">
        <f>'Salary Record'!#REF!</f>
        <v>#REF!</v>
      </c>
      <c r="H89" s="270" t="e">
        <f>'Salary Record'!#REF!</f>
        <v>#REF!</v>
      </c>
      <c r="I89" s="270" t="e">
        <f>'Salary Record'!#REF!</f>
        <v>#REF!</v>
      </c>
      <c r="J89" s="245" t="e">
        <f>'Salary Record'!#REF!</f>
        <v>#REF!</v>
      </c>
      <c r="K89" s="245" t="e">
        <f>'Salary Record'!#REF!</f>
        <v>#REF!</v>
      </c>
      <c r="L89" s="246" t="e">
        <f>'Salary Record'!#REF!</f>
        <v>#REF!</v>
      </c>
      <c r="M89" s="247" t="e">
        <f>'Salary Record'!#REF!</f>
        <v>#REF!</v>
      </c>
      <c r="N89" s="248" t="e">
        <f>'Salary Record'!#REF!</f>
        <v>#REF!</v>
      </c>
      <c r="O89" s="247" t="e">
        <f>'Salary Record'!#REF!</f>
        <v>#REF!</v>
      </c>
      <c r="P89" s="248" t="e">
        <f>'Salary Record'!#REF!</f>
        <v>#REF!</v>
      </c>
      <c r="Q89" s="252" t="e">
        <f>'Salary Record'!#REF!</f>
        <v>#REF!</v>
      </c>
      <c r="R89" s="143"/>
      <c r="S89" s="143"/>
      <c r="T89" s="178" t="s">
        <v>120</v>
      </c>
      <c r="V89" s="180"/>
    </row>
    <row r="90" spans="1:26" x14ac:dyDescent="0.2">
      <c r="A90" s="282"/>
      <c r="B90" s="147"/>
      <c r="C90" s="147"/>
      <c r="D90" s="147"/>
      <c r="E90" s="117"/>
      <c r="F90" s="117"/>
      <c r="G90" s="148"/>
      <c r="H90" s="117"/>
      <c r="I90" s="117"/>
      <c r="J90" s="117"/>
      <c r="K90" s="117"/>
      <c r="L90" s="117"/>
      <c r="M90" s="117"/>
      <c r="N90" s="149"/>
      <c r="O90" s="117"/>
      <c r="P90" s="149"/>
      <c r="Q90" s="119"/>
    </row>
    <row r="91" spans="1:26" ht="15" x14ac:dyDescent="0.25">
      <c r="A91" s="280">
        <v>10</v>
      </c>
      <c r="B91" s="19" t="str">
        <f>'Salary Record'!C650</f>
        <v>Azeem D/W</v>
      </c>
      <c r="C91" s="100"/>
      <c r="D91" s="101"/>
      <c r="E91" s="9">
        <f>'Salary Record'!K649</f>
        <v>1400</v>
      </c>
      <c r="F91" s="9">
        <f>'Salary Record'!C655</f>
        <v>28</v>
      </c>
      <c r="G91" s="21">
        <f>'Salary Record'!C656</f>
        <v>3</v>
      </c>
      <c r="H91" s="9">
        <f>'Salary Record'!I654</f>
        <v>0</v>
      </c>
      <c r="I91" s="9">
        <f>'Salary Record'!I653</f>
        <v>0</v>
      </c>
      <c r="J91" s="80">
        <f>'Salary Record'!K654</f>
        <v>0</v>
      </c>
      <c r="K91" s="80">
        <f>'Salary Record'!K655</f>
        <v>0</v>
      </c>
      <c r="L91" s="81">
        <f>'Salary Record'!G653</f>
        <v>0</v>
      </c>
      <c r="M91" s="81">
        <f>'Salary Record'!G654</f>
        <v>0</v>
      </c>
      <c r="N91" s="82">
        <f>'Salary Record'!G655</f>
        <v>0</v>
      </c>
      <c r="O91" s="81">
        <f>'Salary Record'!G656</f>
        <v>0</v>
      </c>
      <c r="P91" s="82">
        <f>'Salary Record'!G657</f>
        <v>0</v>
      </c>
      <c r="Q91" s="120">
        <f>'Salary Record'!K657</f>
        <v>0</v>
      </c>
      <c r="R91" s="23"/>
      <c r="S91" s="23">
        <f>Q91-R91</f>
        <v>0</v>
      </c>
      <c r="T91" s="130"/>
      <c r="U91" s="8"/>
      <c r="X91" s="2"/>
      <c r="Y91" s="2"/>
      <c r="Z91" s="2"/>
    </row>
    <row r="92" spans="1:26" ht="15.75" x14ac:dyDescent="0.25">
      <c r="A92" s="281">
        <v>3</v>
      </c>
      <c r="B92" s="19" t="s">
        <v>12</v>
      </c>
      <c r="C92" s="91" t="s">
        <v>86</v>
      </c>
      <c r="D92" s="92">
        <f>SUM(Q92:Q92)</f>
        <v>0</v>
      </c>
      <c r="E92" s="10">
        <f>'Salary Record'!K823</f>
        <v>0</v>
      </c>
      <c r="F92" s="10">
        <f>'Salary Record'!C829</f>
        <v>28</v>
      </c>
      <c r="G92" s="20">
        <f>'Salary Record'!C830</f>
        <v>3</v>
      </c>
      <c r="H92" s="10">
        <f>'Salary Record'!I828</f>
        <v>0</v>
      </c>
      <c r="I92" s="10">
        <f>'Salary Record'!I827</f>
        <v>28</v>
      </c>
      <c r="J92" s="16">
        <f>'Salary Record'!K828</f>
        <v>0</v>
      </c>
      <c r="K92" s="10">
        <f>'Salary Record'!K829</f>
        <v>0</v>
      </c>
      <c r="L92" s="9">
        <f>'Salary Record'!G827</f>
        <v>0</v>
      </c>
      <c r="M92" s="17">
        <f>'Salary Record'!G828</f>
        <v>0</v>
      </c>
      <c r="N92" s="18">
        <f>'Salary Record'!G829</f>
        <v>0</v>
      </c>
      <c r="O92" s="10">
        <f>'Salary Record'!G830</f>
        <v>0</v>
      </c>
      <c r="P92" s="18">
        <f>'Salary Record'!G831</f>
        <v>0</v>
      </c>
      <c r="Q92" s="143">
        <f>'Salary Record'!K831</f>
        <v>0</v>
      </c>
      <c r="R92" s="144"/>
      <c r="S92" s="23"/>
      <c r="T92" s="130"/>
      <c r="U92" s="8"/>
    </row>
    <row r="93" spans="1:26" ht="20.25" x14ac:dyDescent="0.3">
      <c r="B93" s="370" t="s">
        <v>96</v>
      </c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/>
      <c r="N93"/>
      <c r="O93"/>
      <c r="P93"/>
      <c r="T93"/>
      <c r="V93"/>
    </row>
    <row r="94" spans="1:26" ht="15" x14ac:dyDescent="0.25">
      <c r="B94" s="323" t="s">
        <v>97</v>
      </c>
      <c r="C94" s="142" t="s">
        <v>113</v>
      </c>
      <c r="D94" s="142" t="s">
        <v>111</v>
      </c>
      <c r="E94" s="142" t="str">
        <f>N1</f>
        <v>May</v>
      </c>
      <c r="G94" s="2"/>
      <c r="H94" s="114"/>
      <c r="K94"/>
      <c r="L94"/>
      <c r="M94"/>
      <c r="N94"/>
      <c r="O94"/>
      <c r="P94"/>
      <c r="T94"/>
      <c r="V94"/>
    </row>
    <row r="95" spans="1:26" x14ac:dyDescent="0.2">
      <c r="B95" s="324" t="s">
        <v>188</v>
      </c>
      <c r="C95" s="138">
        <v>100000</v>
      </c>
      <c r="D95" s="139">
        <v>100000</v>
      </c>
      <c r="E95" s="139">
        <v>25000</v>
      </c>
      <c r="G95" s="2"/>
      <c r="H95" s="114"/>
      <c r="K95" s="8"/>
      <c r="L95"/>
      <c r="M95"/>
      <c r="N95"/>
      <c r="O95"/>
      <c r="P95"/>
      <c r="T95"/>
      <c r="V95"/>
    </row>
    <row r="96" spans="1:26" x14ac:dyDescent="0.2">
      <c r="B96" s="324" t="s">
        <v>175</v>
      </c>
      <c r="C96" s="138"/>
      <c r="D96" s="139"/>
      <c r="E96" s="139">
        <v>25000</v>
      </c>
      <c r="G96" s="2"/>
      <c r="H96" s="114"/>
      <c r="K96"/>
      <c r="L96"/>
      <c r="M96"/>
      <c r="N96"/>
      <c r="O96"/>
      <c r="P96"/>
      <c r="T96"/>
      <c r="V96"/>
    </row>
    <row r="97" spans="2:22" x14ac:dyDescent="0.2">
      <c r="B97" s="324" t="s">
        <v>190</v>
      </c>
      <c r="C97" s="138"/>
      <c r="D97" s="139"/>
      <c r="E97" s="139">
        <v>25000</v>
      </c>
      <c r="G97" s="2"/>
      <c r="H97" s="114"/>
      <c r="I97" s="2" t="e">
        <f>Q73+#REF!+Q59+Q52+#REF!+Q45+Q34+Q27+Q20+Q5</f>
        <v>#REF!</v>
      </c>
      <c r="K97"/>
      <c r="L97"/>
      <c r="M97"/>
      <c r="N97"/>
      <c r="O97"/>
      <c r="P97"/>
      <c r="T97"/>
      <c r="V97"/>
    </row>
    <row r="98" spans="2:22" x14ac:dyDescent="0.2">
      <c r="B98" s="324" t="s">
        <v>92</v>
      </c>
      <c r="C98" s="138"/>
      <c r="D98" s="139"/>
      <c r="E98" s="139">
        <v>25000</v>
      </c>
      <c r="G98" s="2"/>
      <c r="H98" s="114"/>
      <c r="K98"/>
      <c r="L98"/>
      <c r="M98"/>
      <c r="N98"/>
      <c r="O98"/>
      <c r="P98"/>
      <c r="T98"/>
      <c r="V98"/>
    </row>
    <row r="99" spans="2:22" ht="14.25" x14ac:dyDescent="0.2">
      <c r="B99" s="324" t="s">
        <v>176</v>
      </c>
      <c r="C99" s="138"/>
      <c r="D99" s="139"/>
      <c r="E99" s="139">
        <v>80000</v>
      </c>
      <c r="F99" s="121"/>
      <c r="G99" s="121"/>
      <c r="H99" s="121"/>
      <c r="I99" s="121"/>
      <c r="K99"/>
      <c r="L99"/>
      <c r="M99"/>
      <c r="N99"/>
      <c r="O99"/>
      <c r="P99"/>
      <c r="T99"/>
      <c r="V99"/>
    </row>
    <row r="100" spans="2:22" x14ac:dyDescent="0.2">
      <c r="B100" s="324" t="s">
        <v>34</v>
      </c>
      <c r="C100" s="138"/>
      <c r="D100" s="139"/>
      <c r="E100" s="139">
        <f>Q20</f>
        <v>213548.38709677418</v>
      </c>
      <c r="G100" s="2"/>
      <c r="H100" s="114"/>
      <c r="K100"/>
      <c r="L100"/>
      <c r="M100"/>
      <c r="N100"/>
      <c r="O100"/>
      <c r="P100"/>
      <c r="T100"/>
      <c r="V100"/>
    </row>
    <row r="101" spans="2:22" x14ac:dyDescent="0.2">
      <c r="B101" s="324" t="s">
        <v>177</v>
      </c>
      <c r="C101" s="138"/>
      <c r="D101" s="139"/>
      <c r="E101" s="139">
        <f>Q27</f>
        <v>127743.95161290323</v>
      </c>
      <c r="F101" s="8"/>
      <c r="G101" s="8"/>
      <c r="H101" s="140"/>
      <c r="I101" s="8"/>
      <c r="K101" s="14"/>
      <c r="L101"/>
      <c r="M101"/>
      <c r="N101"/>
      <c r="O101"/>
      <c r="P101"/>
      <c r="T101"/>
      <c r="V101"/>
    </row>
    <row r="102" spans="2:22" x14ac:dyDescent="0.2">
      <c r="B102" s="324" t="s">
        <v>178</v>
      </c>
      <c r="C102" s="138"/>
      <c r="D102" s="139"/>
      <c r="E102" s="139">
        <f>Q34</f>
        <v>120772.17741935485</v>
      </c>
      <c r="G102" s="2"/>
      <c r="H102" s="114"/>
      <c r="J102" s="8"/>
      <c r="K102"/>
      <c r="L102"/>
      <c r="M102"/>
      <c r="N102"/>
      <c r="O102"/>
      <c r="P102"/>
      <c r="T102"/>
      <c r="V102"/>
    </row>
    <row r="103" spans="2:22" x14ac:dyDescent="0.2">
      <c r="B103" s="324" t="s">
        <v>175</v>
      </c>
      <c r="C103" s="138"/>
      <c r="D103" s="139"/>
      <c r="E103" s="139">
        <f>Q45</f>
        <v>324826.61290322576</v>
      </c>
      <c r="G103" s="2"/>
      <c r="H103" s="114"/>
      <c r="J103" s="8"/>
      <c r="K103" s="14"/>
      <c r="L103"/>
      <c r="M103"/>
      <c r="N103"/>
      <c r="O103"/>
      <c r="P103"/>
      <c r="T103"/>
      <c r="V103"/>
    </row>
    <row r="104" spans="2:22" x14ac:dyDescent="0.2">
      <c r="B104" s="324" t="s">
        <v>39</v>
      </c>
      <c r="C104" s="138"/>
      <c r="D104" s="139"/>
      <c r="E104" s="139">
        <f>Q52</f>
        <v>131016.12903225806</v>
      </c>
      <c r="F104" s="8"/>
      <c r="G104" s="8"/>
      <c r="H104" s="140"/>
      <c r="I104" s="8"/>
      <c r="J104" s="8"/>
      <c r="K104" s="14"/>
      <c r="L104"/>
      <c r="M104"/>
      <c r="N104"/>
      <c r="O104"/>
      <c r="P104"/>
      <c r="T104"/>
      <c r="V104"/>
    </row>
    <row r="105" spans="2:22" x14ac:dyDescent="0.2">
      <c r="B105" s="324" t="s">
        <v>92</v>
      </c>
      <c r="C105" s="138"/>
      <c r="D105" s="139"/>
      <c r="E105" s="139">
        <f>Q59</f>
        <v>126713.70967741935</v>
      </c>
      <c r="F105" s="8"/>
      <c r="G105"/>
      <c r="I105" s="8"/>
      <c r="K105"/>
      <c r="L105"/>
      <c r="M105"/>
      <c r="N105"/>
      <c r="O105"/>
      <c r="P105"/>
      <c r="T105"/>
      <c r="V105"/>
    </row>
    <row r="106" spans="2:22" x14ac:dyDescent="0.2">
      <c r="B106" s="329" t="s">
        <v>188</v>
      </c>
      <c r="C106" s="138"/>
      <c r="D106" s="139"/>
      <c r="E106" s="139">
        <f>Q69</f>
        <v>282141.12903225806</v>
      </c>
      <c r="F106"/>
      <c r="G106" s="8">
        <f>E109-E95-E96-E97-E98-E99-E108</f>
        <v>1354762.0967741935</v>
      </c>
      <c r="H106"/>
      <c r="I106"/>
      <c r="J106"/>
      <c r="K106"/>
      <c r="L106"/>
      <c r="M106" s="8"/>
      <c r="N106"/>
      <c r="O106" s="8"/>
      <c r="P106"/>
      <c r="U106" s="8"/>
    </row>
    <row r="107" spans="2:22" x14ac:dyDescent="0.2">
      <c r="B107" s="336" t="s">
        <v>179</v>
      </c>
      <c r="C107" s="138"/>
      <c r="D107" s="139"/>
      <c r="E107" s="139">
        <f>Q72</f>
        <v>28000</v>
      </c>
      <c r="F107"/>
      <c r="G107"/>
      <c r="H107"/>
      <c r="I107" s="8"/>
      <c r="J107" s="8"/>
      <c r="K107"/>
      <c r="L107"/>
      <c r="M107"/>
      <c r="N107"/>
      <c r="O107" s="8"/>
      <c r="P107" s="14"/>
      <c r="U107" s="8"/>
    </row>
    <row r="108" spans="2:22" x14ac:dyDescent="0.2">
      <c r="B108" s="324" t="s">
        <v>180</v>
      </c>
      <c r="C108" s="138"/>
      <c r="D108" s="139"/>
      <c r="E108" s="139">
        <v>5000</v>
      </c>
      <c r="F108"/>
      <c r="G108"/>
      <c r="H108"/>
      <c r="I108"/>
      <c r="J108"/>
      <c r="K108"/>
      <c r="L108"/>
      <c r="M108"/>
      <c r="N108"/>
      <c r="O108" s="8"/>
      <c r="P108" s="8"/>
      <c r="U108" s="8"/>
    </row>
    <row r="109" spans="2:22" ht="15" x14ac:dyDescent="0.25">
      <c r="B109" s="325" t="s">
        <v>104</v>
      </c>
      <c r="C109" s="137">
        <f>SUM(C95:C108)</f>
        <v>100000</v>
      </c>
      <c r="D109" s="137">
        <f>SUM(D95:D108)</f>
        <v>100000</v>
      </c>
      <c r="E109" s="137">
        <f>SUM(E95:E108)</f>
        <v>1539762.0967741935</v>
      </c>
      <c r="F109"/>
      <c r="G109"/>
      <c r="H109" s="8"/>
      <c r="I109"/>
      <c r="J109"/>
      <c r="K109"/>
      <c r="L109"/>
      <c r="M109"/>
      <c r="N109"/>
      <c r="O109" s="8"/>
      <c r="P109" s="8"/>
      <c r="U109" s="8"/>
    </row>
    <row r="110" spans="2:22" x14ac:dyDescent="0.2">
      <c r="B110"/>
      <c r="C110"/>
      <c r="D110"/>
      <c r="E110" s="8"/>
      <c r="F110"/>
      <c r="G110"/>
      <c r="H110"/>
      <c r="I110"/>
      <c r="J110"/>
      <c r="K110"/>
      <c r="L110"/>
      <c r="M110"/>
      <c r="N110"/>
      <c r="O110" s="8"/>
      <c r="P110" s="8"/>
      <c r="U110" s="8"/>
    </row>
    <row r="111" spans="2:22" x14ac:dyDescent="0.2">
      <c r="B111"/>
      <c r="C111"/>
      <c r="D111"/>
      <c r="E111" s="140"/>
      <c r="F111"/>
      <c r="G111"/>
      <c r="H111"/>
      <c r="I111"/>
      <c r="J111"/>
      <c r="K111"/>
      <c r="L111"/>
      <c r="M111"/>
      <c r="N111"/>
      <c r="O111" s="8"/>
      <c r="P111" s="8"/>
      <c r="U111" s="2"/>
    </row>
    <row r="112" spans="2:22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8"/>
      <c r="P112" s="2"/>
      <c r="U112" s="8"/>
    </row>
    <row r="113" spans="2:22" ht="15" x14ac:dyDescent="0.25">
      <c r="B113"/>
      <c r="C113"/>
      <c r="D113"/>
      <c r="E113">
        <v>1136285</v>
      </c>
      <c r="F113"/>
      <c r="G113"/>
      <c r="H113"/>
      <c r="I113"/>
      <c r="J113"/>
      <c r="K113"/>
      <c r="L113"/>
      <c r="M113"/>
      <c r="N113"/>
      <c r="O113" s="115">
        <f>SUM(O93:O110)</f>
        <v>0</v>
      </c>
      <c r="P113" s="8"/>
    </row>
    <row r="114" spans="2:22" x14ac:dyDescent="0.2">
      <c r="B114"/>
      <c r="C114"/>
      <c r="D114"/>
      <c r="E114" s="8">
        <f>E95+E96+E97+E98+E99</f>
        <v>180000</v>
      </c>
      <c r="F114"/>
      <c r="G114"/>
      <c r="H114"/>
      <c r="I114"/>
      <c r="J114"/>
      <c r="K114"/>
      <c r="L114"/>
      <c r="M114"/>
      <c r="N114"/>
      <c r="P114"/>
      <c r="U114" s="8"/>
    </row>
    <row r="115" spans="2:22" x14ac:dyDescent="0.2">
      <c r="B115"/>
      <c r="C115"/>
      <c r="D115"/>
      <c r="E115" s="8">
        <f>E114+E113</f>
        <v>1316285</v>
      </c>
      <c r="F115"/>
      <c r="G115"/>
      <c r="H115"/>
      <c r="I115"/>
      <c r="J115"/>
      <c r="K115"/>
      <c r="L115"/>
      <c r="M115"/>
      <c r="N115"/>
      <c r="P115"/>
      <c r="U115" s="8"/>
    </row>
    <row r="116" spans="2:22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P116"/>
      <c r="Q116" s="8"/>
      <c r="R116" s="8"/>
      <c r="S116" s="8"/>
      <c r="T116" s="140"/>
      <c r="U116" s="8"/>
    </row>
    <row r="117" spans="2:22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P117"/>
      <c r="U117" s="2"/>
      <c r="V117"/>
    </row>
    <row r="118" spans="2:22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O118"/>
      <c r="P118"/>
      <c r="U118" s="2"/>
      <c r="V118"/>
    </row>
    <row r="119" spans="2:22" x14ac:dyDescent="0.2">
      <c r="B119"/>
      <c r="C119"/>
      <c r="D119"/>
      <c r="E119"/>
      <c r="J119"/>
      <c r="K119"/>
      <c r="L119"/>
      <c r="M119"/>
      <c r="N119"/>
      <c r="O119"/>
      <c r="P119"/>
      <c r="U119" s="8"/>
      <c r="V119"/>
    </row>
    <row r="120" spans="2:22" x14ac:dyDescent="0.2">
      <c r="B120"/>
      <c r="C120"/>
      <c r="D120"/>
      <c r="E120"/>
      <c r="J120"/>
      <c r="K120"/>
      <c r="L120"/>
      <c r="M120"/>
      <c r="N120"/>
      <c r="O120"/>
      <c r="P120"/>
      <c r="V120"/>
    </row>
    <row r="121" spans="2:22" x14ac:dyDescent="0.2">
      <c r="B121"/>
      <c r="C121"/>
      <c r="D121"/>
      <c r="E121"/>
      <c r="J121"/>
      <c r="K121"/>
      <c r="L121"/>
      <c r="M121"/>
      <c r="N121"/>
      <c r="O121"/>
      <c r="P121"/>
      <c r="U121" s="8"/>
      <c r="V121"/>
    </row>
    <row r="122" spans="2:22" x14ac:dyDescent="0.2">
      <c r="B122"/>
      <c r="C122"/>
      <c r="D122"/>
      <c r="E122"/>
      <c r="J122"/>
      <c r="K122"/>
      <c r="L122"/>
      <c r="M122"/>
      <c r="N122"/>
      <c r="O122"/>
      <c r="P122"/>
      <c r="V122"/>
    </row>
    <row r="123" spans="2:22" x14ac:dyDescent="0.2">
      <c r="B123"/>
      <c r="C123"/>
      <c r="D123"/>
      <c r="E123"/>
      <c r="J123"/>
      <c r="K123"/>
      <c r="L123"/>
      <c r="M123"/>
      <c r="N123"/>
      <c r="O123"/>
      <c r="P123"/>
      <c r="V123"/>
    </row>
    <row r="124" spans="2:22" x14ac:dyDescent="0.2">
      <c r="J124"/>
      <c r="K124"/>
      <c r="L124"/>
      <c r="M124"/>
      <c r="N124"/>
      <c r="O124"/>
      <c r="P124"/>
      <c r="V124"/>
    </row>
    <row r="125" spans="2:22" x14ac:dyDescent="0.2">
      <c r="K125"/>
      <c r="L125"/>
      <c r="M125"/>
      <c r="N125"/>
      <c r="O125"/>
      <c r="P125"/>
    </row>
    <row r="126" spans="2:22" x14ac:dyDescent="0.2">
      <c r="K126"/>
      <c r="L126"/>
      <c r="M126"/>
      <c r="N126"/>
      <c r="P126"/>
    </row>
    <row r="127" spans="2:22" x14ac:dyDescent="0.2">
      <c r="P127"/>
    </row>
    <row r="128" spans="2:22" x14ac:dyDescent="0.2">
      <c r="P128" s="3">
        <f>Q52+Q11</f>
        <v>131016.12903225806</v>
      </c>
    </row>
    <row r="129" spans="16:21" x14ac:dyDescent="0.2">
      <c r="P129" s="3">
        <v>14580</v>
      </c>
    </row>
    <row r="130" spans="16:21" x14ac:dyDescent="0.2">
      <c r="P130" s="3">
        <v>20000</v>
      </c>
      <c r="U130" s="8"/>
    </row>
    <row r="131" spans="16:21" x14ac:dyDescent="0.2">
      <c r="P131" s="3">
        <v>4150</v>
      </c>
      <c r="U131" s="2"/>
    </row>
    <row r="132" spans="16:21" x14ac:dyDescent="0.2">
      <c r="U132" s="2"/>
    </row>
    <row r="133" spans="16:21" x14ac:dyDescent="0.2">
      <c r="U133" s="8"/>
    </row>
    <row r="135" spans="16:21" x14ac:dyDescent="0.2">
      <c r="U135" s="8"/>
    </row>
  </sheetData>
  <autoFilter ref="A3:Z92" xr:uid="{00000000-0009-0000-0000-000000000000}"/>
  <mergeCells count="27">
    <mergeCell ref="B93:L93"/>
    <mergeCell ref="N1:O2"/>
    <mergeCell ref="A1:M2"/>
    <mergeCell ref="A74:B74"/>
    <mergeCell ref="A73:B73"/>
    <mergeCell ref="A75:P75"/>
    <mergeCell ref="A76:P76"/>
    <mergeCell ref="A54:Q54"/>
    <mergeCell ref="A61:Q61"/>
    <mergeCell ref="P1:P2"/>
    <mergeCell ref="A6:Q6"/>
    <mergeCell ref="C7:C10"/>
    <mergeCell ref="D7:D10"/>
    <mergeCell ref="A59:B59"/>
    <mergeCell ref="A69:B69"/>
    <mergeCell ref="A27:B27"/>
    <mergeCell ref="A71:Q71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84"/>
  <sheetViews>
    <sheetView tabSelected="1" view="pageBreakPreview" topLeftCell="A189" zoomScale="90" zoomScaleNormal="60" zoomScaleSheetLayoutView="90" workbookViewId="0">
      <selection activeCell="V210" sqref="V210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ht="21" x14ac:dyDescent="0.25">
      <c r="C1" s="446" t="s">
        <v>66</v>
      </c>
      <c r="D1" s="446"/>
      <c r="E1" s="446"/>
      <c r="F1" s="446"/>
      <c r="G1" s="446"/>
      <c r="H1" s="446"/>
      <c r="I1" s="446"/>
      <c r="J1" s="13" t="s">
        <v>48</v>
      </c>
      <c r="K1" s="12">
        <v>2023</v>
      </c>
      <c r="L1" s="12"/>
      <c r="R1" s="83" t="e">
        <f>K17+K33+#REF!+#REF!+#REF!+#REF!+K49+K66+#REF!+K594+#REF!+#REF!+#REF!+K146+K162+#REF!+K178+#REF!+K673+K689+K705+K258+#REF!+#REF!+K450+#REF!+K194+#REF!+K242+K98+#REF!+#REF!+K641+K338+K482+K402+K578+K831+K863+#REF!+K530+#REF!+#REF!+K418+#REF!+K322+K609+#REF!+K114+#REF!+K354+K657+K82+K370+K434+K226+#REF!+K720+#REF!+K466+#REF!+K546+K498+#REF!+K514+K290+K274+K386+#REF!+K130+K210+#REF!-12678</f>
        <v>#REF!</v>
      </c>
      <c r="U1" s="106" t="e">
        <f>K63+K79+K591+K143+K159+#REF!+K175+K606+K191+K239+K670+K717+#REF!+K255+#REF!+K95+K111+K287+K447+K638+K335+K367+K479+K399+K622+#REF!+K351+#REF!+#REF!+K415+K223+#REF!+#REF!+K127+K207+#REF!+K271+K383+K543+K495+K511+K527+#REF!+#REF!</f>
        <v>#REF!</v>
      </c>
    </row>
    <row r="2" spans="1:27" ht="18.75" x14ac:dyDescent="0.3">
      <c r="J2" s="11" t="s">
        <v>60</v>
      </c>
      <c r="K2" s="4">
        <v>31</v>
      </c>
      <c r="R2" s="106"/>
      <c r="U2" s="106"/>
    </row>
    <row r="4" spans="1:27" s="87" customFormat="1" ht="21" customHeight="1" x14ac:dyDescent="0.2">
      <c r="N4" s="63"/>
      <c r="O4" s="63"/>
      <c r="P4" s="63"/>
      <c r="Q4" s="63"/>
      <c r="R4" s="175"/>
      <c r="S4" s="63"/>
      <c r="T4" s="63"/>
      <c r="U4" s="175"/>
      <c r="V4" s="63"/>
      <c r="W4" s="63"/>
      <c r="X4" s="63"/>
      <c r="Y4" s="63"/>
      <c r="Z4" s="63"/>
    </row>
    <row r="5" spans="1:27" s="87" customFormat="1" ht="21" customHeight="1" x14ac:dyDescent="0.2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thickBot="1" x14ac:dyDescent="0.25"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7" s="29" customFormat="1" ht="21" customHeight="1" x14ac:dyDescent="0.2">
      <c r="A7" s="421" t="s">
        <v>40</v>
      </c>
      <c r="B7" s="422"/>
      <c r="C7" s="422"/>
      <c r="D7" s="422"/>
      <c r="E7" s="422"/>
      <c r="F7" s="422"/>
      <c r="G7" s="422"/>
      <c r="H7" s="422"/>
      <c r="I7" s="422"/>
      <c r="J7" s="422"/>
      <c r="K7" s="422"/>
      <c r="L7" s="423"/>
      <c r="M7" s="28"/>
      <c r="N7" s="64"/>
      <c r="O7" s="405" t="s">
        <v>42</v>
      </c>
      <c r="P7" s="406"/>
      <c r="Q7" s="406"/>
      <c r="R7" s="407"/>
      <c r="S7" s="65"/>
      <c r="T7" s="405" t="s">
        <v>43</v>
      </c>
      <c r="U7" s="406"/>
      <c r="V7" s="406"/>
      <c r="W7" s="406"/>
      <c r="X7" s="406"/>
      <c r="Y7" s="407"/>
      <c r="Z7" s="66"/>
      <c r="AA7" s="28"/>
    </row>
    <row r="8" spans="1:27" s="29" customFormat="1" ht="21" customHeight="1" x14ac:dyDescent="0.2">
      <c r="A8" s="30"/>
      <c r="C8" s="395" t="s">
        <v>83</v>
      </c>
      <c r="D8" s="395"/>
      <c r="E8" s="395"/>
      <c r="F8" s="395"/>
      <c r="G8" s="31" t="str">
        <f>$J$1</f>
        <v>May</v>
      </c>
      <c r="H8" s="394">
        <f>$K$1</f>
        <v>2023</v>
      </c>
      <c r="I8" s="394"/>
      <c r="K8" s="32"/>
      <c r="L8" s="33"/>
      <c r="M8" s="32"/>
      <c r="N8" s="67"/>
      <c r="O8" s="68" t="s">
        <v>53</v>
      </c>
      <c r="P8" s="68" t="s">
        <v>7</v>
      </c>
      <c r="Q8" s="68" t="s">
        <v>6</v>
      </c>
      <c r="R8" s="68" t="s">
        <v>54</v>
      </c>
      <c r="S8" s="69"/>
      <c r="T8" s="68" t="s">
        <v>53</v>
      </c>
      <c r="U8" s="68" t="s">
        <v>55</v>
      </c>
      <c r="V8" s="68" t="s">
        <v>20</v>
      </c>
      <c r="W8" s="68" t="s">
        <v>19</v>
      </c>
      <c r="X8" s="68" t="s">
        <v>21</v>
      </c>
      <c r="Y8" s="68" t="s">
        <v>59</v>
      </c>
      <c r="Z8" s="70"/>
      <c r="AA8" s="32"/>
    </row>
    <row r="9" spans="1:27" s="29" customFormat="1" ht="21" customHeight="1" x14ac:dyDescent="0.2">
      <c r="A9" s="30"/>
      <c r="D9" s="35"/>
      <c r="E9" s="35"/>
      <c r="F9" s="35"/>
      <c r="G9" s="35"/>
      <c r="H9" s="35"/>
      <c r="J9" s="36" t="s">
        <v>1</v>
      </c>
      <c r="K9" s="37">
        <v>60000</v>
      </c>
      <c r="L9" s="38"/>
      <c r="N9" s="71"/>
      <c r="O9" s="72" t="s">
        <v>45</v>
      </c>
      <c r="P9" s="72">
        <v>31</v>
      </c>
      <c r="Q9" s="72">
        <v>0</v>
      </c>
      <c r="R9" s="72">
        <f>15-Q9</f>
        <v>15</v>
      </c>
      <c r="S9" s="73"/>
      <c r="T9" s="72" t="s">
        <v>45</v>
      </c>
      <c r="U9" s="74"/>
      <c r="V9" s="74"/>
      <c r="W9" s="74">
        <f>V9+U9</f>
        <v>0</v>
      </c>
      <c r="X9" s="74"/>
      <c r="Y9" s="74">
        <f>W9-X9</f>
        <v>0</v>
      </c>
      <c r="Z9" s="70"/>
    </row>
    <row r="10" spans="1:27" s="29" customFormat="1" ht="21" customHeight="1" x14ac:dyDescent="0.2">
      <c r="A10" s="30"/>
      <c r="B10" s="29" t="s">
        <v>0</v>
      </c>
      <c r="C10" s="40" t="s">
        <v>72</v>
      </c>
      <c r="H10" s="41"/>
      <c r="I10" s="35"/>
      <c r="L10" s="42"/>
      <c r="M10" s="28"/>
      <c r="N10" s="75"/>
      <c r="O10" s="72" t="s">
        <v>71</v>
      </c>
      <c r="P10" s="72">
        <v>28</v>
      </c>
      <c r="Q10" s="72">
        <v>0</v>
      </c>
      <c r="R10" s="72">
        <f t="shared" ref="R10:R20" si="0">IF(Q10="","",R9-Q10)</f>
        <v>15</v>
      </c>
      <c r="S10" s="63"/>
      <c r="T10" s="72" t="s">
        <v>71</v>
      </c>
      <c r="U10" s="105" t="str">
        <f>IF($J$1="February",Y9,"")</f>
        <v/>
      </c>
      <c r="V10" s="74"/>
      <c r="W10" s="105" t="str">
        <f>IF(U10="","",U10+V10)</f>
        <v/>
      </c>
      <c r="X10" s="74"/>
      <c r="Y10" s="105" t="str">
        <f>IF(W10="","",W10-X10)</f>
        <v/>
      </c>
      <c r="Z10" s="76"/>
      <c r="AA10" s="28"/>
    </row>
    <row r="11" spans="1:27" s="29" customFormat="1" ht="21" customHeight="1" x14ac:dyDescent="0.2">
      <c r="A11" s="30"/>
      <c r="B11" s="44" t="s">
        <v>41</v>
      </c>
      <c r="C11" s="45"/>
      <c r="F11" s="391" t="s">
        <v>43</v>
      </c>
      <c r="G11" s="393"/>
      <c r="I11" s="391" t="s">
        <v>44</v>
      </c>
      <c r="J11" s="392"/>
      <c r="K11" s="393"/>
      <c r="L11" s="46"/>
      <c r="N11" s="71"/>
      <c r="O11" s="72" t="s">
        <v>46</v>
      </c>
      <c r="P11" s="72">
        <v>31</v>
      </c>
      <c r="Q11" s="72">
        <v>0</v>
      </c>
      <c r="R11" s="72">
        <f t="shared" si="0"/>
        <v>15</v>
      </c>
      <c r="S11" s="63"/>
      <c r="T11" s="72" t="s">
        <v>46</v>
      </c>
      <c r="U11" s="105" t="str">
        <f>IF($J$1="March",Y10,"")</f>
        <v/>
      </c>
      <c r="V11" s="74"/>
      <c r="W11" s="105" t="str">
        <f t="shared" ref="W11:W20" si="1">IF(U11="","",U11+V11)</f>
        <v/>
      </c>
      <c r="X11" s="74"/>
      <c r="Y11" s="105" t="str">
        <f t="shared" ref="Y11:Y20" si="2">IF(W11="","",W11-X11)</f>
        <v/>
      </c>
      <c r="Z11" s="76"/>
    </row>
    <row r="12" spans="1:27" s="29" customFormat="1" ht="21" customHeight="1" x14ac:dyDescent="0.2">
      <c r="A12" s="30"/>
      <c r="H12" s="47"/>
      <c r="L12" s="34"/>
      <c r="N12" s="71"/>
      <c r="O12" s="72" t="s">
        <v>47</v>
      </c>
      <c r="P12" s="72">
        <v>30</v>
      </c>
      <c r="Q12" s="72">
        <v>0</v>
      </c>
      <c r="R12" s="72">
        <f t="shared" si="0"/>
        <v>15</v>
      </c>
      <c r="S12" s="63"/>
      <c r="T12" s="72" t="s">
        <v>47</v>
      </c>
      <c r="U12" s="105" t="str">
        <f>IF($J$1="April",Y11,"")</f>
        <v/>
      </c>
      <c r="V12" s="74"/>
      <c r="W12" s="105" t="str">
        <f t="shared" si="1"/>
        <v/>
      </c>
      <c r="X12" s="74"/>
      <c r="Y12" s="105" t="str">
        <f t="shared" si="2"/>
        <v/>
      </c>
      <c r="Z12" s="76"/>
    </row>
    <row r="13" spans="1:27" s="29" customFormat="1" ht="21" customHeight="1" x14ac:dyDescent="0.2">
      <c r="A13" s="30"/>
      <c r="B13" s="389" t="s">
        <v>42</v>
      </c>
      <c r="C13" s="390"/>
      <c r="F13" s="48" t="s">
        <v>64</v>
      </c>
      <c r="G13" s="4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47"/>
      <c r="I13" s="49">
        <f>K2</f>
        <v>31</v>
      </c>
      <c r="J13" s="50" t="s">
        <v>61</v>
      </c>
      <c r="K13" s="51">
        <f>K9/$K$2*I13</f>
        <v>60000</v>
      </c>
      <c r="L13" s="52"/>
      <c r="N13" s="71"/>
      <c r="O13" s="72" t="s">
        <v>48</v>
      </c>
      <c r="P13" s="72">
        <v>29</v>
      </c>
      <c r="Q13" s="72">
        <v>2</v>
      </c>
      <c r="R13" s="72">
        <f t="shared" si="0"/>
        <v>13</v>
      </c>
      <c r="S13" s="63"/>
      <c r="T13" s="72" t="s">
        <v>48</v>
      </c>
      <c r="U13" s="105" t="str">
        <f>IF($J$1="May",Y12,"")</f>
        <v/>
      </c>
      <c r="V13" s="74"/>
      <c r="W13" s="105" t="str">
        <f t="shared" si="1"/>
        <v/>
      </c>
      <c r="X13" s="74"/>
      <c r="Y13" s="105" t="str">
        <f t="shared" si="2"/>
        <v/>
      </c>
      <c r="Z13" s="76"/>
    </row>
    <row r="14" spans="1:27" s="29" customFormat="1" ht="21" customHeight="1" x14ac:dyDescent="0.2">
      <c r="A14" s="30"/>
      <c r="B14" s="39"/>
      <c r="C14" s="39"/>
      <c r="F14" s="48" t="s">
        <v>20</v>
      </c>
      <c r="G14" s="4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47"/>
      <c r="I14" s="49"/>
      <c r="J14" s="50" t="s">
        <v>62</v>
      </c>
      <c r="K14" s="53">
        <f>K9/$K$2/8*I14</f>
        <v>0</v>
      </c>
      <c r="L14" s="54"/>
      <c r="N14" s="71"/>
      <c r="O14" s="72" t="s">
        <v>49</v>
      </c>
      <c r="P14" s="72"/>
      <c r="Q14" s="72"/>
      <c r="R14" s="72" t="str">
        <f t="shared" si="0"/>
        <v/>
      </c>
      <c r="S14" s="63"/>
      <c r="T14" s="72" t="s">
        <v>49</v>
      </c>
      <c r="U14" s="105" t="str">
        <f>IF($J$1="June",Y13,"")</f>
        <v/>
      </c>
      <c r="V14" s="74"/>
      <c r="W14" s="105" t="str">
        <f t="shared" si="1"/>
        <v/>
      </c>
      <c r="X14" s="74"/>
      <c r="Y14" s="105" t="str">
        <f t="shared" si="2"/>
        <v/>
      </c>
      <c r="Z14" s="76"/>
    </row>
    <row r="15" spans="1:27" s="29" customFormat="1" ht="21" customHeight="1" x14ac:dyDescent="0.2">
      <c r="A15" s="30"/>
      <c r="B15" s="48" t="s">
        <v>7</v>
      </c>
      <c r="C15" s="39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29</v>
      </c>
      <c r="F15" s="48" t="s">
        <v>65</v>
      </c>
      <c r="G15" s="4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47"/>
      <c r="I15" s="402" t="s">
        <v>69</v>
      </c>
      <c r="J15" s="403"/>
      <c r="K15" s="53">
        <f>K13+K14</f>
        <v>60000</v>
      </c>
      <c r="L15" s="54"/>
      <c r="N15" s="71"/>
      <c r="O15" s="72" t="s">
        <v>50</v>
      </c>
      <c r="P15" s="72"/>
      <c r="Q15" s="72"/>
      <c r="R15" s="72" t="str">
        <f t="shared" si="0"/>
        <v/>
      </c>
      <c r="S15" s="63"/>
      <c r="T15" s="72" t="s">
        <v>50</v>
      </c>
      <c r="U15" s="105" t="str">
        <f>IF($J$1="July",Y14,"")</f>
        <v/>
      </c>
      <c r="V15" s="74"/>
      <c r="W15" s="105" t="str">
        <f t="shared" si="1"/>
        <v/>
      </c>
      <c r="X15" s="74"/>
      <c r="Y15" s="105" t="str">
        <f t="shared" si="2"/>
        <v/>
      </c>
      <c r="Z15" s="76"/>
    </row>
    <row r="16" spans="1:27" s="29" customFormat="1" ht="21" customHeight="1" x14ac:dyDescent="0.2">
      <c r="A16" s="30"/>
      <c r="B16" s="48" t="s">
        <v>6</v>
      </c>
      <c r="C16" s="39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2</v>
      </c>
      <c r="F16" s="48" t="s">
        <v>21</v>
      </c>
      <c r="G16" s="4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47"/>
      <c r="I16" s="402" t="s">
        <v>70</v>
      </c>
      <c r="J16" s="403"/>
      <c r="K16" s="43">
        <f>G16</f>
        <v>0</v>
      </c>
      <c r="L16" s="55"/>
      <c r="N16" s="71"/>
      <c r="O16" s="72" t="s">
        <v>51</v>
      </c>
      <c r="P16" s="72"/>
      <c r="Q16" s="72"/>
      <c r="R16" s="72">
        <v>0</v>
      </c>
      <c r="S16" s="63"/>
      <c r="T16" s="72" t="s">
        <v>51</v>
      </c>
      <c r="U16" s="105" t="str">
        <f>IF($J$1="August",Y15,"")</f>
        <v/>
      </c>
      <c r="V16" s="74"/>
      <c r="W16" s="105" t="str">
        <f t="shared" si="1"/>
        <v/>
      </c>
      <c r="X16" s="74"/>
      <c r="Y16" s="105" t="str">
        <f t="shared" si="2"/>
        <v/>
      </c>
      <c r="Z16" s="76"/>
    </row>
    <row r="17" spans="1:27" s="29" customFormat="1" ht="21" customHeight="1" x14ac:dyDescent="0.2">
      <c r="A17" s="30"/>
      <c r="B17" s="56" t="s">
        <v>68</v>
      </c>
      <c r="C17" s="39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F17" s="48" t="s">
        <v>67</v>
      </c>
      <c r="G17" s="4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I17" s="391" t="s">
        <v>63</v>
      </c>
      <c r="J17" s="393"/>
      <c r="K17" s="57">
        <f>K15-K16</f>
        <v>60000</v>
      </c>
      <c r="L17" s="58"/>
      <c r="N17" s="71"/>
      <c r="O17" s="72" t="s">
        <v>56</v>
      </c>
      <c r="P17" s="72"/>
      <c r="Q17" s="72"/>
      <c r="R17" s="72">
        <v>0</v>
      </c>
      <c r="S17" s="63"/>
      <c r="T17" s="72" t="s">
        <v>56</v>
      </c>
      <c r="U17" s="105" t="str">
        <f>IF($J$1="September",Y16,"")</f>
        <v/>
      </c>
      <c r="V17" s="74"/>
      <c r="W17" s="105" t="str">
        <f t="shared" si="1"/>
        <v/>
      </c>
      <c r="X17" s="74"/>
      <c r="Y17" s="105" t="str">
        <f t="shared" si="2"/>
        <v/>
      </c>
      <c r="Z17" s="76"/>
    </row>
    <row r="18" spans="1:27" s="29" customFormat="1" ht="21" customHeight="1" x14ac:dyDescent="0.2">
      <c r="A18" s="30"/>
      <c r="L18" s="46"/>
      <c r="N18" s="71"/>
      <c r="O18" s="72" t="s">
        <v>52</v>
      </c>
      <c r="P18" s="72"/>
      <c r="Q18" s="72"/>
      <c r="R18" s="72">
        <v>0</v>
      </c>
      <c r="S18" s="63"/>
      <c r="T18" s="72" t="s">
        <v>52</v>
      </c>
      <c r="U18" s="105" t="str">
        <f>IF($J$1="October",Y17,"")</f>
        <v/>
      </c>
      <c r="V18" s="74"/>
      <c r="W18" s="105" t="str">
        <f t="shared" si="1"/>
        <v/>
      </c>
      <c r="X18" s="74"/>
      <c r="Y18" s="105" t="str">
        <f t="shared" si="2"/>
        <v/>
      </c>
      <c r="Z18" s="76"/>
    </row>
    <row r="19" spans="1:27" s="29" customFormat="1" ht="21" customHeight="1" x14ac:dyDescent="0.2">
      <c r="A19" s="30"/>
      <c r="B19" s="404" t="s">
        <v>85</v>
      </c>
      <c r="C19" s="404"/>
      <c r="D19" s="404"/>
      <c r="E19" s="404"/>
      <c r="F19" s="404"/>
      <c r="G19" s="404"/>
      <c r="H19" s="404"/>
      <c r="I19" s="404"/>
      <c r="J19" s="404"/>
      <c r="K19" s="404"/>
      <c r="L19" s="46"/>
      <c r="N19" s="71"/>
      <c r="O19" s="72" t="s">
        <v>57</v>
      </c>
      <c r="P19" s="72"/>
      <c r="Q19" s="72"/>
      <c r="R19" s="72">
        <v>0</v>
      </c>
      <c r="S19" s="63"/>
      <c r="T19" s="72" t="s">
        <v>57</v>
      </c>
      <c r="U19" s="105" t="str">
        <f>IF($J$1="November",Y18,"")</f>
        <v/>
      </c>
      <c r="V19" s="74"/>
      <c r="W19" s="105" t="str">
        <f t="shared" si="1"/>
        <v/>
      </c>
      <c r="X19" s="74"/>
      <c r="Y19" s="105" t="str">
        <f t="shared" si="2"/>
        <v/>
      </c>
      <c r="Z19" s="76"/>
    </row>
    <row r="20" spans="1:27" s="29" customFormat="1" ht="21" customHeight="1" x14ac:dyDescent="0.2">
      <c r="A20" s="30"/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6"/>
      <c r="N20" s="71"/>
      <c r="O20" s="72" t="s">
        <v>58</v>
      </c>
      <c r="P20" s="72"/>
      <c r="Q20" s="72"/>
      <c r="R20" s="72" t="str">
        <f t="shared" si="0"/>
        <v/>
      </c>
      <c r="S20" s="63"/>
      <c r="T20" s="72" t="s">
        <v>58</v>
      </c>
      <c r="U20" s="105" t="str">
        <f>IF($J$1="December",Y19,"")</f>
        <v/>
      </c>
      <c r="V20" s="74"/>
      <c r="W20" s="105" t="str">
        <f t="shared" si="1"/>
        <v/>
      </c>
      <c r="X20" s="74"/>
      <c r="Y20" s="105" t="str">
        <f t="shared" si="2"/>
        <v/>
      </c>
      <c r="Z20" s="76"/>
    </row>
    <row r="21" spans="1:27" s="29" customFormat="1" ht="21" customHeight="1" x14ac:dyDescent="0.2">
      <c r="A21" s="30"/>
      <c r="L21" s="46"/>
      <c r="N21" s="71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85"/>
    </row>
    <row r="22" spans="1:27" s="96" customFormat="1" ht="21" customHeight="1" x14ac:dyDescent="0.2"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7" s="29" customFormat="1" ht="21" customHeight="1" x14ac:dyDescent="0.2">
      <c r="A23" s="399" t="s">
        <v>40</v>
      </c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1"/>
      <c r="M23" s="28"/>
      <c r="N23" s="75"/>
      <c r="O23" s="396" t="s">
        <v>42</v>
      </c>
      <c r="P23" s="397"/>
      <c r="Q23" s="397"/>
      <c r="R23" s="398"/>
      <c r="S23" s="63"/>
      <c r="T23" s="396" t="s">
        <v>43</v>
      </c>
      <c r="U23" s="397"/>
      <c r="V23" s="397"/>
      <c r="W23" s="397"/>
      <c r="X23" s="397"/>
      <c r="Y23" s="398"/>
      <c r="Z23" s="86"/>
      <c r="AA23" s="28"/>
    </row>
    <row r="24" spans="1:27" s="29" customFormat="1" ht="21" customHeight="1" x14ac:dyDescent="0.2">
      <c r="A24" s="30"/>
      <c r="C24" s="395" t="s">
        <v>83</v>
      </c>
      <c r="D24" s="395"/>
      <c r="E24" s="395"/>
      <c r="F24" s="395"/>
      <c r="G24" s="31" t="str">
        <f>$J$1</f>
        <v>May</v>
      </c>
      <c r="H24" s="394">
        <f>$K$1</f>
        <v>2023</v>
      </c>
      <c r="I24" s="394"/>
      <c r="K24" s="32"/>
      <c r="L24" s="33"/>
      <c r="M24" s="32"/>
      <c r="N24" s="67"/>
      <c r="O24" s="68" t="s">
        <v>53</v>
      </c>
      <c r="P24" s="68" t="s">
        <v>7</v>
      </c>
      <c r="Q24" s="68" t="s">
        <v>6</v>
      </c>
      <c r="R24" s="68" t="s">
        <v>54</v>
      </c>
      <c r="S24" s="69"/>
      <c r="T24" s="68" t="s">
        <v>53</v>
      </c>
      <c r="U24" s="68" t="s">
        <v>55</v>
      </c>
      <c r="V24" s="68" t="s">
        <v>20</v>
      </c>
      <c r="W24" s="68" t="s">
        <v>19</v>
      </c>
      <c r="X24" s="68" t="s">
        <v>21</v>
      </c>
      <c r="Y24" s="68" t="s">
        <v>59</v>
      </c>
      <c r="Z24" s="70"/>
      <c r="AA24" s="32"/>
    </row>
    <row r="25" spans="1:27" s="29" customFormat="1" ht="21" customHeight="1" x14ac:dyDescent="0.2">
      <c r="A25" s="30"/>
      <c r="D25" s="35"/>
      <c r="E25" s="35"/>
      <c r="F25" s="35"/>
      <c r="G25" s="35"/>
      <c r="H25" s="35"/>
      <c r="J25" s="36" t="s">
        <v>1</v>
      </c>
      <c r="K25" s="37">
        <v>5000</v>
      </c>
      <c r="L25" s="38"/>
      <c r="N25" s="71"/>
      <c r="O25" s="72" t="s">
        <v>45</v>
      </c>
      <c r="P25" s="72"/>
      <c r="Q25" s="72"/>
      <c r="R25" s="72"/>
      <c r="S25" s="73"/>
      <c r="T25" s="72" t="s">
        <v>45</v>
      </c>
      <c r="U25" s="74"/>
      <c r="V25" s="74"/>
      <c r="W25" s="74">
        <f>V25+U25</f>
        <v>0</v>
      </c>
      <c r="X25" s="74"/>
      <c r="Y25" s="74">
        <f>W25-X25</f>
        <v>0</v>
      </c>
      <c r="Z25" s="70"/>
    </row>
    <row r="26" spans="1:27" s="29" customFormat="1" ht="21" customHeight="1" x14ac:dyDescent="0.2">
      <c r="A26" s="30"/>
      <c r="B26" s="29" t="s">
        <v>0</v>
      </c>
      <c r="C26" s="40" t="s">
        <v>137</v>
      </c>
      <c r="H26" s="41"/>
      <c r="I26" s="35"/>
      <c r="L26" s="42"/>
      <c r="M26" s="28"/>
      <c r="N26" s="75"/>
      <c r="O26" s="72" t="s">
        <v>71</v>
      </c>
      <c r="P26" s="72"/>
      <c r="Q26" s="72"/>
      <c r="R26" s="72"/>
      <c r="S26" s="63"/>
      <c r="T26" s="72" t="s">
        <v>71</v>
      </c>
      <c r="U26" s="105">
        <f>Y25</f>
        <v>0</v>
      </c>
      <c r="V26" s="74"/>
      <c r="W26" s="105">
        <f>IF(U26="","",U26+V26)</f>
        <v>0</v>
      </c>
      <c r="X26" s="74"/>
      <c r="Y26" s="105">
        <f>IF(W26="","",W26-X26)</f>
        <v>0</v>
      </c>
      <c r="Z26" s="76"/>
      <c r="AA26" s="28"/>
    </row>
    <row r="27" spans="1:27" s="29" customFormat="1" ht="21" customHeight="1" x14ac:dyDescent="0.2">
      <c r="A27" s="30"/>
      <c r="B27" s="44" t="s">
        <v>41</v>
      </c>
      <c r="C27" s="45"/>
      <c r="F27" s="391" t="s">
        <v>43</v>
      </c>
      <c r="G27" s="393"/>
      <c r="I27" s="391" t="s">
        <v>44</v>
      </c>
      <c r="J27" s="392"/>
      <c r="K27" s="393"/>
      <c r="L27" s="46"/>
      <c r="N27" s="71"/>
      <c r="O27" s="72" t="s">
        <v>46</v>
      </c>
      <c r="P27" s="72"/>
      <c r="Q27" s="72"/>
      <c r="R27" s="72" t="str">
        <f t="shared" ref="R27:R36" si="3">IF(Q27="","",R26-Q27)</f>
        <v/>
      </c>
      <c r="S27" s="63"/>
      <c r="T27" s="72" t="s">
        <v>46</v>
      </c>
      <c r="U27" s="105"/>
      <c r="V27" s="74"/>
      <c r="W27" s="105" t="str">
        <f t="shared" ref="W27:W36" si="4">IF(U27="","",U27+V27)</f>
        <v/>
      </c>
      <c r="X27" s="74"/>
      <c r="Y27" s="105" t="str">
        <f t="shared" ref="Y27:Y36" si="5">IF(W27="","",W27-X27)</f>
        <v/>
      </c>
      <c r="Z27" s="76"/>
    </row>
    <row r="28" spans="1:27" s="29" customFormat="1" ht="21" customHeight="1" x14ac:dyDescent="0.2">
      <c r="A28" s="30"/>
      <c r="H28" s="47"/>
      <c r="L28" s="34"/>
      <c r="N28" s="71"/>
      <c r="O28" s="72" t="s">
        <v>47</v>
      </c>
      <c r="P28" s="72"/>
      <c r="Q28" s="72"/>
      <c r="R28" s="72" t="str">
        <f t="shared" si="3"/>
        <v/>
      </c>
      <c r="S28" s="63"/>
      <c r="T28" s="72" t="s">
        <v>47</v>
      </c>
      <c r="U28" s="105"/>
      <c r="V28" s="74"/>
      <c r="W28" s="105">
        <f>V28+U28</f>
        <v>0</v>
      </c>
      <c r="X28" s="74"/>
      <c r="Y28" s="105">
        <f t="shared" si="5"/>
        <v>0</v>
      </c>
      <c r="Z28" s="76"/>
    </row>
    <row r="29" spans="1:27" s="29" customFormat="1" ht="21" customHeight="1" x14ac:dyDescent="0.2">
      <c r="A29" s="30"/>
      <c r="B29" s="389" t="s">
        <v>42</v>
      </c>
      <c r="C29" s="390"/>
      <c r="F29" s="48" t="s">
        <v>64</v>
      </c>
      <c r="G29" s="43">
        <f>IF($J$1="January",U25,IF($J$1="February",U26,IF($J$1="March",U27,IF($J$1="April",U28,IF($J$1="May",U29,IF($J$1="June",U30,IF($J$1="July",U31,IF($J$1="August",U32,IF($J$1="August",U32,IF($J$1="September",U33,IF($J$1="October",U34,IF($J$1="November",U35,IF($J$1="December",U36)))))))))))))</f>
        <v>0</v>
      </c>
      <c r="H29" s="47"/>
      <c r="I29" s="49"/>
      <c r="J29" s="50" t="s">
        <v>61</v>
      </c>
      <c r="K29" s="51">
        <v>5000</v>
      </c>
      <c r="L29" s="52"/>
      <c r="N29" s="71"/>
      <c r="O29" s="72" t="s">
        <v>48</v>
      </c>
      <c r="P29" s="72"/>
      <c r="Q29" s="72"/>
      <c r="R29" s="72" t="str">
        <f t="shared" si="3"/>
        <v/>
      </c>
      <c r="S29" s="63"/>
      <c r="T29" s="72" t="s">
        <v>48</v>
      </c>
      <c r="U29" s="105">
        <f>Y28</f>
        <v>0</v>
      </c>
      <c r="V29" s="74"/>
      <c r="W29" s="105">
        <f t="shared" si="4"/>
        <v>0</v>
      </c>
      <c r="X29" s="74"/>
      <c r="Y29" s="105">
        <f t="shared" si="5"/>
        <v>0</v>
      </c>
      <c r="Z29" s="76"/>
    </row>
    <row r="30" spans="1:27" s="29" customFormat="1" ht="21" customHeight="1" x14ac:dyDescent="0.2">
      <c r="A30" s="30"/>
      <c r="B30" s="39"/>
      <c r="C30" s="39"/>
      <c r="F30" s="48" t="s">
        <v>20</v>
      </c>
      <c r="G30" s="43">
        <f>IF($J$1="January",V25,IF($J$1="February",V26,IF($J$1="March",V27,IF($J$1="April",V28,IF($J$1="May",V29,IF($J$1="June",V30,IF($J$1="July",V31,IF($J$1="August",V32,IF($J$1="August",V32,IF($J$1="September",V33,IF($J$1="October",V34,IF($J$1="November",V35,IF($J$1="December",V36)))))))))))))</f>
        <v>0</v>
      </c>
      <c r="H30" s="47"/>
      <c r="I30" s="49"/>
      <c r="J30" s="50" t="s">
        <v>62</v>
      </c>
      <c r="K30" s="53">
        <f>K25/$K$2/8*I30</f>
        <v>0</v>
      </c>
      <c r="L30" s="54"/>
      <c r="N30" s="71"/>
      <c r="O30" s="72" t="s">
        <v>49</v>
      </c>
      <c r="P30" s="72"/>
      <c r="Q30" s="72"/>
      <c r="R30" s="72" t="str">
        <f t="shared" si="3"/>
        <v/>
      </c>
      <c r="S30" s="63"/>
      <c r="T30" s="72" t="s">
        <v>49</v>
      </c>
      <c r="U30" s="105">
        <f>Y29</f>
        <v>0</v>
      </c>
      <c r="V30" s="74"/>
      <c r="W30" s="105">
        <f t="shared" si="4"/>
        <v>0</v>
      </c>
      <c r="X30" s="74"/>
      <c r="Y30" s="105">
        <f t="shared" si="5"/>
        <v>0</v>
      </c>
      <c r="Z30" s="76"/>
    </row>
    <row r="31" spans="1:27" s="29" customFormat="1" ht="21" customHeight="1" x14ac:dyDescent="0.2">
      <c r="A31" s="30"/>
      <c r="B31" s="48" t="s">
        <v>7</v>
      </c>
      <c r="C31" s="39">
        <f>IF($J$1="January",P25,IF($J$1="February",P26,IF($J$1="March",P27,IF($J$1="April",P28,IF($J$1="May",P29,IF($J$1="June",P30,IF($J$1="July",P31,IF($J$1="August",P32,IF($J$1="August",P32,IF($J$1="September",P33,IF($J$1="October",P34,IF($J$1="November",P35,IF($J$1="December",P36)))))))))))))</f>
        <v>0</v>
      </c>
      <c r="F31" s="48" t="s">
        <v>65</v>
      </c>
      <c r="G31" s="43">
        <f>IF($J$1="January",W25,IF($J$1="February",W26,IF($J$1="March",W27,IF($J$1="April",W28,IF($J$1="May",W29,IF($J$1="June",W30,IF($J$1="July",W31,IF($J$1="August",W32,IF($J$1="August",W32,IF($J$1="September",W33,IF($J$1="October",W34,IF($J$1="November",W35,IF($J$1="December",W36)))))))))))))</f>
        <v>0</v>
      </c>
      <c r="H31" s="47"/>
      <c r="I31" s="402" t="s">
        <v>69</v>
      </c>
      <c r="J31" s="403"/>
      <c r="K31" s="53">
        <f>K29+K30</f>
        <v>5000</v>
      </c>
      <c r="L31" s="54"/>
      <c r="N31" s="71"/>
      <c r="O31" s="72" t="s">
        <v>50</v>
      </c>
      <c r="P31" s="72"/>
      <c r="Q31" s="72"/>
      <c r="R31" s="72" t="str">
        <f t="shared" si="3"/>
        <v/>
      </c>
      <c r="S31" s="63"/>
      <c r="T31" s="72" t="s">
        <v>50</v>
      </c>
      <c r="U31" s="105"/>
      <c r="V31" s="74"/>
      <c r="W31" s="105" t="str">
        <f t="shared" si="4"/>
        <v/>
      </c>
      <c r="X31" s="74"/>
      <c r="Y31" s="105" t="str">
        <f t="shared" si="5"/>
        <v/>
      </c>
      <c r="Z31" s="76"/>
    </row>
    <row r="32" spans="1:27" s="29" customFormat="1" ht="21" customHeight="1" x14ac:dyDescent="0.2">
      <c r="A32" s="30"/>
      <c r="B32" s="48" t="s">
        <v>6</v>
      </c>
      <c r="C32" s="39">
        <f>IF($J$1="January",Q25,IF($J$1="February",Q26,IF($J$1="March",Q27,IF($J$1="April",Q28,IF($J$1="May",Q29,IF($J$1="June",Q30,IF($J$1="July",Q31,IF($J$1="August",Q32,IF($J$1="August",Q32,IF($J$1="September",Q33,IF($J$1="October",Q34,IF($J$1="November",Q35,IF($J$1="December",Q36)))))))))))))</f>
        <v>0</v>
      </c>
      <c r="F32" s="48" t="s">
        <v>21</v>
      </c>
      <c r="G32" s="43">
        <f>IF($J$1="January",X25,IF($J$1="February",X26,IF($J$1="March",X27,IF($J$1="April",X28,IF($J$1="May",X29,IF($J$1="June",X30,IF($J$1="July",X31,IF($J$1="August",X32,IF($J$1="August",X32,IF($J$1="September",X33,IF($J$1="October",X34,IF($J$1="November",X35,IF($J$1="December",X36)))))))))))))</f>
        <v>0</v>
      </c>
      <c r="H32" s="47"/>
      <c r="I32" s="402" t="s">
        <v>70</v>
      </c>
      <c r="J32" s="403"/>
      <c r="K32" s="43"/>
      <c r="L32" s="55"/>
      <c r="N32" s="71"/>
      <c r="O32" s="72" t="s">
        <v>51</v>
      </c>
      <c r="P32" s="72"/>
      <c r="Q32" s="72"/>
      <c r="R32" s="72" t="str">
        <f t="shared" si="3"/>
        <v/>
      </c>
      <c r="S32" s="63"/>
      <c r="T32" s="72" t="s">
        <v>51</v>
      </c>
      <c r="U32" s="105"/>
      <c r="V32" s="74"/>
      <c r="W32" s="105" t="str">
        <f t="shared" si="4"/>
        <v/>
      </c>
      <c r="X32" s="74"/>
      <c r="Y32" s="105" t="str">
        <f t="shared" si="5"/>
        <v/>
      </c>
      <c r="Z32" s="76"/>
    </row>
    <row r="33" spans="1:27" s="29" customFormat="1" ht="21" customHeight="1" x14ac:dyDescent="0.2">
      <c r="A33" s="30"/>
      <c r="B33" s="56" t="s">
        <v>68</v>
      </c>
      <c r="C33" s="39" t="str">
        <f>IF($J$1="January",R25,IF($J$1="February",R26,IF($J$1="March",R27,IF($J$1="April",R28,IF($J$1="May",R29,IF($J$1="June",R30,IF($J$1="July",R31,IF($J$1="August",R32,IF($J$1="August",R32,IF($J$1="September",R33,IF($J$1="October",R34,IF($J$1="November",R35,IF($J$1="December",R36)))))))))))))</f>
        <v/>
      </c>
      <c r="F33" s="48" t="s">
        <v>67</v>
      </c>
      <c r="G33" s="43">
        <f>IF($J$1="January",Y25,IF($J$1="February",Y26,IF($J$1="March",Y27,IF($J$1="April",Y28,IF($J$1="May",Y29,IF($J$1="June",Y30,IF($J$1="July",Y31,IF($J$1="August",Y32,IF($J$1="August",Y32,IF($J$1="September",Y33,IF($J$1="October",Y34,IF($J$1="November",Y35,IF($J$1="December",Y36)))))))))))))</f>
        <v>0</v>
      </c>
      <c r="I33" s="391" t="s">
        <v>63</v>
      </c>
      <c r="J33" s="393"/>
      <c r="K33" s="57">
        <v>5000</v>
      </c>
      <c r="L33" s="58"/>
      <c r="N33" s="71"/>
      <c r="O33" s="72" t="s">
        <v>56</v>
      </c>
      <c r="P33" s="72"/>
      <c r="Q33" s="72"/>
      <c r="R33" s="72" t="str">
        <f t="shared" si="3"/>
        <v/>
      </c>
      <c r="S33" s="63"/>
      <c r="T33" s="72" t="s">
        <v>56</v>
      </c>
      <c r="U33" s="105"/>
      <c r="V33" s="74"/>
      <c r="W33" s="105" t="str">
        <f t="shared" si="4"/>
        <v/>
      </c>
      <c r="X33" s="74"/>
      <c r="Y33" s="105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52</v>
      </c>
      <c r="P34" s="72"/>
      <c r="Q34" s="72"/>
      <c r="R34" s="72" t="str">
        <f t="shared" si="3"/>
        <v/>
      </c>
      <c r="S34" s="63"/>
      <c r="T34" s="72" t="s">
        <v>52</v>
      </c>
      <c r="U34" s="105"/>
      <c r="V34" s="74"/>
      <c r="W34" s="105" t="str">
        <f t="shared" si="4"/>
        <v/>
      </c>
      <c r="X34" s="74"/>
      <c r="Y34" s="105" t="str">
        <f t="shared" si="5"/>
        <v/>
      </c>
      <c r="Z34" s="76"/>
    </row>
    <row r="35" spans="1:27" s="29" customFormat="1" ht="21" customHeight="1" x14ac:dyDescent="0.2">
      <c r="A35" s="30"/>
      <c r="B35" s="404" t="s">
        <v>85</v>
      </c>
      <c r="C35" s="404"/>
      <c r="D35" s="404"/>
      <c r="E35" s="404"/>
      <c r="F35" s="404"/>
      <c r="G35" s="404"/>
      <c r="H35" s="404"/>
      <c r="I35" s="404"/>
      <c r="J35" s="404"/>
      <c r="K35" s="404"/>
      <c r="L35" s="46"/>
      <c r="N35" s="71"/>
      <c r="O35" s="72" t="s">
        <v>57</v>
      </c>
      <c r="P35" s="72"/>
      <c r="Q35" s="72"/>
      <c r="R35" s="72" t="str">
        <f t="shared" si="3"/>
        <v/>
      </c>
      <c r="S35" s="63"/>
      <c r="T35" s="72" t="s">
        <v>57</v>
      </c>
      <c r="U35" s="105"/>
      <c r="V35" s="74"/>
      <c r="W35" s="105" t="str">
        <f t="shared" si="4"/>
        <v/>
      </c>
      <c r="X35" s="74"/>
      <c r="Y35" s="105" t="str">
        <f t="shared" si="5"/>
        <v/>
      </c>
      <c r="Z35" s="76"/>
    </row>
    <row r="36" spans="1:27" s="29" customFormat="1" ht="21" customHeight="1" x14ac:dyDescent="0.2">
      <c r="A36" s="30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6"/>
      <c r="N36" s="71"/>
      <c r="O36" s="72" t="s">
        <v>58</v>
      </c>
      <c r="P36" s="72"/>
      <c r="Q36" s="72"/>
      <c r="R36" s="72" t="str">
        <f t="shared" si="3"/>
        <v/>
      </c>
      <c r="S36" s="63"/>
      <c r="T36" s="72" t="s">
        <v>58</v>
      </c>
      <c r="U36" s="105"/>
      <c r="V36" s="74"/>
      <c r="W36" s="105" t="str">
        <f t="shared" si="4"/>
        <v/>
      </c>
      <c r="X36" s="74"/>
      <c r="Y36" s="105" t="str">
        <f t="shared" si="5"/>
        <v/>
      </c>
      <c r="Z36" s="76"/>
    </row>
    <row r="37" spans="1:27" s="29" customFormat="1" ht="21" customHeight="1" thickBot="1" x14ac:dyDescent="0.25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1"/>
      <c r="N37" s="77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9"/>
    </row>
    <row r="38" spans="1:27" s="29" customFormat="1" ht="21" customHeight="1" thickBot="1" x14ac:dyDescent="0.25"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7" s="29" customFormat="1" ht="21" customHeight="1" x14ac:dyDescent="0.2">
      <c r="A39" s="417" t="s">
        <v>40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9"/>
      <c r="M39" s="28"/>
      <c r="N39" s="64"/>
      <c r="O39" s="405" t="s">
        <v>42</v>
      </c>
      <c r="P39" s="406"/>
      <c r="Q39" s="406"/>
      <c r="R39" s="407"/>
      <c r="S39" s="65"/>
      <c r="T39" s="405" t="s">
        <v>43</v>
      </c>
      <c r="U39" s="406"/>
      <c r="V39" s="406"/>
      <c r="W39" s="406"/>
      <c r="X39" s="406"/>
      <c r="Y39" s="407"/>
      <c r="Z39" s="66"/>
      <c r="AA39" s="28"/>
    </row>
    <row r="40" spans="1:27" s="29" customFormat="1" ht="21" customHeight="1" x14ac:dyDescent="0.2">
      <c r="A40" s="30"/>
      <c r="C40" s="395" t="s">
        <v>83</v>
      </c>
      <c r="D40" s="395"/>
      <c r="E40" s="395"/>
      <c r="F40" s="395"/>
      <c r="G40" s="31" t="str">
        <f>$J$1</f>
        <v>May</v>
      </c>
      <c r="H40" s="394">
        <f>$K$1</f>
        <v>2023</v>
      </c>
      <c r="I40" s="394"/>
      <c r="K40" s="32"/>
      <c r="L40" s="33"/>
      <c r="M40" s="32"/>
      <c r="N40" s="67"/>
      <c r="O40" s="68" t="s">
        <v>53</v>
      </c>
      <c r="P40" s="68" t="s">
        <v>7</v>
      </c>
      <c r="Q40" s="68" t="s">
        <v>6</v>
      </c>
      <c r="R40" s="68" t="s">
        <v>54</v>
      </c>
      <c r="S40" s="69"/>
      <c r="T40" s="68" t="s">
        <v>53</v>
      </c>
      <c r="U40" s="68" t="s">
        <v>55</v>
      </c>
      <c r="V40" s="68" t="s">
        <v>20</v>
      </c>
      <c r="W40" s="68" t="s">
        <v>19</v>
      </c>
      <c r="X40" s="68" t="s">
        <v>21</v>
      </c>
      <c r="Y40" s="68" t="s">
        <v>59</v>
      </c>
      <c r="Z40" s="70"/>
      <c r="AA40" s="32"/>
    </row>
    <row r="41" spans="1:27" s="29" customFormat="1" ht="21" customHeight="1" x14ac:dyDescent="0.2">
      <c r="A41" s="30"/>
      <c r="D41" s="35"/>
      <c r="E41" s="35"/>
      <c r="F41" s="35"/>
      <c r="G41" s="35"/>
      <c r="H41" s="35"/>
      <c r="J41" s="36" t="s">
        <v>1</v>
      </c>
      <c r="K41" s="37">
        <v>18000</v>
      </c>
      <c r="L41" s="38"/>
      <c r="N41" s="71"/>
      <c r="O41" s="72" t="s">
        <v>45</v>
      </c>
      <c r="P41" s="72"/>
      <c r="Q41" s="72"/>
      <c r="R41" s="72"/>
      <c r="S41" s="73"/>
      <c r="T41" s="72" t="s">
        <v>45</v>
      </c>
      <c r="U41" s="74">
        <v>6000</v>
      </c>
      <c r="V41" s="74"/>
      <c r="W41" s="74">
        <f>V41+U41</f>
        <v>6000</v>
      </c>
      <c r="X41" s="74">
        <v>3000</v>
      </c>
      <c r="Y41" s="74">
        <f>W41-X41</f>
        <v>3000</v>
      </c>
      <c r="Z41" s="70"/>
    </row>
    <row r="42" spans="1:27" s="29" customFormat="1" ht="21" customHeight="1" x14ac:dyDescent="0.2">
      <c r="A42" s="30"/>
      <c r="B42" s="29" t="s">
        <v>0</v>
      </c>
      <c r="C42" s="40" t="s">
        <v>170</v>
      </c>
      <c r="H42" s="41"/>
      <c r="I42" s="35"/>
      <c r="L42" s="42"/>
      <c r="M42" s="28"/>
      <c r="N42" s="75"/>
      <c r="O42" s="72" t="s">
        <v>71</v>
      </c>
      <c r="P42" s="72"/>
      <c r="Q42" s="72"/>
      <c r="R42" s="72"/>
      <c r="S42" s="63"/>
      <c r="T42" s="72" t="s">
        <v>71</v>
      </c>
      <c r="U42" s="105">
        <f>Y41</f>
        <v>3000</v>
      </c>
      <c r="V42" s="74">
        <f>10000+5000</f>
        <v>15000</v>
      </c>
      <c r="W42" s="74">
        <f>V42+U42</f>
        <v>18000</v>
      </c>
      <c r="X42" s="74">
        <v>18000</v>
      </c>
      <c r="Y42" s="105">
        <f>IF(W42="","",W42-X42)</f>
        <v>0</v>
      </c>
      <c r="Z42" s="76"/>
      <c r="AA42" s="28"/>
    </row>
    <row r="43" spans="1:27" s="29" customFormat="1" ht="21" customHeight="1" x14ac:dyDescent="0.2">
      <c r="A43" s="30"/>
      <c r="B43" s="44" t="s">
        <v>41</v>
      </c>
      <c r="C43" s="45"/>
      <c r="F43" s="411" t="s">
        <v>43</v>
      </c>
      <c r="G43" s="411"/>
      <c r="I43" s="411" t="s">
        <v>44</v>
      </c>
      <c r="J43" s="411"/>
      <c r="K43" s="411"/>
      <c r="L43" s="46"/>
      <c r="N43" s="71"/>
      <c r="O43" s="72" t="s">
        <v>46</v>
      </c>
      <c r="P43" s="72"/>
      <c r="Q43" s="72"/>
      <c r="R43" s="72" t="str">
        <f t="shared" ref="R43:R52" si="6">IF(Q43="","",R42-Q43)</f>
        <v/>
      </c>
      <c r="S43" s="63"/>
      <c r="T43" s="72" t="s">
        <v>46</v>
      </c>
      <c r="U43" s="105">
        <f>Y42</f>
        <v>0</v>
      </c>
      <c r="V43" s="74">
        <v>8000</v>
      </c>
      <c r="W43" s="74">
        <f>V43+U43</f>
        <v>8000</v>
      </c>
      <c r="X43" s="74"/>
      <c r="Y43" s="105">
        <f t="shared" ref="Y43:Y52" si="7">IF(W43="","",W43-X43)</f>
        <v>8000</v>
      </c>
      <c r="Z43" s="76"/>
    </row>
    <row r="44" spans="1:27" s="29" customFormat="1" ht="21" customHeight="1" x14ac:dyDescent="0.2">
      <c r="A44" s="30"/>
      <c r="H44" s="47"/>
      <c r="L44" s="34"/>
      <c r="N44" s="71"/>
      <c r="O44" s="72" t="s">
        <v>47</v>
      </c>
      <c r="P44" s="72"/>
      <c r="Q44" s="72"/>
      <c r="R44" s="72" t="str">
        <f t="shared" si="6"/>
        <v/>
      </c>
      <c r="S44" s="63"/>
      <c r="T44" s="72" t="s">
        <v>47</v>
      </c>
      <c r="U44" s="105">
        <f>Y43</f>
        <v>8000</v>
      </c>
      <c r="V44" s="74"/>
      <c r="W44" s="105">
        <f t="shared" ref="W44:W52" si="8">IF(U44="","",U44+V44)</f>
        <v>8000</v>
      </c>
      <c r="X44" s="74">
        <v>3000</v>
      </c>
      <c r="Y44" s="105">
        <f t="shared" si="7"/>
        <v>5000</v>
      </c>
      <c r="Z44" s="76"/>
    </row>
    <row r="45" spans="1:27" s="29" customFormat="1" ht="21" customHeight="1" x14ac:dyDescent="0.2">
      <c r="A45" s="30"/>
      <c r="B45" s="389" t="s">
        <v>42</v>
      </c>
      <c r="C45" s="390"/>
      <c r="F45" s="48" t="s">
        <v>64</v>
      </c>
      <c r="G45" s="43">
        <f>IF($J$1="January",U41,IF($J$1="February",U42,IF($J$1="March",U43,IF($J$1="April",U44,IF($J$1="May",U45,IF($J$1="June",U46,IF($J$1="July",U47,IF($J$1="August",U48,IF($J$1="August",U48,IF($J$1="September",U49,IF($J$1="October",U50,IF($J$1="November",U51,IF($J$1="December",U52)))))))))))))</f>
        <v>5000</v>
      </c>
      <c r="H45" s="47"/>
      <c r="I45" s="49">
        <f>IF(C49&gt;=C48,$K$2,C47-C48+C49)</f>
        <v>31</v>
      </c>
      <c r="J45" s="50" t="s">
        <v>61</v>
      </c>
      <c r="K45" s="51">
        <f>K41/$K$2*I45</f>
        <v>18000</v>
      </c>
      <c r="L45" s="52"/>
      <c r="N45" s="71"/>
      <c r="O45" s="72" t="s">
        <v>48</v>
      </c>
      <c r="P45" s="72"/>
      <c r="Q45" s="72"/>
      <c r="R45" s="72" t="str">
        <f t="shared" si="6"/>
        <v/>
      </c>
      <c r="S45" s="63"/>
      <c r="T45" s="72" t="s">
        <v>48</v>
      </c>
      <c r="U45" s="105">
        <f>Y44</f>
        <v>5000</v>
      </c>
      <c r="V45" s="74"/>
      <c r="W45" s="105">
        <f t="shared" si="8"/>
        <v>5000</v>
      </c>
      <c r="X45" s="74"/>
      <c r="Y45" s="105">
        <f t="shared" si="7"/>
        <v>5000</v>
      </c>
      <c r="Z45" s="76"/>
    </row>
    <row r="46" spans="1:27" s="29" customFormat="1" ht="21" customHeight="1" x14ac:dyDescent="0.2">
      <c r="A46" s="30"/>
      <c r="B46" s="39"/>
      <c r="C46" s="39"/>
      <c r="F46" s="48" t="s">
        <v>20</v>
      </c>
      <c r="G46" s="43">
        <f>IF($J$1="January",V41,IF($J$1="February",V42,IF($J$1="March",V43,IF($J$1="April",V44,IF($J$1="May",V45,IF($J$1="June",V46,IF($J$1="July",V47,IF($J$1="August",V48,IF($J$1="August",V48,IF($J$1="September",V49,IF($J$1="October",V50,IF($J$1="November",V51,IF($J$1="December",V52)))))))))))))</f>
        <v>0</v>
      </c>
      <c r="H46" s="47"/>
      <c r="I46" s="49"/>
      <c r="J46" s="50" t="s">
        <v>62</v>
      </c>
      <c r="K46" s="53">
        <f>K41/$K$2/8*I46</f>
        <v>0</v>
      </c>
      <c r="L46" s="54"/>
      <c r="N46" s="71"/>
      <c r="O46" s="72" t="s">
        <v>49</v>
      </c>
      <c r="P46" s="72"/>
      <c r="Q46" s="72"/>
      <c r="R46" s="72">
        <v>0</v>
      </c>
      <c r="S46" s="63"/>
      <c r="T46" s="72" t="s">
        <v>49</v>
      </c>
      <c r="U46" s="105"/>
      <c r="V46" s="74"/>
      <c r="W46" s="105" t="str">
        <f t="shared" si="8"/>
        <v/>
      </c>
      <c r="X46" s="74"/>
      <c r="Y46" s="105" t="str">
        <f t="shared" si="7"/>
        <v/>
      </c>
      <c r="Z46" s="76"/>
    </row>
    <row r="47" spans="1:27" s="29" customFormat="1" ht="21" customHeight="1" x14ac:dyDescent="0.2">
      <c r="A47" s="30"/>
      <c r="B47" s="48" t="s">
        <v>7</v>
      </c>
      <c r="C47" s="39">
        <f>IF($J$1="January",P41,IF($J$1="February",P42,IF($J$1="March",P43,IF($J$1="April",P44,IF($J$1="May",P45,IF($J$1="June",P46,IF($J$1="July",P47,IF($J$1="August",P48,IF($J$1="August",P48,IF($J$1="September",P49,IF($J$1="October",P50,IF($J$1="November",P51,IF($J$1="December",P52)))))))))))))</f>
        <v>0</v>
      </c>
      <c r="F47" s="48" t="s">
        <v>65</v>
      </c>
      <c r="G47" s="43">
        <f>IF($J$1="January",W41,IF($J$1="February",W42,IF($J$1="March",W43,IF($J$1="April",W44,IF($J$1="May",W45,IF($J$1="June",W46,IF($J$1="July",W47,IF($J$1="August",W48,IF($J$1="August",W48,IF($J$1="September",W49,IF($J$1="October",W50,IF($J$1="November",W51,IF($J$1="December",W52)))))))))))))</f>
        <v>5000</v>
      </c>
      <c r="H47" s="47"/>
      <c r="I47" s="402" t="s">
        <v>69</v>
      </c>
      <c r="J47" s="403"/>
      <c r="K47" s="53">
        <f>K45+K46</f>
        <v>18000</v>
      </c>
      <c r="L47" s="54"/>
      <c r="N47" s="71"/>
      <c r="O47" s="72" t="s">
        <v>50</v>
      </c>
      <c r="P47" s="72"/>
      <c r="Q47" s="72"/>
      <c r="R47" s="72" t="str">
        <f t="shared" si="6"/>
        <v/>
      </c>
      <c r="S47" s="63"/>
      <c r="T47" s="72" t="s">
        <v>50</v>
      </c>
      <c r="U47" s="105" t="str">
        <f t="shared" ref="U47:U50" si="9">Y46</f>
        <v/>
      </c>
      <c r="V47" s="74"/>
      <c r="W47" s="105" t="str">
        <f t="shared" si="8"/>
        <v/>
      </c>
      <c r="X47" s="74"/>
      <c r="Y47" s="105" t="str">
        <f t="shared" si="7"/>
        <v/>
      </c>
      <c r="Z47" s="76"/>
    </row>
    <row r="48" spans="1:27" s="29" customFormat="1" ht="21" customHeight="1" x14ac:dyDescent="0.2">
      <c r="A48" s="30"/>
      <c r="B48" s="48" t="s">
        <v>6</v>
      </c>
      <c r="C48" s="39">
        <f>IF($J$1="January",Q41,IF($J$1="February",Q42,IF($J$1="March",Q43,IF($J$1="April",Q44,IF($J$1="May",Q45,IF($J$1="June",Q46,IF($J$1="July",Q47,IF($J$1="August",Q48,IF($J$1="August",Q48,IF($J$1="September",Q49,IF($J$1="October",Q50,IF($J$1="November",Q51,IF($J$1="December",Q52)))))))))))))</f>
        <v>0</v>
      </c>
      <c r="F48" s="48" t="s">
        <v>21</v>
      </c>
      <c r="G48" s="43">
        <f>IF($J$1="January",X41,IF($J$1="February",X42,IF($J$1="March",X43,IF($J$1="April",X44,IF($J$1="May",X45,IF($J$1="June",X46,IF($J$1="July",X47,IF($J$1="August",X48,IF($J$1="August",X48,IF($J$1="September",X49,IF($J$1="October",X50,IF($J$1="November",X51,IF($J$1="December",X52)))))))))))))</f>
        <v>0</v>
      </c>
      <c r="H48" s="47"/>
      <c r="I48" s="402" t="s">
        <v>70</v>
      </c>
      <c r="J48" s="403"/>
      <c r="K48" s="43">
        <f>G48</f>
        <v>0</v>
      </c>
      <c r="L48" s="55"/>
      <c r="N48" s="71"/>
      <c r="O48" s="72" t="s">
        <v>51</v>
      </c>
      <c r="P48" s="72"/>
      <c r="Q48" s="72"/>
      <c r="R48" s="72" t="str">
        <f t="shared" si="6"/>
        <v/>
      </c>
      <c r="S48" s="63"/>
      <c r="T48" s="72" t="s">
        <v>51</v>
      </c>
      <c r="U48" s="105" t="str">
        <f t="shared" si="9"/>
        <v/>
      </c>
      <c r="V48" s="74"/>
      <c r="W48" s="105" t="str">
        <f t="shared" si="8"/>
        <v/>
      </c>
      <c r="X48" s="74"/>
      <c r="Y48" s="105" t="str">
        <f t="shared" si="7"/>
        <v/>
      </c>
      <c r="Z48" s="76"/>
    </row>
    <row r="49" spans="1:27" s="29" customFormat="1" ht="21" customHeight="1" x14ac:dyDescent="0.2">
      <c r="A49" s="30"/>
      <c r="B49" s="56" t="s">
        <v>68</v>
      </c>
      <c r="C49" s="39" t="str">
        <f>IF($J$1="January",R41,IF($J$1="February",R42,IF($J$1="March",R43,IF($J$1="April",R44,IF($J$1="May",R45,IF($J$1="June",R46,IF($J$1="July",R47,IF($J$1="August",R48,IF($J$1="August",R48,IF($J$1="September",R49,IF($J$1="October",R50,IF($J$1="November",R51,IF($J$1="December",R52)))))))))))))</f>
        <v/>
      </c>
      <c r="F49" s="48" t="s">
        <v>67</v>
      </c>
      <c r="G49" s="43">
        <f>IF($J$1="January",Y41,IF($J$1="February",Y42,IF($J$1="March",Y43,IF($J$1="April",Y44,IF($J$1="May",Y45,IF($J$1="June",Y46,IF($J$1="July",Y47,IF($J$1="August",Y48,IF($J$1="August",Y48,IF($J$1="September",Y49,IF($J$1="October",Y50,IF($J$1="November",Y51,IF($J$1="December",Y52)))))))))))))</f>
        <v>5000</v>
      </c>
      <c r="I49" s="391" t="s">
        <v>63</v>
      </c>
      <c r="J49" s="393"/>
      <c r="K49" s="57">
        <f>K47-K48</f>
        <v>18000</v>
      </c>
      <c r="L49" s="58"/>
      <c r="N49" s="71"/>
      <c r="O49" s="72" t="s">
        <v>56</v>
      </c>
      <c r="P49" s="72"/>
      <c r="Q49" s="72"/>
      <c r="R49" s="72" t="str">
        <f t="shared" si="6"/>
        <v/>
      </c>
      <c r="S49" s="63"/>
      <c r="T49" s="72" t="s">
        <v>56</v>
      </c>
      <c r="U49" s="105" t="str">
        <f t="shared" si="9"/>
        <v/>
      </c>
      <c r="V49" s="74"/>
      <c r="W49" s="105" t="str">
        <f t="shared" si="8"/>
        <v/>
      </c>
      <c r="X49" s="74"/>
      <c r="Y49" s="105" t="str">
        <f t="shared" si="7"/>
        <v/>
      </c>
      <c r="Z49" s="76"/>
    </row>
    <row r="50" spans="1:27" s="29" customFormat="1" ht="21" customHeight="1" x14ac:dyDescent="0.2">
      <c r="A50" s="30"/>
      <c r="K50" s="107"/>
      <c r="L50" s="46"/>
      <c r="N50" s="71"/>
      <c r="O50" s="72" t="s">
        <v>52</v>
      </c>
      <c r="P50" s="72"/>
      <c r="Q50" s="72"/>
      <c r="R50" s="72">
        <v>0</v>
      </c>
      <c r="S50" s="63"/>
      <c r="T50" s="72" t="s">
        <v>52</v>
      </c>
      <c r="U50" s="105" t="str">
        <f t="shared" si="9"/>
        <v/>
      </c>
      <c r="V50" s="74"/>
      <c r="W50" s="105" t="str">
        <f t="shared" si="8"/>
        <v/>
      </c>
      <c r="X50" s="74"/>
      <c r="Y50" s="105" t="str">
        <f t="shared" si="7"/>
        <v/>
      </c>
      <c r="Z50" s="76"/>
    </row>
    <row r="51" spans="1:27" s="29" customFormat="1" ht="21" customHeight="1" x14ac:dyDescent="0.2">
      <c r="A51" s="30"/>
      <c r="B51" s="404" t="s">
        <v>85</v>
      </c>
      <c r="C51" s="404"/>
      <c r="D51" s="404"/>
      <c r="E51" s="404"/>
      <c r="F51" s="404"/>
      <c r="G51" s="404"/>
      <c r="H51" s="404"/>
      <c r="I51" s="404"/>
      <c r="J51" s="404"/>
      <c r="K51" s="404"/>
      <c r="L51" s="46"/>
      <c r="N51" s="71"/>
      <c r="O51" s="72" t="s">
        <v>57</v>
      </c>
      <c r="P51" s="72"/>
      <c r="Q51" s="72"/>
      <c r="R51" s="72" t="str">
        <f t="shared" si="6"/>
        <v/>
      </c>
      <c r="S51" s="63"/>
      <c r="T51" s="72" t="s">
        <v>57</v>
      </c>
      <c r="U51" s="105" t="str">
        <f>Y50</f>
        <v/>
      </c>
      <c r="V51" s="74"/>
      <c r="W51" s="105" t="str">
        <f t="shared" si="8"/>
        <v/>
      </c>
      <c r="X51" s="74"/>
      <c r="Y51" s="105" t="str">
        <f t="shared" si="7"/>
        <v/>
      </c>
      <c r="Z51" s="76"/>
    </row>
    <row r="52" spans="1:27" s="29" customFormat="1" ht="21" customHeight="1" x14ac:dyDescent="0.2">
      <c r="A52" s="30"/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6"/>
      <c r="N52" s="71"/>
      <c r="O52" s="72" t="s">
        <v>58</v>
      </c>
      <c r="P52" s="72"/>
      <c r="Q52" s="72"/>
      <c r="R52" s="72" t="str">
        <f t="shared" si="6"/>
        <v/>
      </c>
      <c r="S52" s="63"/>
      <c r="T52" s="72" t="s">
        <v>58</v>
      </c>
      <c r="U52" s="105" t="str">
        <f>Y51</f>
        <v/>
      </c>
      <c r="V52" s="74"/>
      <c r="W52" s="105" t="str">
        <f t="shared" si="8"/>
        <v/>
      </c>
      <c r="X52" s="74"/>
      <c r="Y52" s="105" t="str">
        <f t="shared" si="7"/>
        <v/>
      </c>
      <c r="Z52" s="76"/>
    </row>
    <row r="53" spans="1:27" s="29" customFormat="1" ht="21" customHeight="1" thickBot="1" x14ac:dyDescent="0.25">
      <c r="A53" s="5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1"/>
      <c r="N53" s="77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9"/>
    </row>
    <row r="54" spans="1:27" s="29" customFormat="1" ht="21" customHeight="1" x14ac:dyDescent="0.2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N54" s="71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85"/>
    </row>
    <row r="55" spans="1:27" s="29" customFormat="1" ht="21" customHeight="1" thickBot="1" x14ac:dyDescent="0.25">
      <c r="N55" s="71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85"/>
    </row>
    <row r="56" spans="1:27" s="29" customFormat="1" ht="21" customHeight="1" x14ac:dyDescent="0.2">
      <c r="A56" s="440" t="s">
        <v>40</v>
      </c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2"/>
      <c r="M56" s="28"/>
      <c r="N56" s="64"/>
      <c r="O56" s="405" t="s">
        <v>42</v>
      </c>
      <c r="P56" s="406"/>
      <c r="Q56" s="406"/>
      <c r="R56" s="407"/>
      <c r="S56" s="65"/>
      <c r="T56" s="405" t="s">
        <v>43</v>
      </c>
      <c r="U56" s="406"/>
      <c r="V56" s="406"/>
      <c r="W56" s="406"/>
      <c r="X56" s="406"/>
      <c r="Y56" s="407"/>
      <c r="Z56" s="66"/>
      <c r="AA56" s="28"/>
    </row>
    <row r="57" spans="1:27" s="29" customFormat="1" ht="21" customHeight="1" x14ac:dyDescent="0.2">
      <c r="A57" s="30"/>
      <c r="C57" s="395" t="s">
        <v>83</v>
      </c>
      <c r="D57" s="395"/>
      <c r="E57" s="395"/>
      <c r="F57" s="395"/>
      <c r="G57" s="31" t="str">
        <f>$J$1</f>
        <v>May</v>
      </c>
      <c r="H57" s="394">
        <f>$K$1</f>
        <v>2023</v>
      </c>
      <c r="I57" s="394"/>
      <c r="K57" s="32"/>
      <c r="L57" s="33"/>
      <c r="M57" s="32"/>
      <c r="N57" s="67"/>
      <c r="O57" s="68" t="s">
        <v>53</v>
      </c>
      <c r="P57" s="68" t="s">
        <v>7</v>
      </c>
      <c r="Q57" s="68" t="s">
        <v>6</v>
      </c>
      <c r="R57" s="68" t="s">
        <v>54</v>
      </c>
      <c r="S57" s="69"/>
      <c r="T57" s="68" t="s">
        <v>53</v>
      </c>
      <c r="U57" s="68" t="s">
        <v>55</v>
      </c>
      <c r="V57" s="68" t="s">
        <v>20</v>
      </c>
      <c r="W57" s="68" t="s">
        <v>19</v>
      </c>
      <c r="X57" s="68" t="s">
        <v>21</v>
      </c>
      <c r="Y57" s="68" t="s">
        <v>59</v>
      </c>
      <c r="Z57" s="70"/>
      <c r="AA57" s="32"/>
    </row>
    <row r="58" spans="1:27" s="29" customFormat="1" ht="21" customHeight="1" x14ac:dyDescent="0.2">
      <c r="A58" s="30"/>
      <c r="D58" s="35"/>
      <c r="E58" s="35"/>
      <c r="F58" s="35"/>
      <c r="G58" s="35"/>
      <c r="H58" s="35"/>
      <c r="J58" s="36" t="s">
        <v>1</v>
      </c>
      <c r="K58" s="37">
        <f>40000+5000</f>
        <v>45000</v>
      </c>
      <c r="L58" s="38"/>
      <c r="N58" s="71"/>
      <c r="O58" s="72" t="s">
        <v>45</v>
      </c>
      <c r="P58" s="72">
        <v>30</v>
      </c>
      <c r="Q58" s="72">
        <v>1</v>
      </c>
      <c r="R58" s="72">
        <f>15-Q58</f>
        <v>14</v>
      </c>
      <c r="S58" s="73"/>
      <c r="T58" s="72" t="s">
        <v>45</v>
      </c>
      <c r="U58" s="74">
        <v>10000</v>
      </c>
      <c r="V58" s="74"/>
      <c r="W58" s="74">
        <f>V58+U58</f>
        <v>10000</v>
      </c>
      <c r="X58" s="74">
        <v>2000</v>
      </c>
      <c r="Y58" s="74">
        <f>W58-X58</f>
        <v>8000</v>
      </c>
      <c r="Z58" s="70"/>
    </row>
    <row r="59" spans="1:27" s="29" customFormat="1" ht="21" customHeight="1" x14ac:dyDescent="0.2">
      <c r="A59" s="30"/>
      <c r="B59" s="29" t="s">
        <v>0</v>
      </c>
      <c r="C59" s="40" t="s">
        <v>79</v>
      </c>
      <c r="H59" s="41"/>
      <c r="I59" s="35"/>
      <c r="L59" s="42"/>
      <c r="M59" s="28"/>
      <c r="N59" s="75"/>
      <c r="O59" s="72" t="s">
        <v>71</v>
      </c>
      <c r="P59" s="72">
        <v>27</v>
      </c>
      <c r="Q59" s="72">
        <v>1</v>
      </c>
      <c r="R59" s="72">
        <f t="shared" ref="R59:R68" si="10">IF(Q59="","",R58-Q59)</f>
        <v>13</v>
      </c>
      <c r="S59" s="63"/>
      <c r="T59" s="72" t="s">
        <v>71</v>
      </c>
      <c r="U59" s="105">
        <f>Y58</f>
        <v>8000</v>
      </c>
      <c r="V59" s="74">
        <v>5000</v>
      </c>
      <c r="W59" s="105">
        <f>IF(U59="","",U59+V59)</f>
        <v>13000</v>
      </c>
      <c r="X59" s="74">
        <v>7000</v>
      </c>
      <c r="Y59" s="105">
        <f>IF(W59="","",W59-X59)</f>
        <v>6000</v>
      </c>
      <c r="Z59" s="76"/>
      <c r="AA59" s="28"/>
    </row>
    <row r="60" spans="1:27" s="29" customFormat="1" ht="21" customHeight="1" x14ac:dyDescent="0.2">
      <c r="A60" s="30"/>
      <c r="B60" s="44" t="s">
        <v>41</v>
      </c>
      <c r="C60" s="45"/>
      <c r="F60" s="411" t="s">
        <v>43</v>
      </c>
      <c r="G60" s="411"/>
      <c r="I60" s="411" t="s">
        <v>44</v>
      </c>
      <c r="J60" s="411"/>
      <c r="K60" s="411"/>
      <c r="L60" s="46"/>
      <c r="N60" s="71"/>
      <c r="O60" s="72" t="s">
        <v>46</v>
      </c>
      <c r="P60" s="72">
        <v>30</v>
      </c>
      <c r="Q60" s="72">
        <v>1</v>
      </c>
      <c r="R60" s="72">
        <f t="shared" si="10"/>
        <v>12</v>
      </c>
      <c r="S60" s="63"/>
      <c r="T60" s="72" t="s">
        <v>46</v>
      </c>
      <c r="U60" s="105">
        <f>Y59</f>
        <v>6000</v>
      </c>
      <c r="V60" s="74">
        <v>1000</v>
      </c>
      <c r="W60" s="105">
        <f t="shared" ref="W60:W69" si="11">IF(U60="","",U60+V60)</f>
        <v>7000</v>
      </c>
      <c r="X60" s="74">
        <v>7000</v>
      </c>
      <c r="Y60" s="105">
        <f t="shared" ref="Y60:Y69" si="12">IF(W60="","",W60-X60)</f>
        <v>0</v>
      </c>
      <c r="Z60" s="76"/>
    </row>
    <row r="61" spans="1:27" s="29" customFormat="1" ht="21" customHeight="1" x14ac:dyDescent="0.2">
      <c r="A61" s="30"/>
      <c r="H61" s="47"/>
      <c r="L61" s="34"/>
      <c r="N61" s="71"/>
      <c r="O61" s="72" t="s">
        <v>47</v>
      </c>
      <c r="P61" s="72">
        <v>25</v>
      </c>
      <c r="Q61" s="72">
        <v>5</v>
      </c>
      <c r="R61" s="72">
        <f t="shared" si="10"/>
        <v>7</v>
      </c>
      <c r="S61" s="63"/>
      <c r="T61" s="72" t="s">
        <v>47</v>
      </c>
      <c r="U61" s="105">
        <f>Y60</f>
        <v>0</v>
      </c>
      <c r="V61" s="74"/>
      <c r="W61" s="105">
        <f t="shared" si="11"/>
        <v>0</v>
      </c>
      <c r="X61" s="74"/>
      <c r="Y61" s="105">
        <f t="shared" si="12"/>
        <v>0</v>
      </c>
      <c r="Z61" s="76"/>
    </row>
    <row r="62" spans="1:27" s="29" customFormat="1" ht="21" customHeight="1" x14ac:dyDescent="0.2">
      <c r="A62" s="30"/>
      <c r="B62" s="389" t="s">
        <v>42</v>
      </c>
      <c r="C62" s="390"/>
      <c r="F62" s="48" t="s">
        <v>64</v>
      </c>
      <c r="G62" s="43">
        <f>IF($J$1="January",U58,IF($J$1="February",U59,IF($J$1="March",U60,IF($J$1="April",U61,IF($J$1="May",U62,IF($J$1="June",U63,IF($J$1="July",U64,IF($J$1="August",U65,IF($J$1="August",U65,IF($J$1="September",U66,IF($J$1="October",U67,IF($J$1="November",U68,IF($J$1="December",U69)))))))))))))</f>
        <v>0</v>
      </c>
      <c r="H62" s="47"/>
      <c r="I62" s="49">
        <f>IF(C66&gt;0,$K$2,C64)</f>
        <v>31</v>
      </c>
      <c r="J62" s="50" t="s">
        <v>61</v>
      </c>
      <c r="K62" s="51">
        <f>K58/$K$2*I62</f>
        <v>45000</v>
      </c>
      <c r="L62" s="52"/>
      <c r="N62" s="71"/>
      <c r="O62" s="72" t="s">
        <v>48</v>
      </c>
      <c r="P62" s="72">
        <v>31</v>
      </c>
      <c r="Q62" s="72">
        <v>0</v>
      </c>
      <c r="R62" s="72">
        <f t="shared" si="10"/>
        <v>7</v>
      </c>
      <c r="S62" s="63"/>
      <c r="T62" s="72" t="s">
        <v>48</v>
      </c>
      <c r="U62" s="105">
        <f>Y61</f>
        <v>0</v>
      </c>
      <c r="V62" s="74">
        <v>5000</v>
      </c>
      <c r="W62" s="105">
        <f t="shared" si="11"/>
        <v>5000</v>
      </c>
      <c r="X62" s="74">
        <v>5000</v>
      </c>
      <c r="Y62" s="105">
        <f t="shared" si="12"/>
        <v>0</v>
      </c>
      <c r="Z62" s="76"/>
    </row>
    <row r="63" spans="1:27" s="29" customFormat="1" ht="21" customHeight="1" x14ac:dyDescent="0.2">
      <c r="A63" s="30"/>
      <c r="B63" s="39"/>
      <c r="C63" s="39"/>
      <c r="F63" s="48" t="s">
        <v>20</v>
      </c>
      <c r="G63" s="43">
        <f>IF($J$1="January",V58,IF($J$1="February",V59,IF($J$1="March",V60,IF($J$1="April",V61,IF($J$1="May",V62,IF($J$1="June",V63,IF($J$1="July",V64,IF($J$1="August",V65,IF($J$1="August",V65,IF($J$1="September",V66,IF($J$1="October",V67,IF($J$1="November",V68,IF($J$1="December",V69)))))))))))))</f>
        <v>5000</v>
      </c>
      <c r="H63" s="47"/>
      <c r="I63" s="116"/>
      <c r="J63" s="50" t="s">
        <v>62</v>
      </c>
      <c r="K63" s="53">
        <f>K58/$K$2/8*I63</f>
        <v>0</v>
      </c>
      <c r="L63" s="54"/>
      <c r="N63" s="71"/>
      <c r="O63" s="72" t="s">
        <v>49</v>
      </c>
      <c r="P63" s="72"/>
      <c r="Q63" s="72"/>
      <c r="R63" s="72" t="str">
        <f t="shared" si="10"/>
        <v/>
      </c>
      <c r="S63" s="63"/>
      <c r="T63" s="72" t="s">
        <v>49</v>
      </c>
      <c r="U63" s="105"/>
      <c r="V63" s="74"/>
      <c r="W63" s="105" t="str">
        <f t="shared" si="11"/>
        <v/>
      </c>
      <c r="X63" s="74"/>
      <c r="Y63" s="105" t="str">
        <f t="shared" si="12"/>
        <v/>
      </c>
      <c r="Z63" s="76"/>
    </row>
    <row r="64" spans="1:27" s="29" customFormat="1" ht="21" customHeight="1" x14ac:dyDescent="0.2">
      <c r="A64" s="30"/>
      <c r="B64" s="48" t="s">
        <v>7</v>
      </c>
      <c r="C64" s="39">
        <f>IF($J$1="January",P58,IF($J$1="February",P59,IF($J$1="March",P60,IF($J$1="April",P61,IF($J$1="May",P62,IF($J$1="June",P63,IF($J$1="July",P64,IF($J$1="August",P65,IF($J$1="August",P65,IF($J$1="September",P66,IF($J$1="October",P67,IF($J$1="November",P68,IF($J$1="December",P69)))))))))))))</f>
        <v>31</v>
      </c>
      <c r="F64" s="48" t="s">
        <v>65</v>
      </c>
      <c r="G64" s="43">
        <f>IF($J$1="January",W58,IF($J$1="February",W59,IF($J$1="March",W60,IF($J$1="April",W61,IF($J$1="May",W62,IF($J$1="June",W63,IF($J$1="July",W64,IF($J$1="August",W65,IF($J$1="August",W65,IF($J$1="September",W66,IF($J$1="October",W67,IF($J$1="November",W68,IF($J$1="December",W69)))))))))))))</f>
        <v>5000</v>
      </c>
      <c r="H64" s="47"/>
      <c r="I64" s="402" t="s">
        <v>69</v>
      </c>
      <c r="J64" s="403"/>
      <c r="K64" s="53">
        <f>K62+K63</f>
        <v>45000</v>
      </c>
      <c r="L64" s="54"/>
      <c r="N64" s="71"/>
      <c r="O64" s="72" t="s">
        <v>50</v>
      </c>
      <c r="P64" s="72"/>
      <c r="Q64" s="72"/>
      <c r="R64" s="72" t="str">
        <f t="shared" si="10"/>
        <v/>
      </c>
      <c r="S64" s="63"/>
      <c r="T64" s="72" t="s">
        <v>50</v>
      </c>
      <c r="U64" s="105"/>
      <c r="V64" s="74"/>
      <c r="W64" s="105" t="str">
        <f t="shared" si="11"/>
        <v/>
      </c>
      <c r="X64" s="74"/>
      <c r="Y64" s="105" t="str">
        <f t="shared" si="12"/>
        <v/>
      </c>
      <c r="Z64" s="76"/>
    </row>
    <row r="65" spans="1:26" s="29" customFormat="1" ht="21" customHeight="1" x14ac:dyDescent="0.2">
      <c r="A65" s="30"/>
      <c r="B65" s="48" t="s">
        <v>6</v>
      </c>
      <c r="C65" s="39">
        <f>IF($J$1="January",Q58,IF($J$1="February",Q59,IF($J$1="March",Q60,IF($J$1="April",Q61,IF($J$1="May",Q62,IF($J$1="June",Q63,IF($J$1="July",Q64,IF($J$1="August",Q65,IF($J$1="August",Q65,IF($J$1="September",Q66,IF($J$1="October",Q67,IF($J$1="November",Q68,IF($J$1="December",Q69)))))))))))))</f>
        <v>0</v>
      </c>
      <c r="F65" s="48" t="s">
        <v>21</v>
      </c>
      <c r="G65" s="43">
        <f>IF($J$1="January",X58,IF($J$1="February",X59,IF($J$1="March",X60,IF($J$1="April",X61,IF($J$1="May",X62,IF($J$1="June",X63,IF($J$1="July",X64,IF($J$1="August",X65,IF($J$1="August",X65,IF($J$1="September",X66,IF($J$1="October",X67,IF($J$1="November",X68,IF($J$1="December",X69)))))))))))))</f>
        <v>5000</v>
      </c>
      <c r="H65" s="47"/>
      <c r="I65" s="402" t="s">
        <v>70</v>
      </c>
      <c r="J65" s="403"/>
      <c r="K65" s="43">
        <f>G65</f>
        <v>5000</v>
      </c>
      <c r="L65" s="55"/>
      <c r="N65" s="71"/>
      <c r="O65" s="72" t="s">
        <v>51</v>
      </c>
      <c r="P65" s="72"/>
      <c r="Q65" s="72"/>
      <c r="R65" s="72" t="str">
        <f t="shared" si="10"/>
        <v/>
      </c>
      <c r="S65" s="63"/>
      <c r="T65" s="72" t="s">
        <v>51</v>
      </c>
      <c r="U65" s="105"/>
      <c r="V65" s="74"/>
      <c r="W65" s="105" t="str">
        <f t="shared" si="11"/>
        <v/>
      </c>
      <c r="X65" s="74"/>
      <c r="Y65" s="105" t="str">
        <f t="shared" si="12"/>
        <v/>
      </c>
      <c r="Z65" s="76"/>
    </row>
    <row r="66" spans="1:26" s="29" customFormat="1" ht="21" customHeight="1" x14ac:dyDescent="0.2">
      <c r="A66" s="30"/>
      <c r="B66" s="56" t="s">
        <v>68</v>
      </c>
      <c r="C66" s="39">
        <f>IF($J$1="January",R58,IF($J$1="February",R59,IF($J$1="March",R60,IF($J$1="April",R61,IF($J$1="May",R62,IF($J$1="June",R63,IF($J$1="July",R64,IF($J$1="August",R65,IF($J$1="August",R65,IF($J$1="September",R66,IF($J$1="October",R67,IF($J$1="November",R68,IF($J$1="December",R69)))))))))))))</f>
        <v>7</v>
      </c>
      <c r="F66" s="48" t="s">
        <v>67</v>
      </c>
      <c r="G66" s="43">
        <f>IF($J$1="January",Y58,IF($J$1="February",Y59,IF($J$1="March",Y60,IF($J$1="April",Y61,IF($J$1="May",Y62,IF($J$1="June",Y63,IF($J$1="July",Y64,IF($J$1="August",Y65,IF($J$1="August",Y65,IF($J$1="September",Y66,IF($J$1="October",Y67,IF($J$1="November",Y68,IF($J$1="December",Y69)))))))))))))</f>
        <v>0</v>
      </c>
      <c r="I66" s="391" t="s">
        <v>63</v>
      </c>
      <c r="J66" s="393"/>
      <c r="K66" s="57">
        <f>K64-K65</f>
        <v>40000</v>
      </c>
      <c r="L66" s="58"/>
      <c r="N66" s="71"/>
      <c r="O66" s="72" t="s">
        <v>56</v>
      </c>
      <c r="P66" s="72"/>
      <c r="Q66" s="72"/>
      <c r="R66" s="72" t="str">
        <f t="shared" si="10"/>
        <v/>
      </c>
      <c r="S66" s="63"/>
      <c r="T66" s="72" t="s">
        <v>56</v>
      </c>
      <c r="U66" s="105"/>
      <c r="V66" s="74"/>
      <c r="W66" s="105" t="str">
        <f t="shared" si="11"/>
        <v/>
      </c>
      <c r="X66" s="74"/>
      <c r="Y66" s="105" t="str">
        <f t="shared" si="12"/>
        <v/>
      </c>
      <c r="Z66" s="76"/>
    </row>
    <row r="67" spans="1:26" s="29" customFormat="1" ht="21" customHeight="1" x14ac:dyDescent="0.2">
      <c r="A67" s="30"/>
      <c r="K67" s="107"/>
      <c r="L67" s="46"/>
      <c r="N67" s="71"/>
      <c r="O67" s="72" t="s">
        <v>52</v>
      </c>
      <c r="P67" s="72"/>
      <c r="Q67" s="72"/>
      <c r="R67" s="72" t="str">
        <f t="shared" si="10"/>
        <v/>
      </c>
      <c r="S67" s="63"/>
      <c r="T67" s="72" t="s">
        <v>52</v>
      </c>
      <c r="U67" s="105"/>
      <c r="V67" s="74"/>
      <c r="W67" s="105" t="str">
        <f t="shared" si="11"/>
        <v/>
      </c>
      <c r="X67" s="74"/>
      <c r="Y67" s="105" t="str">
        <f t="shared" si="12"/>
        <v/>
      </c>
      <c r="Z67" s="76"/>
    </row>
    <row r="68" spans="1:26" s="29" customFormat="1" ht="21" customHeight="1" x14ac:dyDescent="0.2">
      <c r="A68" s="30"/>
      <c r="B68" s="404" t="s">
        <v>85</v>
      </c>
      <c r="C68" s="404"/>
      <c r="D68" s="404"/>
      <c r="E68" s="404"/>
      <c r="F68" s="404"/>
      <c r="G68" s="404"/>
      <c r="H68" s="404"/>
      <c r="I68" s="404"/>
      <c r="J68" s="404"/>
      <c r="K68" s="404"/>
      <c r="L68" s="46"/>
      <c r="N68" s="71"/>
      <c r="O68" s="72" t="s">
        <v>57</v>
      </c>
      <c r="P68" s="72"/>
      <c r="Q68" s="72"/>
      <c r="R68" s="72" t="str">
        <f t="shared" si="10"/>
        <v/>
      </c>
      <c r="S68" s="63"/>
      <c r="T68" s="72" t="s">
        <v>57</v>
      </c>
      <c r="U68" s="105"/>
      <c r="V68" s="74"/>
      <c r="W68" s="105" t="str">
        <f t="shared" si="11"/>
        <v/>
      </c>
      <c r="X68" s="74"/>
      <c r="Y68" s="105" t="str">
        <f t="shared" si="12"/>
        <v/>
      </c>
      <c r="Z68" s="76"/>
    </row>
    <row r="69" spans="1:26" s="29" customFormat="1" ht="21" customHeight="1" x14ac:dyDescent="0.2">
      <c r="A69" s="30"/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6"/>
      <c r="N69" s="71"/>
      <c r="O69" s="72" t="s">
        <v>58</v>
      </c>
      <c r="P69" s="72"/>
      <c r="Q69" s="72"/>
      <c r="R69" s="72" t="str">
        <f t="shared" ref="R69" si="13">IF(Q69="","",R68-Q69)</f>
        <v/>
      </c>
      <c r="S69" s="63"/>
      <c r="T69" s="72" t="s">
        <v>58</v>
      </c>
      <c r="U69" s="105"/>
      <c r="V69" s="74"/>
      <c r="W69" s="105" t="str">
        <f t="shared" si="11"/>
        <v/>
      </c>
      <c r="X69" s="74"/>
      <c r="Y69" s="105" t="str">
        <f t="shared" si="12"/>
        <v/>
      </c>
      <c r="Z69" s="76"/>
    </row>
    <row r="70" spans="1:26" s="29" customFormat="1" ht="21" customHeight="1" thickBot="1" x14ac:dyDescent="0.25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1"/>
      <c r="N70" s="77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9"/>
    </row>
    <row r="71" spans="1:26" ht="15.75" thickBot="1" x14ac:dyDescent="0.3"/>
    <row r="72" spans="1:26" s="29" customFormat="1" ht="21" customHeight="1" x14ac:dyDescent="0.2">
      <c r="A72" s="408" t="s">
        <v>40</v>
      </c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10"/>
      <c r="M72" s="28"/>
      <c r="N72" s="64"/>
      <c r="O72" s="405" t="s">
        <v>42</v>
      </c>
      <c r="P72" s="406"/>
      <c r="Q72" s="406"/>
      <c r="R72" s="407"/>
      <c r="S72" s="65"/>
      <c r="T72" s="405" t="s">
        <v>43</v>
      </c>
      <c r="U72" s="406"/>
      <c r="V72" s="406"/>
      <c r="W72" s="406"/>
      <c r="X72" s="406"/>
      <c r="Y72" s="407"/>
      <c r="Z72" s="66"/>
    </row>
    <row r="73" spans="1:26" s="29" customFormat="1" ht="21" customHeight="1" x14ac:dyDescent="0.2">
      <c r="A73" s="30"/>
      <c r="C73" s="395" t="s">
        <v>83</v>
      </c>
      <c r="D73" s="395"/>
      <c r="E73" s="395"/>
      <c r="F73" s="395"/>
      <c r="G73" s="31" t="str">
        <f>$J$1</f>
        <v>May</v>
      </c>
      <c r="H73" s="394">
        <f>$K$1</f>
        <v>2023</v>
      </c>
      <c r="I73" s="394"/>
      <c r="K73" s="32"/>
      <c r="L73" s="33"/>
      <c r="M73" s="32"/>
      <c r="N73" s="67"/>
      <c r="O73" s="68" t="s">
        <v>53</v>
      </c>
      <c r="P73" s="68" t="s">
        <v>7</v>
      </c>
      <c r="Q73" s="68" t="s">
        <v>6</v>
      </c>
      <c r="R73" s="68" t="s">
        <v>54</v>
      </c>
      <c r="S73" s="69"/>
      <c r="T73" s="68" t="s">
        <v>53</v>
      </c>
      <c r="U73" s="68" t="s">
        <v>55</v>
      </c>
      <c r="V73" s="68" t="s">
        <v>20</v>
      </c>
      <c r="W73" s="68" t="s">
        <v>19</v>
      </c>
      <c r="X73" s="68" t="s">
        <v>21</v>
      </c>
      <c r="Y73" s="68" t="s">
        <v>59</v>
      </c>
      <c r="Z73" s="70"/>
    </row>
    <row r="74" spans="1:26" s="29" customFormat="1" ht="21" customHeight="1" x14ac:dyDescent="0.2">
      <c r="A74" s="30"/>
      <c r="D74" s="35"/>
      <c r="E74" s="35"/>
      <c r="F74" s="35"/>
      <c r="G74" s="35"/>
      <c r="H74" s="35"/>
      <c r="J74" s="36" t="s">
        <v>1</v>
      </c>
      <c r="K74" s="37">
        <f>50000+15000</f>
        <v>65000</v>
      </c>
      <c r="L74" s="38"/>
      <c r="N74" s="71"/>
      <c r="O74" s="72" t="s">
        <v>45</v>
      </c>
      <c r="P74" s="72"/>
      <c r="Q74" s="72"/>
      <c r="R74" s="72">
        <v>0</v>
      </c>
      <c r="S74" s="73"/>
      <c r="T74" s="72" t="s">
        <v>45</v>
      </c>
      <c r="U74" s="74"/>
      <c r="V74" s="74"/>
      <c r="W74" s="74">
        <f>V74+U74</f>
        <v>0</v>
      </c>
      <c r="X74" s="74"/>
      <c r="Y74" s="74">
        <f>W74-X74</f>
        <v>0</v>
      </c>
      <c r="Z74" s="70"/>
    </row>
    <row r="75" spans="1:26" s="29" customFormat="1" ht="21" customHeight="1" x14ac:dyDescent="0.2">
      <c r="A75" s="30"/>
      <c r="B75" s="29" t="s">
        <v>0</v>
      </c>
      <c r="C75" s="40" t="s">
        <v>205</v>
      </c>
      <c r="H75" s="41"/>
      <c r="I75" s="35"/>
      <c r="L75" s="42"/>
      <c r="M75" s="28"/>
      <c r="N75" s="75"/>
      <c r="O75" s="72" t="s">
        <v>71</v>
      </c>
      <c r="P75" s="72"/>
      <c r="Q75" s="72"/>
      <c r="R75" s="72">
        <v>0</v>
      </c>
      <c r="S75" s="63"/>
      <c r="T75" s="72" t="s">
        <v>71</v>
      </c>
      <c r="U75" s="105">
        <f>IF($J$1="January","",Y74)</f>
        <v>0</v>
      </c>
      <c r="V75" s="74"/>
      <c r="W75" s="105">
        <f>IF(U75="","",U75+V75)</f>
        <v>0</v>
      </c>
      <c r="X75" s="74"/>
      <c r="Y75" s="105">
        <f>IF(W75="","",W75-X75)</f>
        <v>0</v>
      </c>
      <c r="Z75" s="76"/>
    </row>
    <row r="76" spans="1:26" s="29" customFormat="1" ht="21" customHeight="1" x14ac:dyDescent="0.2">
      <c r="A76" s="30"/>
      <c r="B76" s="450"/>
      <c r="C76" s="450"/>
      <c r="D76" s="450"/>
      <c r="F76" s="411" t="s">
        <v>43</v>
      </c>
      <c r="G76" s="411"/>
      <c r="I76" s="411" t="s">
        <v>44</v>
      </c>
      <c r="J76" s="411"/>
      <c r="K76" s="411"/>
      <c r="L76" s="46"/>
      <c r="N76" s="71"/>
      <c r="O76" s="72" t="s">
        <v>46</v>
      </c>
      <c r="P76" s="72">
        <f>31-8</f>
        <v>23</v>
      </c>
      <c r="Q76" s="72">
        <v>8</v>
      </c>
      <c r="R76" s="72">
        <v>0</v>
      </c>
      <c r="S76" s="63"/>
      <c r="T76" s="72" t="s">
        <v>46</v>
      </c>
      <c r="U76" s="105">
        <f>IF($J$1="February","",Y75)</f>
        <v>0</v>
      </c>
      <c r="V76" s="74">
        <v>20000</v>
      </c>
      <c r="W76" s="105">
        <f t="shared" ref="W76:W85" si="14">IF(U76="","",U76+V76)</f>
        <v>20000</v>
      </c>
      <c r="X76" s="74"/>
      <c r="Y76" s="105">
        <f t="shared" ref="Y76:Y85" si="15">IF(W76="","",W76-X76)</f>
        <v>20000</v>
      </c>
      <c r="Z76" s="76"/>
    </row>
    <row r="77" spans="1:26" s="29" customFormat="1" ht="21" customHeight="1" x14ac:dyDescent="0.2">
      <c r="A77" s="30"/>
      <c r="H77" s="47"/>
      <c r="L77" s="34"/>
      <c r="N77" s="71"/>
      <c r="O77" s="72" t="s">
        <v>47</v>
      </c>
      <c r="P77" s="72">
        <v>30</v>
      </c>
      <c r="Q77" s="72">
        <v>0</v>
      </c>
      <c r="R77" s="72">
        <v>0</v>
      </c>
      <c r="S77" s="63"/>
      <c r="T77" s="72" t="s">
        <v>47</v>
      </c>
      <c r="U77" s="105">
        <f>IF($J$1="March","",Y76)</f>
        <v>20000</v>
      </c>
      <c r="V77" s="74"/>
      <c r="W77" s="105">
        <f t="shared" si="14"/>
        <v>20000</v>
      </c>
      <c r="X77" s="74"/>
      <c r="Y77" s="105">
        <f t="shared" si="15"/>
        <v>20000</v>
      </c>
      <c r="Z77" s="76"/>
    </row>
    <row r="78" spans="1:26" s="29" customFormat="1" ht="21" customHeight="1" x14ac:dyDescent="0.2">
      <c r="A78" s="30"/>
      <c r="B78" s="389" t="s">
        <v>42</v>
      </c>
      <c r="C78" s="390"/>
      <c r="F78" s="48" t="s">
        <v>64</v>
      </c>
      <c r="G78" s="43">
        <f>IF($J$1="January",U74,IF($J$1="February",U75,IF($J$1="March",U76,IF($J$1="April",U77,IF($J$1="May",U78,IF($J$1="June",U79,IF($J$1="July",U80,IF($J$1="August",U81,IF($J$1="August",U81,IF($J$1="September",U82,IF($J$1="October",U83,IF($J$1="November",U84,IF($J$1="December",U85)))))))))))))</f>
        <v>20000</v>
      </c>
      <c r="H78" s="47"/>
      <c r="I78" s="49">
        <f>IF(C82&gt;0,$K$2,C80)</f>
        <v>31</v>
      </c>
      <c r="J78" s="50" t="s">
        <v>61</v>
      </c>
      <c r="K78" s="51">
        <f>K74/$K$2*I78</f>
        <v>65000.000000000007</v>
      </c>
      <c r="L78" s="52"/>
      <c r="N78" s="71"/>
      <c r="O78" s="72" t="s">
        <v>48</v>
      </c>
      <c r="P78" s="72">
        <v>31</v>
      </c>
      <c r="Q78" s="72">
        <v>0</v>
      </c>
      <c r="R78" s="72">
        <v>0</v>
      </c>
      <c r="S78" s="63"/>
      <c r="T78" s="72" t="s">
        <v>48</v>
      </c>
      <c r="U78" s="105">
        <f>IF($J$1="April","",Y77)</f>
        <v>20000</v>
      </c>
      <c r="V78" s="74">
        <v>5000</v>
      </c>
      <c r="W78" s="105">
        <f t="shared" si="14"/>
        <v>25000</v>
      </c>
      <c r="X78" s="74">
        <v>5000</v>
      </c>
      <c r="Y78" s="105">
        <f t="shared" si="15"/>
        <v>20000</v>
      </c>
      <c r="Z78" s="76"/>
    </row>
    <row r="79" spans="1:26" s="29" customFormat="1" ht="21" customHeight="1" x14ac:dyDescent="0.2">
      <c r="A79" s="30"/>
      <c r="B79" s="39"/>
      <c r="C79" s="39"/>
      <c r="F79" s="48" t="s">
        <v>20</v>
      </c>
      <c r="G79" s="43">
        <f>IF($J$1="January",V74,IF($J$1="February",V75,IF($J$1="March",V76,IF($J$1="April",V77,IF($J$1="May",V78,IF($J$1="June",V79,IF($J$1="July",V80,IF($J$1="August",V81,IF($J$1="August",V81,IF($J$1="September",V82,IF($J$1="October",V83,IF($J$1="November",V84,IF($J$1="December",V85)))))))))))))</f>
        <v>5000</v>
      </c>
      <c r="H79" s="47"/>
      <c r="I79" s="84"/>
      <c r="J79" s="50" t="s">
        <v>62</v>
      </c>
      <c r="K79" s="53">
        <f>K74/$K$2/8*I79</f>
        <v>0</v>
      </c>
      <c r="L79" s="54"/>
      <c r="N79" s="71"/>
      <c r="O79" s="72" t="s">
        <v>49</v>
      </c>
      <c r="P79" s="72"/>
      <c r="Q79" s="72"/>
      <c r="R79" s="72" t="str">
        <f t="shared" ref="R79" si="16">IF(Q79="","",R78-Q79)</f>
        <v/>
      </c>
      <c r="S79" s="63"/>
      <c r="T79" s="72" t="s">
        <v>49</v>
      </c>
      <c r="U79" s="105" t="str">
        <f>IF($J$1="May","",Y78)</f>
        <v/>
      </c>
      <c r="V79" s="74"/>
      <c r="W79" s="105" t="str">
        <f t="shared" si="14"/>
        <v/>
      </c>
      <c r="X79" s="74"/>
      <c r="Y79" s="105" t="str">
        <f t="shared" si="15"/>
        <v/>
      </c>
      <c r="Z79" s="76"/>
    </row>
    <row r="80" spans="1:26" s="29" customFormat="1" ht="21" customHeight="1" x14ac:dyDescent="0.2">
      <c r="A80" s="30"/>
      <c r="B80" s="48" t="s">
        <v>7</v>
      </c>
      <c r="C80" s="39">
        <f>IF($J$1="January",P74,IF($J$1="February",P75,IF($J$1="March",P76,IF($J$1="April",P77,IF($J$1="May",P78,IF($J$1="June",P79,IF($J$1="July",P80,IF($J$1="August",P81,IF($J$1="August",P81,IF($J$1="September",P82,IF($J$1="October",P83,IF($J$1="November",P84,IF($J$1="December",P85)))))))))))))</f>
        <v>31</v>
      </c>
      <c r="F80" s="48" t="s">
        <v>65</v>
      </c>
      <c r="G80" s="43">
        <f>IF($J$1="January",W74,IF($J$1="February",W75,IF($J$1="March",W76,IF($J$1="April",W77,IF($J$1="May",W78,IF($J$1="June",W79,IF($J$1="July",W80,IF($J$1="August",W81,IF($J$1="August",W81,IF($J$1="September",W82,IF($J$1="October",W83,IF($J$1="November",W84,IF($J$1="December",W85)))))))))))))</f>
        <v>25000</v>
      </c>
      <c r="H80" s="47"/>
      <c r="I80" s="402" t="s">
        <v>69</v>
      </c>
      <c r="J80" s="403"/>
      <c r="K80" s="53">
        <f>K78+K79</f>
        <v>65000.000000000007</v>
      </c>
      <c r="L80" s="54"/>
      <c r="N80" s="71"/>
      <c r="O80" s="72" t="s">
        <v>50</v>
      </c>
      <c r="P80" s="72"/>
      <c r="Q80" s="72"/>
      <c r="R80" s="72"/>
      <c r="S80" s="63"/>
      <c r="T80" s="72" t="s">
        <v>50</v>
      </c>
      <c r="U80" s="105" t="str">
        <f>IF($J$1="June","",Y79)</f>
        <v/>
      </c>
      <c r="V80" s="74"/>
      <c r="W80" s="105" t="str">
        <f t="shared" si="14"/>
        <v/>
      </c>
      <c r="X80" s="74"/>
      <c r="Y80" s="105" t="str">
        <f t="shared" si="15"/>
        <v/>
      </c>
      <c r="Z80" s="76"/>
    </row>
    <row r="81" spans="1:27" s="29" customFormat="1" ht="21" customHeight="1" x14ac:dyDescent="0.2">
      <c r="A81" s="30"/>
      <c r="B81" s="48" t="s">
        <v>6</v>
      </c>
      <c r="C81" s="39">
        <f>IF($J$1="January",Q74,IF($J$1="February",Q75,IF($J$1="March",Q76,IF($J$1="April",Q77,IF($J$1="May",Q78,IF($J$1="June",Q79,IF($J$1="July",Q80,IF($J$1="August",Q81,IF($J$1="August",Q81,IF($J$1="September",Q82,IF($J$1="October",Q83,IF($J$1="November",Q84,IF($J$1="December",Q85)))))))))))))</f>
        <v>0</v>
      </c>
      <c r="F81" s="48" t="s">
        <v>21</v>
      </c>
      <c r="G81" s="43">
        <f>IF($J$1="January",X74,IF($J$1="February",X75,IF($J$1="March",X76,IF($J$1="April",X77,IF($J$1="May",X78,IF($J$1="June",X79,IF($J$1="July",X80,IF($J$1="August",X81,IF($J$1="August",X81,IF($J$1="September",X82,IF($J$1="October",X83,IF($J$1="November",X84,IF($J$1="December",X85)))))))))))))</f>
        <v>5000</v>
      </c>
      <c r="H81" s="47"/>
      <c r="I81" s="402" t="s">
        <v>70</v>
      </c>
      <c r="J81" s="403"/>
      <c r="K81" s="43">
        <f>G81</f>
        <v>5000</v>
      </c>
      <c r="L81" s="55"/>
      <c r="N81" s="71"/>
      <c r="O81" s="72" t="s">
        <v>51</v>
      </c>
      <c r="P81" s="72"/>
      <c r="Q81" s="72"/>
      <c r="R81" s="72">
        <v>0</v>
      </c>
      <c r="S81" s="63"/>
      <c r="T81" s="72" t="s">
        <v>51</v>
      </c>
      <c r="U81" s="105" t="str">
        <f>IF($J$1="July","",Y80)</f>
        <v/>
      </c>
      <c r="V81" s="74"/>
      <c r="W81" s="105" t="str">
        <f t="shared" si="14"/>
        <v/>
      </c>
      <c r="X81" s="74"/>
      <c r="Y81" s="105" t="str">
        <f t="shared" si="15"/>
        <v/>
      </c>
      <c r="Z81" s="76"/>
    </row>
    <row r="82" spans="1:27" s="29" customFormat="1" ht="21" customHeight="1" x14ac:dyDescent="0.2">
      <c r="A82" s="30"/>
      <c r="B82" s="56" t="s">
        <v>68</v>
      </c>
      <c r="C82" s="39">
        <f>IF($J$1="January",R74,IF($J$1="February",R75,IF($J$1="March",R76,IF($J$1="April",R77,IF($J$1="May",R78,IF($J$1="June",R79,IF($J$1="July",R80,IF($J$1="August",R81,IF($J$1="August",R81,IF($J$1="September",R82,IF($J$1="October",R83,IF($J$1="November",R84,IF($J$1="December",R85)))))))))))))</f>
        <v>0</v>
      </c>
      <c r="F82" s="48" t="s">
        <v>67</v>
      </c>
      <c r="G82" s="43">
        <f>IF($J$1="January",Y74,IF($J$1="February",Y75,IF($J$1="March",Y76,IF($J$1="April",Y77,IF($J$1="May",Y78,IF($J$1="June",Y79,IF($J$1="July",Y80,IF($J$1="August",Y81,IF($J$1="August",Y81,IF($J$1="September",Y82,IF($J$1="October",Y83,IF($J$1="November",Y84,IF($J$1="December",Y85)))))))))))))</f>
        <v>20000</v>
      </c>
      <c r="I82" s="391" t="s">
        <v>63</v>
      </c>
      <c r="J82" s="393"/>
      <c r="K82" s="57">
        <f>K80-K81</f>
        <v>60000.000000000007</v>
      </c>
      <c r="L82" s="58"/>
      <c r="N82" s="71"/>
      <c r="O82" s="72" t="s">
        <v>56</v>
      </c>
      <c r="P82" s="72"/>
      <c r="Q82" s="72"/>
      <c r="R82" s="72">
        <v>0</v>
      </c>
      <c r="S82" s="63"/>
      <c r="T82" s="72" t="s">
        <v>56</v>
      </c>
      <c r="U82" s="105" t="str">
        <f>IF($J$1="August","",Y81)</f>
        <v/>
      </c>
      <c r="V82" s="74"/>
      <c r="W82" s="105" t="str">
        <f t="shared" si="14"/>
        <v/>
      </c>
      <c r="X82" s="74"/>
      <c r="Y82" s="105" t="str">
        <f t="shared" si="15"/>
        <v/>
      </c>
      <c r="Z82" s="76"/>
    </row>
    <row r="83" spans="1:27" s="29" customFormat="1" ht="21" customHeight="1" x14ac:dyDescent="0.2">
      <c r="A83" s="30"/>
      <c r="L83" s="46"/>
      <c r="N83" s="71"/>
      <c r="O83" s="72" t="s">
        <v>52</v>
      </c>
      <c r="P83" s="72"/>
      <c r="Q83" s="72"/>
      <c r="R83" s="72">
        <v>0</v>
      </c>
      <c r="S83" s="63"/>
      <c r="T83" s="72" t="s">
        <v>52</v>
      </c>
      <c r="U83" s="105" t="str">
        <f>IF($J$1="September","",Y82)</f>
        <v/>
      </c>
      <c r="V83" s="74"/>
      <c r="W83" s="105" t="str">
        <f t="shared" si="14"/>
        <v/>
      </c>
      <c r="X83" s="74"/>
      <c r="Y83" s="105" t="str">
        <f t="shared" si="15"/>
        <v/>
      </c>
      <c r="Z83" s="76"/>
    </row>
    <row r="84" spans="1:27" s="29" customFormat="1" ht="21" customHeight="1" x14ac:dyDescent="0.2">
      <c r="A84" s="30"/>
      <c r="B84" s="404" t="s">
        <v>85</v>
      </c>
      <c r="C84" s="404"/>
      <c r="D84" s="404"/>
      <c r="E84" s="404"/>
      <c r="F84" s="404"/>
      <c r="G84" s="404"/>
      <c r="H84" s="404"/>
      <c r="I84" s="404"/>
      <c r="J84" s="404"/>
      <c r="K84" s="404"/>
      <c r="L84" s="46"/>
      <c r="N84" s="71"/>
      <c r="O84" s="72" t="s">
        <v>57</v>
      </c>
      <c r="P84" s="72"/>
      <c r="Q84" s="72"/>
      <c r="R84" s="72">
        <v>0</v>
      </c>
      <c r="S84" s="63"/>
      <c r="T84" s="72" t="s">
        <v>57</v>
      </c>
      <c r="U84" s="105" t="str">
        <f>Y83</f>
        <v/>
      </c>
      <c r="V84" s="74"/>
      <c r="W84" s="105" t="str">
        <f t="shared" si="14"/>
        <v/>
      </c>
      <c r="X84" s="74"/>
      <c r="Y84" s="105" t="str">
        <f t="shared" si="15"/>
        <v/>
      </c>
      <c r="Z84" s="76"/>
    </row>
    <row r="85" spans="1:27" s="29" customFormat="1" ht="21" customHeight="1" x14ac:dyDescent="0.2">
      <c r="A85" s="30"/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6"/>
      <c r="N85" s="71"/>
      <c r="O85" s="72" t="s">
        <v>58</v>
      </c>
      <c r="P85" s="72"/>
      <c r="Q85" s="72"/>
      <c r="R85" s="72">
        <v>0</v>
      </c>
      <c r="S85" s="63"/>
      <c r="T85" s="72" t="s">
        <v>58</v>
      </c>
      <c r="U85" s="105">
        <v>0</v>
      </c>
      <c r="V85" s="74"/>
      <c r="W85" s="105">
        <f t="shared" si="14"/>
        <v>0</v>
      </c>
      <c r="X85" s="74"/>
      <c r="Y85" s="105">
        <f t="shared" si="15"/>
        <v>0</v>
      </c>
      <c r="Z85" s="76"/>
    </row>
    <row r="86" spans="1:27" s="29" customFormat="1" ht="21" customHeight="1" thickBot="1" x14ac:dyDescent="0.25">
      <c r="A86" s="30"/>
      <c r="L86" s="46"/>
      <c r="N86" s="77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9"/>
    </row>
    <row r="87" spans="1:27" s="29" customFormat="1" ht="21" customHeight="1" thickBot="1" x14ac:dyDescent="0.25">
      <c r="N87" s="71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85"/>
    </row>
    <row r="88" spans="1:27" s="29" customFormat="1" ht="21" customHeight="1" x14ac:dyDescent="0.2">
      <c r="A88" s="408" t="s">
        <v>40</v>
      </c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10"/>
      <c r="M88" s="28"/>
      <c r="N88" s="64"/>
      <c r="O88" s="405" t="s">
        <v>42</v>
      </c>
      <c r="P88" s="406"/>
      <c r="Q88" s="406"/>
      <c r="R88" s="407"/>
      <c r="S88" s="65"/>
      <c r="T88" s="405" t="s">
        <v>43</v>
      </c>
      <c r="U88" s="406"/>
      <c r="V88" s="406"/>
      <c r="W88" s="406"/>
      <c r="X88" s="406"/>
      <c r="Y88" s="407"/>
      <c r="Z88" s="66"/>
      <c r="AA88" s="28"/>
    </row>
    <row r="89" spans="1:27" s="29" customFormat="1" ht="21" customHeight="1" x14ac:dyDescent="0.2">
      <c r="A89" s="30"/>
      <c r="C89" s="395" t="s">
        <v>83</v>
      </c>
      <c r="D89" s="395"/>
      <c r="E89" s="395"/>
      <c r="F89" s="395"/>
      <c r="G89" s="31" t="str">
        <f>$J$1</f>
        <v>May</v>
      </c>
      <c r="H89" s="394">
        <f>$K$1</f>
        <v>2023</v>
      </c>
      <c r="I89" s="394"/>
      <c r="K89" s="32"/>
      <c r="L89" s="33"/>
      <c r="M89" s="32"/>
      <c r="N89" s="67"/>
      <c r="O89" s="68" t="s">
        <v>53</v>
      </c>
      <c r="P89" s="68" t="s">
        <v>7</v>
      </c>
      <c r="Q89" s="68" t="s">
        <v>6</v>
      </c>
      <c r="R89" s="68" t="s">
        <v>54</v>
      </c>
      <c r="S89" s="69"/>
      <c r="T89" s="68" t="s">
        <v>53</v>
      </c>
      <c r="U89" s="68" t="s">
        <v>55</v>
      </c>
      <c r="V89" s="68" t="s">
        <v>20</v>
      </c>
      <c r="W89" s="68" t="s">
        <v>19</v>
      </c>
      <c r="X89" s="68" t="s">
        <v>21</v>
      </c>
      <c r="Y89" s="68" t="s">
        <v>59</v>
      </c>
      <c r="Z89" s="70"/>
      <c r="AA89" s="32"/>
    </row>
    <row r="90" spans="1:27" s="29" customFormat="1" ht="21" customHeight="1" x14ac:dyDescent="0.2">
      <c r="A90" s="30"/>
      <c r="D90" s="35"/>
      <c r="E90" s="35"/>
      <c r="F90" s="35"/>
      <c r="G90" s="35"/>
      <c r="H90" s="35"/>
      <c r="J90" s="36" t="s">
        <v>1</v>
      </c>
      <c r="K90" s="37">
        <f>45000+5000</f>
        <v>50000</v>
      </c>
      <c r="L90" s="38"/>
      <c r="N90" s="71"/>
      <c r="O90" s="72" t="s">
        <v>45</v>
      </c>
      <c r="P90" s="72">
        <v>31</v>
      </c>
      <c r="Q90" s="72">
        <v>0</v>
      </c>
      <c r="R90" s="72">
        <f>15-Q90</f>
        <v>15</v>
      </c>
      <c r="S90" s="73"/>
      <c r="T90" s="72" t="s">
        <v>45</v>
      </c>
      <c r="U90" s="74">
        <v>5000</v>
      </c>
      <c r="V90" s="74"/>
      <c r="W90" s="74">
        <f>V90+U90</f>
        <v>5000</v>
      </c>
      <c r="X90" s="74">
        <v>5000</v>
      </c>
      <c r="Y90" s="74">
        <f>W90-X90</f>
        <v>0</v>
      </c>
      <c r="Z90" s="70"/>
    </row>
    <row r="91" spans="1:27" s="29" customFormat="1" ht="21" customHeight="1" x14ac:dyDescent="0.2">
      <c r="A91" s="30"/>
      <c r="B91" s="29" t="s">
        <v>0</v>
      </c>
      <c r="C91" s="40" t="s">
        <v>75</v>
      </c>
      <c r="H91" s="41"/>
      <c r="I91" s="35"/>
      <c r="L91" s="42"/>
      <c r="M91" s="28"/>
      <c r="N91" s="75"/>
      <c r="O91" s="72" t="s">
        <v>71</v>
      </c>
      <c r="P91" s="72">
        <v>27</v>
      </c>
      <c r="Q91" s="72">
        <v>1</v>
      </c>
      <c r="R91" s="72">
        <f t="shared" ref="R91:R101" si="17">IF(Q91="","",R90-Q91)</f>
        <v>14</v>
      </c>
      <c r="S91" s="63"/>
      <c r="T91" s="72" t="s">
        <v>71</v>
      </c>
      <c r="U91" s="105">
        <f>Y90</f>
        <v>0</v>
      </c>
      <c r="V91" s="74">
        <v>10000</v>
      </c>
      <c r="W91" s="105">
        <f>IF(U91="","",U91+V91)</f>
        <v>10000</v>
      </c>
      <c r="X91" s="74">
        <v>10000</v>
      </c>
      <c r="Y91" s="105">
        <f>IF(W91="","",W91-X91)</f>
        <v>0</v>
      </c>
      <c r="Z91" s="76"/>
      <c r="AA91" s="28"/>
    </row>
    <row r="92" spans="1:27" s="29" customFormat="1" ht="21" customHeight="1" x14ac:dyDescent="0.2">
      <c r="A92" s="30"/>
      <c r="B92" s="44" t="s">
        <v>41</v>
      </c>
      <c r="C92" s="45"/>
      <c r="F92" s="411" t="s">
        <v>43</v>
      </c>
      <c r="G92" s="411"/>
      <c r="I92" s="411" t="s">
        <v>44</v>
      </c>
      <c r="J92" s="411"/>
      <c r="K92" s="411"/>
      <c r="L92" s="46"/>
      <c r="N92" s="71"/>
      <c r="O92" s="72" t="s">
        <v>46</v>
      </c>
      <c r="P92" s="72">
        <v>30</v>
      </c>
      <c r="Q92" s="72">
        <v>1</v>
      </c>
      <c r="R92" s="72">
        <f t="shared" si="17"/>
        <v>13</v>
      </c>
      <c r="S92" s="63"/>
      <c r="T92" s="72" t="s">
        <v>46</v>
      </c>
      <c r="U92" s="105">
        <f>Y91</f>
        <v>0</v>
      </c>
      <c r="V92" s="74">
        <v>6000</v>
      </c>
      <c r="W92" s="105">
        <f t="shared" ref="W92:W101" si="18">IF(U92="","",U92+V92)</f>
        <v>6000</v>
      </c>
      <c r="X92" s="74"/>
      <c r="Y92" s="105">
        <f t="shared" ref="Y92:Y101" si="19">IF(W92="","",W92-X92)</f>
        <v>6000</v>
      </c>
      <c r="Z92" s="76"/>
    </row>
    <row r="93" spans="1:27" s="29" customFormat="1" ht="21" customHeight="1" x14ac:dyDescent="0.2">
      <c r="A93" s="30"/>
      <c r="H93" s="47"/>
      <c r="L93" s="34"/>
      <c r="N93" s="71"/>
      <c r="O93" s="72" t="s">
        <v>47</v>
      </c>
      <c r="P93" s="72">
        <v>30</v>
      </c>
      <c r="Q93" s="72">
        <v>0</v>
      </c>
      <c r="R93" s="72">
        <f t="shared" si="17"/>
        <v>13</v>
      </c>
      <c r="S93" s="63"/>
      <c r="T93" s="72" t="s">
        <v>47</v>
      </c>
      <c r="U93" s="105">
        <f>Y92</f>
        <v>6000</v>
      </c>
      <c r="V93" s="74"/>
      <c r="W93" s="105">
        <f t="shared" si="18"/>
        <v>6000</v>
      </c>
      <c r="X93" s="74">
        <v>6000</v>
      </c>
      <c r="Y93" s="105">
        <f t="shared" si="19"/>
        <v>0</v>
      </c>
      <c r="Z93" s="76"/>
    </row>
    <row r="94" spans="1:27" s="29" customFormat="1" ht="21" customHeight="1" x14ac:dyDescent="0.2">
      <c r="A94" s="30"/>
      <c r="B94" s="389" t="s">
        <v>42</v>
      </c>
      <c r="C94" s="390"/>
      <c r="F94" s="48" t="s">
        <v>64</v>
      </c>
      <c r="G94" s="93">
        <f>IF($J$1="January",U90,IF($J$1="February",U91,IF($J$1="March",U92,IF($J$1="April",U93,IF($J$1="May",U94,IF($J$1="June",U95,IF($J$1="July",U96,IF($J$1="August",U97,IF($J$1="August",U97,IF($J$1="September",U98,IF($J$1="October",U99,IF($J$1="November",U100,IF($J$1="December",U101)))))))))))))</f>
        <v>0</v>
      </c>
      <c r="H94" s="47"/>
      <c r="I94" s="49">
        <f>IF(C98&gt;0,$K$2,C96)</f>
        <v>31</v>
      </c>
      <c r="J94" s="50" t="s">
        <v>61</v>
      </c>
      <c r="K94" s="51">
        <f>K90/$K$2*I94</f>
        <v>50000</v>
      </c>
      <c r="L94" s="52"/>
      <c r="N94" s="71"/>
      <c r="O94" s="72" t="s">
        <v>48</v>
      </c>
      <c r="P94" s="72">
        <v>31</v>
      </c>
      <c r="Q94" s="72">
        <v>0</v>
      </c>
      <c r="R94" s="72">
        <f t="shared" si="17"/>
        <v>13</v>
      </c>
      <c r="S94" s="63"/>
      <c r="T94" s="72" t="s">
        <v>48</v>
      </c>
      <c r="U94" s="105">
        <f>Y93</f>
        <v>0</v>
      </c>
      <c r="V94" s="74">
        <v>10000</v>
      </c>
      <c r="W94" s="105">
        <f t="shared" si="18"/>
        <v>10000</v>
      </c>
      <c r="X94" s="74">
        <v>10000</v>
      </c>
      <c r="Y94" s="105">
        <f t="shared" si="19"/>
        <v>0</v>
      </c>
      <c r="Z94" s="76"/>
    </row>
    <row r="95" spans="1:27" s="29" customFormat="1" ht="21" customHeight="1" x14ac:dyDescent="0.2">
      <c r="A95" s="30"/>
      <c r="B95" s="39"/>
      <c r="C95" s="39"/>
      <c r="F95" s="48" t="s">
        <v>20</v>
      </c>
      <c r="G95" s="93">
        <f>IF($J$1="January",V90,IF($J$1="February",V91,IF($J$1="March",V92,IF($J$1="April",V93,IF($J$1="May",V94,IF($J$1="June",V95,IF($J$1="July",V96,IF($J$1="August",V97,IF($J$1="August",V97,IF($J$1="September",V98,IF($J$1="October",V99,IF($J$1="November",V100,IF($J$1="December",V101)))))))))))))</f>
        <v>10000</v>
      </c>
      <c r="H95" s="47"/>
      <c r="I95" s="84">
        <v>101</v>
      </c>
      <c r="J95" s="50" t="s">
        <v>62</v>
      </c>
      <c r="K95" s="53">
        <f>K90/$K$2/8*I95</f>
        <v>20362.903225806454</v>
      </c>
      <c r="L95" s="54"/>
      <c r="N95" s="71"/>
      <c r="O95" s="72" t="s">
        <v>49</v>
      </c>
      <c r="P95" s="72"/>
      <c r="Q95" s="72"/>
      <c r="R95" s="72" t="str">
        <f t="shared" si="17"/>
        <v/>
      </c>
      <c r="S95" s="63"/>
      <c r="T95" s="72" t="s">
        <v>49</v>
      </c>
      <c r="U95" s="105"/>
      <c r="V95" s="74"/>
      <c r="W95" s="105" t="str">
        <f t="shared" si="18"/>
        <v/>
      </c>
      <c r="X95" s="74"/>
      <c r="Y95" s="105" t="str">
        <f t="shared" si="19"/>
        <v/>
      </c>
      <c r="Z95" s="76"/>
    </row>
    <row r="96" spans="1:27" s="29" customFormat="1" ht="21" customHeight="1" x14ac:dyDescent="0.2">
      <c r="A96" s="30"/>
      <c r="B96" s="48" t="s">
        <v>7</v>
      </c>
      <c r="C96" s="39">
        <f>IF($J$1="January",P90,IF($J$1="February",P91,IF($J$1="March",P92,IF($J$1="April",P93,IF($J$1="May",P94,IF($J$1="June",P95,IF($J$1="July",P96,IF($J$1="August",P97,IF($J$1="August",P97,IF($J$1="September",P98,IF($J$1="October",P99,IF($J$1="November",P100,IF($J$1="December",P101)))))))))))))</f>
        <v>31</v>
      </c>
      <c r="F96" s="48" t="s">
        <v>65</v>
      </c>
      <c r="G96" s="93">
        <f>IF($J$1="January",W90,IF($J$1="February",W91,IF($J$1="March",W92,IF($J$1="April",W93,IF($J$1="May",W94,IF($J$1="June",W95,IF($J$1="July",W96,IF($J$1="August",W97,IF($J$1="August",W97,IF($J$1="September",W98,IF($J$1="October",W99,IF($J$1="November",W100,IF($J$1="December",W101)))))))))))))</f>
        <v>10000</v>
      </c>
      <c r="H96" s="47"/>
      <c r="I96" s="402" t="s">
        <v>69</v>
      </c>
      <c r="J96" s="403"/>
      <c r="K96" s="53">
        <f>K94+K95</f>
        <v>70362.903225806454</v>
      </c>
      <c r="L96" s="54"/>
      <c r="N96" s="71"/>
      <c r="O96" s="72" t="s">
        <v>50</v>
      </c>
      <c r="P96" s="72"/>
      <c r="Q96" s="72"/>
      <c r="R96" s="72" t="str">
        <f t="shared" si="17"/>
        <v/>
      </c>
      <c r="S96" s="63"/>
      <c r="T96" s="72" t="s">
        <v>50</v>
      </c>
      <c r="U96" s="105"/>
      <c r="V96" s="74"/>
      <c r="W96" s="105" t="str">
        <f t="shared" si="18"/>
        <v/>
      </c>
      <c r="X96" s="74"/>
      <c r="Y96" s="105" t="str">
        <f t="shared" si="19"/>
        <v/>
      </c>
      <c r="Z96" s="76"/>
    </row>
    <row r="97" spans="1:26" s="29" customFormat="1" ht="21" customHeight="1" x14ac:dyDescent="0.2">
      <c r="A97" s="30"/>
      <c r="B97" s="48" t="s">
        <v>6</v>
      </c>
      <c r="C97" s="39">
        <f>IF($J$1="January",Q90,IF($J$1="February",Q91,IF($J$1="March",Q92,IF($J$1="April",Q93,IF($J$1="May",Q94,IF($J$1="June",Q95,IF($J$1="July",Q96,IF($J$1="August",Q97,IF($J$1="August",Q97,IF($J$1="September",Q98,IF($J$1="October",Q99,IF($J$1="November",Q100,IF($J$1="December",Q101)))))))))))))</f>
        <v>0</v>
      </c>
      <c r="F97" s="48" t="s">
        <v>21</v>
      </c>
      <c r="G97" s="93">
        <f>IF($J$1="January",X90,IF($J$1="February",X91,IF($J$1="March",X92,IF($J$1="April",X93,IF($J$1="May",X94,IF($J$1="June",X95,IF($J$1="July",X96,IF($J$1="August",X97,IF($J$1="August",X97,IF($J$1="September",X98,IF($J$1="October",X99,IF($J$1="November",X100,IF($J$1="December",X101)))))))))))))</f>
        <v>10000</v>
      </c>
      <c r="H97" s="47"/>
      <c r="I97" s="402" t="s">
        <v>70</v>
      </c>
      <c r="J97" s="403"/>
      <c r="K97" s="43">
        <f>G97</f>
        <v>10000</v>
      </c>
      <c r="L97" s="55"/>
      <c r="N97" s="71"/>
      <c r="O97" s="72" t="s">
        <v>51</v>
      </c>
      <c r="P97" s="72"/>
      <c r="Q97" s="72"/>
      <c r="R97" s="72" t="str">
        <f t="shared" si="17"/>
        <v/>
      </c>
      <c r="S97" s="63"/>
      <c r="T97" s="72" t="s">
        <v>51</v>
      </c>
      <c r="U97" s="105"/>
      <c r="V97" s="74"/>
      <c r="W97" s="105" t="str">
        <f t="shared" si="18"/>
        <v/>
      </c>
      <c r="X97" s="74"/>
      <c r="Y97" s="105" t="str">
        <f t="shared" si="19"/>
        <v/>
      </c>
      <c r="Z97" s="76"/>
    </row>
    <row r="98" spans="1:26" s="29" customFormat="1" ht="21" customHeight="1" x14ac:dyDescent="0.2">
      <c r="A98" s="30"/>
      <c r="B98" s="56" t="s">
        <v>68</v>
      </c>
      <c r="C98" s="39">
        <f>IF($J$1="January",R90,IF($J$1="February",R91,IF($J$1="March",R92,IF($J$1="April",R93,IF($J$1="May",R94,IF($J$1="June",R95,IF($J$1="July",R96,IF($J$1="August",R97,IF($J$1="August",R97,IF($J$1="September",R98,IF($J$1="October",R99,IF($J$1="November",R100,IF($J$1="December",R101)))))))))))))</f>
        <v>13</v>
      </c>
      <c r="F98" s="48" t="s">
        <v>67</v>
      </c>
      <c r="G98" s="93">
        <f>IF($J$1="January",Y90,IF($J$1="February",Y91,IF($J$1="March",Y92,IF($J$1="April",Y93,IF($J$1="May",Y94,IF($J$1="June",Y95,IF($J$1="July",Y96,IF($J$1="August",Y97,IF($J$1="August",Y97,IF($J$1="September",Y98,IF($J$1="October",Y99,IF($J$1="November",Y100,IF($J$1="December",Y101)))))))))))))</f>
        <v>0</v>
      </c>
      <c r="I98" s="391" t="s">
        <v>63</v>
      </c>
      <c r="J98" s="393"/>
      <c r="K98" s="57">
        <f>K96-K97</f>
        <v>60362.903225806454</v>
      </c>
      <c r="L98" s="58"/>
      <c r="N98" s="71"/>
      <c r="O98" s="72" t="s">
        <v>56</v>
      </c>
      <c r="P98" s="72"/>
      <c r="Q98" s="72"/>
      <c r="R98" s="72" t="str">
        <f t="shared" si="17"/>
        <v/>
      </c>
      <c r="S98" s="63"/>
      <c r="T98" s="72" t="s">
        <v>56</v>
      </c>
      <c r="U98" s="105"/>
      <c r="V98" s="74"/>
      <c r="W98" s="105" t="str">
        <f t="shared" si="18"/>
        <v/>
      </c>
      <c r="X98" s="74"/>
      <c r="Y98" s="105" t="str">
        <f t="shared" si="19"/>
        <v/>
      </c>
      <c r="Z98" s="76"/>
    </row>
    <row r="99" spans="1:26" s="29" customFormat="1" ht="21" customHeight="1" x14ac:dyDescent="0.2">
      <c r="A99" s="30"/>
      <c r="K99" s="107"/>
      <c r="L99" s="46"/>
      <c r="N99" s="71"/>
      <c r="O99" s="72" t="s">
        <v>52</v>
      </c>
      <c r="P99" s="72"/>
      <c r="Q99" s="72"/>
      <c r="R99" s="72" t="str">
        <f t="shared" si="17"/>
        <v/>
      </c>
      <c r="S99" s="63"/>
      <c r="T99" s="72" t="s">
        <v>52</v>
      </c>
      <c r="U99" s="105"/>
      <c r="V99" s="74"/>
      <c r="W99" s="105" t="str">
        <f t="shared" si="18"/>
        <v/>
      </c>
      <c r="X99" s="74"/>
      <c r="Y99" s="105" t="str">
        <f t="shared" si="19"/>
        <v/>
      </c>
      <c r="Z99" s="76"/>
    </row>
    <row r="100" spans="1:26" s="29" customFormat="1" ht="21" customHeight="1" x14ac:dyDescent="0.2">
      <c r="A100" s="30"/>
      <c r="B100" s="404" t="s">
        <v>85</v>
      </c>
      <c r="C100" s="404"/>
      <c r="D100" s="404"/>
      <c r="E100" s="404"/>
      <c r="F100" s="404"/>
      <c r="G100" s="404"/>
      <c r="H100" s="404"/>
      <c r="I100" s="404"/>
      <c r="J100" s="404"/>
      <c r="K100" s="404"/>
      <c r="L100" s="46"/>
      <c r="N100" s="71"/>
      <c r="O100" s="72" t="s">
        <v>57</v>
      </c>
      <c r="P100" s="72"/>
      <c r="Q100" s="72"/>
      <c r="R100" s="72" t="str">
        <f t="shared" si="17"/>
        <v/>
      </c>
      <c r="S100" s="63"/>
      <c r="T100" s="72" t="s">
        <v>57</v>
      </c>
      <c r="U100" s="105"/>
      <c r="V100" s="74"/>
      <c r="W100" s="105" t="str">
        <f t="shared" si="18"/>
        <v/>
      </c>
      <c r="X100" s="74"/>
      <c r="Y100" s="105" t="str">
        <f t="shared" si="19"/>
        <v/>
      </c>
      <c r="Z100" s="76"/>
    </row>
    <row r="101" spans="1:26" s="29" customFormat="1" ht="21" customHeight="1" x14ac:dyDescent="0.2">
      <c r="A101" s="30"/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6"/>
      <c r="N101" s="71"/>
      <c r="O101" s="72" t="s">
        <v>58</v>
      </c>
      <c r="P101" s="72"/>
      <c r="Q101" s="72"/>
      <c r="R101" s="72" t="str">
        <f t="shared" si="17"/>
        <v/>
      </c>
      <c r="S101" s="63"/>
      <c r="T101" s="72" t="s">
        <v>58</v>
      </c>
      <c r="U101" s="105"/>
      <c r="V101" s="74"/>
      <c r="W101" s="105" t="str">
        <f t="shared" si="18"/>
        <v/>
      </c>
      <c r="X101" s="74"/>
      <c r="Y101" s="105" t="str">
        <f t="shared" si="19"/>
        <v/>
      </c>
      <c r="Z101" s="76"/>
    </row>
    <row r="102" spans="1:26" s="29" customFormat="1" ht="21" customHeight="1" thickBot="1" x14ac:dyDescent="0.25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1"/>
      <c r="N102" s="77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9"/>
    </row>
    <row r="103" spans="1:26" ht="15.75" thickBot="1" x14ac:dyDescent="0.3"/>
    <row r="104" spans="1:26" s="29" customFormat="1" ht="21" customHeight="1" x14ac:dyDescent="0.2">
      <c r="A104" s="412" t="s">
        <v>40</v>
      </c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4"/>
      <c r="M104" s="28"/>
      <c r="N104" s="64"/>
      <c r="O104" s="405" t="s">
        <v>42</v>
      </c>
      <c r="P104" s="406"/>
      <c r="Q104" s="406"/>
      <c r="R104" s="407"/>
      <c r="S104" s="65"/>
      <c r="T104" s="405" t="s">
        <v>43</v>
      </c>
      <c r="U104" s="406"/>
      <c r="V104" s="406"/>
      <c r="W104" s="406"/>
      <c r="X104" s="406"/>
      <c r="Y104" s="407"/>
      <c r="Z104" s="63"/>
    </row>
    <row r="105" spans="1:26" s="29" customFormat="1" ht="21" customHeight="1" x14ac:dyDescent="0.2">
      <c r="A105" s="30"/>
      <c r="C105" s="395" t="s">
        <v>83</v>
      </c>
      <c r="D105" s="395"/>
      <c r="E105" s="395"/>
      <c r="F105" s="395"/>
      <c r="G105" s="31" t="str">
        <f>$J$1</f>
        <v>May</v>
      </c>
      <c r="H105" s="394">
        <f>$K$1</f>
        <v>2023</v>
      </c>
      <c r="I105" s="394"/>
      <c r="K105" s="32"/>
      <c r="L105" s="33"/>
      <c r="M105" s="32"/>
      <c r="N105" s="67"/>
      <c r="O105" s="68" t="s">
        <v>53</v>
      </c>
      <c r="P105" s="68" t="s">
        <v>7</v>
      </c>
      <c r="Q105" s="68" t="s">
        <v>6</v>
      </c>
      <c r="R105" s="68" t="s">
        <v>54</v>
      </c>
      <c r="S105" s="69"/>
      <c r="T105" s="68" t="s">
        <v>53</v>
      </c>
      <c r="U105" s="68" t="s">
        <v>55</v>
      </c>
      <c r="V105" s="68" t="s">
        <v>20</v>
      </c>
      <c r="W105" s="68" t="s">
        <v>19</v>
      </c>
      <c r="X105" s="68" t="s">
        <v>21</v>
      </c>
      <c r="Y105" s="68" t="s">
        <v>59</v>
      </c>
      <c r="Z105" s="63"/>
    </row>
    <row r="106" spans="1:26" s="29" customFormat="1" ht="21" customHeight="1" x14ac:dyDescent="0.2">
      <c r="A106" s="30"/>
      <c r="D106" s="35"/>
      <c r="E106" s="35"/>
      <c r="F106" s="35"/>
      <c r="G106" s="35"/>
      <c r="H106" s="35"/>
      <c r="J106" s="36" t="s">
        <v>1</v>
      </c>
      <c r="K106" s="37">
        <v>65000</v>
      </c>
      <c r="L106" s="38"/>
      <c r="N106" s="71"/>
      <c r="O106" s="72" t="s">
        <v>45</v>
      </c>
      <c r="P106" s="72">
        <v>31</v>
      </c>
      <c r="Q106" s="72">
        <v>0</v>
      </c>
      <c r="R106" s="72"/>
      <c r="S106" s="73"/>
      <c r="T106" s="72" t="s">
        <v>45</v>
      </c>
      <c r="U106" s="74"/>
      <c r="V106" s="74"/>
      <c r="W106" s="74">
        <f>V106+U106</f>
        <v>0</v>
      </c>
      <c r="X106" s="74"/>
      <c r="Y106" s="74">
        <f>W106-X106</f>
        <v>0</v>
      </c>
      <c r="Z106" s="63"/>
    </row>
    <row r="107" spans="1:26" s="29" customFormat="1" ht="21" customHeight="1" x14ac:dyDescent="0.2">
      <c r="A107" s="30"/>
      <c r="B107" s="29" t="s">
        <v>0</v>
      </c>
      <c r="C107" s="40" t="s">
        <v>187</v>
      </c>
      <c r="H107" s="41"/>
      <c r="I107" s="35"/>
      <c r="L107" s="42"/>
      <c r="M107" s="28"/>
      <c r="N107" s="75"/>
      <c r="O107" s="72" t="s">
        <v>71</v>
      </c>
      <c r="P107" s="72">
        <v>28</v>
      </c>
      <c r="Q107" s="72">
        <v>0</v>
      </c>
      <c r="R107" s="72"/>
      <c r="S107" s="63"/>
      <c r="T107" s="72" t="s">
        <v>71</v>
      </c>
      <c r="U107" s="105">
        <f>IF($J$1="January","",Y106)</f>
        <v>0</v>
      </c>
      <c r="V107" s="74"/>
      <c r="W107" s="105">
        <f>IF(U107="","",U107+V107)</f>
        <v>0</v>
      </c>
      <c r="X107" s="74"/>
      <c r="Y107" s="105">
        <f>IF(W107="","",W107-X107)</f>
        <v>0</v>
      </c>
      <c r="Z107" s="63"/>
    </row>
    <row r="108" spans="1:26" s="29" customFormat="1" ht="21" customHeight="1" x14ac:dyDescent="0.2">
      <c r="A108" s="30"/>
      <c r="B108" s="44" t="s">
        <v>41</v>
      </c>
      <c r="C108" s="62"/>
      <c r="F108" s="411" t="s">
        <v>43</v>
      </c>
      <c r="G108" s="411"/>
      <c r="I108" s="411" t="s">
        <v>44</v>
      </c>
      <c r="J108" s="411"/>
      <c r="K108" s="411"/>
      <c r="L108" s="46"/>
      <c r="N108" s="71"/>
      <c r="O108" s="72" t="s">
        <v>46</v>
      </c>
      <c r="P108" s="72"/>
      <c r="Q108" s="72"/>
      <c r="R108" s="72" t="str">
        <f t="shared" ref="R108:R117" si="20">IF(Q108="","",R107-Q108)</f>
        <v/>
      </c>
      <c r="S108" s="63"/>
      <c r="T108" s="72" t="s">
        <v>46</v>
      </c>
      <c r="U108" s="105">
        <f>IF($J$1="February","",Y107)</f>
        <v>0</v>
      </c>
      <c r="V108" s="74"/>
      <c r="W108" s="105">
        <f t="shared" ref="W108:W117" si="21">IF(U108="","",U108+V108)</f>
        <v>0</v>
      </c>
      <c r="X108" s="74"/>
      <c r="Y108" s="105">
        <f t="shared" ref="Y108:Y117" si="22">IF(W108="","",W108-X108)</f>
        <v>0</v>
      </c>
      <c r="Z108" s="63"/>
    </row>
    <row r="109" spans="1:26" s="29" customFormat="1" ht="21" customHeight="1" x14ac:dyDescent="0.2">
      <c r="A109" s="30"/>
      <c r="H109" s="47"/>
      <c r="L109" s="34"/>
      <c r="N109" s="71"/>
      <c r="O109" s="72" t="s">
        <v>47</v>
      </c>
      <c r="P109" s="72">
        <v>20</v>
      </c>
      <c r="Q109" s="72">
        <v>10</v>
      </c>
      <c r="R109" s="72">
        <v>0</v>
      </c>
      <c r="S109" s="63"/>
      <c r="T109" s="72" t="s">
        <v>47</v>
      </c>
      <c r="U109" s="105">
        <f>IF($J$1="March","",Y108)</f>
        <v>0</v>
      </c>
      <c r="V109" s="74"/>
      <c r="W109" s="105">
        <f t="shared" si="21"/>
        <v>0</v>
      </c>
      <c r="X109" s="74"/>
      <c r="Y109" s="105">
        <f t="shared" si="22"/>
        <v>0</v>
      </c>
      <c r="Z109" s="63"/>
    </row>
    <row r="110" spans="1:26" s="29" customFormat="1" ht="21" customHeight="1" x14ac:dyDescent="0.2">
      <c r="A110" s="30"/>
      <c r="B110" s="389" t="s">
        <v>42</v>
      </c>
      <c r="C110" s="390"/>
      <c r="F110" s="48" t="s">
        <v>64</v>
      </c>
      <c r="G110" s="43">
        <f>IF($J$1="January",U106,IF($J$1="February",U107,IF($J$1="March",U108,IF($J$1="April",U109,IF($J$1="May",U110,IF($J$1="June",U111,IF($J$1="July",U112,IF($J$1="August",U113,IF($J$1="August",U113,IF($J$1="September",U114,IF($J$1="October",U115,IF($J$1="November",U116,IF($J$1="December",U117)))))))))))))</f>
        <v>0</v>
      </c>
      <c r="H110" s="47"/>
      <c r="I110" s="49">
        <f>IF(C114&gt;0,$K$2,C112)</f>
        <v>30</v>
      </c>
      <c r="J110" s="50" t="s">
        <v>61</v>
      </c>
      <c r="K110" s="320">
        <f>K106/$K$2*I110</f>
        <v>62903.225806451621</v>
      </c>
      <c r="L110" s="52"/>
      <c r="N110" s="71"/>
      <c r="O110" s="72" t="s">
        <v>48</v>
      </c>
      <c r="P110" s="72">
        <v>30</v>
      </c>
      <c r="Q110" s="72">
        <v>1</v>
      </c>
      <c r="R110" s="72">
        <f t="shared" si="20"/>
        <v>-1</v>
      </c>
      <c r="S110" s="63"/>
      <c r="T110" s="72" t="s">
        <v>48</v>
      </c>
      <c r="U110" s="105">
        <f>IF($J$1="April","",Y109)</f>
        <v>0</v>
      </c>
      <c r="V110" s="74">
        <v>15000</v>
      </c>
      <c r="W110" s="105">
        <f t="shared" si="21"/>
        <v>15000</v>
      </c>
      <c r="X110" s="74">
        <v>5000</v>
      </c>
      <c r="Y110" s="105">
        <f t="shared" si="22"/>
        <v>10000</v>
      </c>
      <c r="Z110" s="63"/>
    </row>
    <row r="111" spans="1:26" s="29" customFormat="1" ht="21" customHeight="1" x14ac:dyDescent="0.2">
      <c r="A111" s="30"/>
      <c r="B111" s="39"/>
      <c r="C111" s="39"/>
      <c r="F111" s="48" t="s">
        <v>20</v>
      </c>
      <c r="G111" s="43">
        <f>IF($J$1="January",V106,IF($J$1="February",V107,IF($J$1="March",V108,IF($J$1="April",V109,IF($J$1="May",V110,IF($J$1="June",V111,IF($J$1="July",V112,IF($J$1="August",V113,IF($J$1="August",V113,IF($J$1="September",V114,IF($J$1="October",V115,IF($J$1="November",V116,IF($J$1="December",V117)))))))))))))</f>
        <v>15000</v>
      </c>
      <c r="H111" s="47"/>
      <c r="I111" s="49"/>
      <c r="J111" s="50" t="s">
        <v>62</v>
      </c>
      <c r="K111" s="53">
        <f>K106/$K$2/8*I111</f>
        <v>0</v>
      </c>
      <c r="L111" s="54"/>
      <c r="N111" s="71"/>
      <c r="O111" s="72" t="s">
        <v>49</v>
      </c>
      <c r="P111" s="72"/>
      <c r="Q111" s="72"/>
      <c r="R111" s="72" t="str">
        <f t="shared" si="20"/>
        <v/>
      </c>
      <c r="S111" s="63"/>
      <c r="T111" s="72" t="s">
        <v>49</v>
      </c>
      <c r="U111" s="105" t="str">
        <f>IF($J$1="May","",Y110)</f>
        <v/>
      </c>
      <c r="V111" s="74"/>
      <c r="W111" s="105" t="str">
        <f t="shared" si="21"/>
        <v/>
      </c>
      <c r="X111" s="74"/>
      <c r="Y111" s="105" t="str">
        <f t="shared" si="22"/>
        <v/>
      </c>
      <c r="Z111" s="63"/>
    </row>
    <row r="112" spans="1:26" s="29" customFormat="1" ht="21" customHeight="1" x14ac:dyDescent="0.2">
      <c r="A112" s="30"/>
      <c r="B112" s="48" t="s">
        <v>7</v>
      </c>
      <c r="C112" s="39">
        <f>IF($J$1="January",P106,IF($J$1="February",P107,IF($J$1="March",P108,IF($J$1="April",P109,IF($J$1="May",P110,IF($J$1="June",P111,IF($J$1="July",P112,IF($J$1="August",P113,IF($J$1="August",P113,IF($J$1="September",P114,IF($J$1="October",P115,IF($J$1="November",P116,IF($J$1="December",P117)))))))))))))</f>
        <v>30</v>
      </c>
      <c r="F112" s="48" t="s">
        <v>65</v>
      </c>
      <c r="G112" s="43">
        <f>IF($J$1="January",W106,IF($J$1="February",W107,IF($J$1="March",W108,IF($J$1="April",W109,IF($J$1="May",W110,IF($J$1="June",W111,IF($J$1="July",W112,IF($J$1="August",W113,IF($J$1="August",W113,IF($J$1="September",W114,IF($J$1="October",W115,IF($J$1="November",W116,IF($J$1="December",W117)))))))))))))</f>
        <v>15000</v>
      </c>
      <c r="H112" s="47"/>
      <c r="I112" s="402" t="s">
        <v>69</v>
      </c>
      <c r="J112" s="403"/>
      <c r="K112" s="53">
        <f>K110+K111</f>
        <v>62903.225806451621</v>
      </c>
      <c r="L112" s="54"/>
      <c r="N112" s="71"/>
      <c r="O112" s="72" t="s">
        <v>50</v>
      </c>
      <c r="P112" s="72"/>
      <c r="Q112" s="72"/>
      <c r="R112" s="72" t="str">
        <f t="shared" si="20"/>
        <v/>
      </c>
      <c r="S112" s="63"/>
      <c r="T112" s="72" t="s">
        <v>50</v>
      </c>
      <c r="U112" s="105" t="str">
        <f>IF($J$1="June","",Y111)</f>
        <v/>
      </c>
      <c r="V112" s="74"/>
      <c r="W112" s="105" t="str">
        <f t="shared" si="21"/>
        <v/>
      </c>
      <c r="X112" s="74"/>
      <c r="Y112" s="105" t="str">
        <f t="shared" si="22"/>
        <v/>
      </c>
      <c r="Z112" s="63"/>
    </row>
    <row r="113" spans="1:26" s="29" customFormat="1" ht="21" customHeight="1" x14ac:dyDescent="0.2">
      <c r="A113" s="30"/>
      <c r="B113" s="48" t="s">
        <v>6</v>
      </c>
      <c r="C113" s="39">
        <f>IF($J$1="January",Q106,IF($J$1="February",Q107,IF($J$1="March",Q108,IF($J$1="April",Q109,IF($J$1="May",Q110,IF($J$1="June",Q111,IF($J$1="July",Q112,IF($J$1="August",Q113,IF($J$1="August",Q113,IF($J$1="September",Q114,IF($J$1="October",Q115,IF($J$1="November",Q116,IF($J$1="December",Q117)))))))))))))</f>
        <v>1</v>
      </c>
      <c r="F113" s="48" t="s">
        <v>21</v>
      </c>
      <c r="G113" s="43">
        <f>IF($J$1="January",X106,IF($J$1="February",X107,IF($J$1="March",X108,IF($J$1="April",X109,IF($J$1="May",X110,IF($J$1="June",X111,IF($J$1="July",X112,IF($J$1="August",X113,IF($J$1="August",X113,IF($J$1="September",X114,IF($J$1="October",X115,IF($J$1="November",X116,IF($J$1="December",X117)))))))))))))</f>
        <v>5000</v>
      </c>
      <c r="H113" s="47"/>
      <c r="I113" s="402" t="s">
        <v>70</v>
      </c>
      <c r="J113" s="403"/>
      <c r="K113" s="43">
        <f>G113</f>
        <v>5000</v>
      </c>
      <c r="L113" s="55"/>
      <c r="N113" s="71"/>
      <c r="O113" s="72" t="s">
        <v>51</v>
      </c>
      <c r="P113" s="72"/>
      <c r="Q113" s="72"/>
      <c r="R113" s="72" t="str">
        <f t="shared" si="20"/>
        <v/>
      </c>
      <c r="S113" s="63"/>
      <c r="T113" s="72" t="s">
        <v>51</v>
      </c>
      <c r="U113" s="105" t="str">
        <f>IF($J$1="July","",Y112)</f>
        <v/>
      </c>
      <c r="V113" s="74"/>
      <c r="W113" s="105" t="str">
        <f t="shared" si="21"/>
        <v/>
      </c>
      <c r="X113" s="74"/>
      <c r="Y113" s="105" t="str">
        <f t="shared" si="22"/>
        <v/>
      </c>
      <c r="Z113" s="63"/>
    </row>
    <row r="114" spans="1:26" s="29" customFormat="1" ht="21" customHeight="1" x14ac:dyDescent="0.2">
      <c r="A114" s="30"/>
      <c r="B114" s="56" t="s">
        <v>68</v>
      </c>
      <c r="C114" s="39">
        <f>IF($J$1="January",R106,IF($J$1="February",R107,IF($J$1="March",R108,IF($J$1="April",R109,IF($J$1="May",R110,IF($J$1="June",R111,IF($J$1="July",R112,IF($J$1="August",R113,IF($J$1="August",R113,IF($J$1="September",R114,IF($J$1="October",R115,IF($J$1="November",R116,IF($J$1="December",R117)))))))))))))</f>
        <v>-1</v>
      </c>
      <c r="F114" s="48" t="s">
        <v>67</v>
      </c>
      <c r="G114" s="43">
        <f>IF($J$1="January",Y106,IF($J$1="February",Y107,IF($J$1="March",Y108,IF($J$1="April",Y109,IF($J$1="May",Y110,IF($J$1="June",Y111,IF($J$1="July",Y112,IF($J$1="August",Y113,IF($J$1="August",Y113,IF($J$1="September",Y114,IF($J$1="October",Y115,IF($J$1="November",Y116,IF($J$1="December",Y117)))))))))))))</f>
        <v>10000</v>
      </c>
      <c r="I114" s="391" t="s">
        <v>63</v>
      </c>
      <c r="J114" s="393"/>
      <c r="K114" s="57">
        <f>K112-K113</f>
        <v>57903.225806451621</v>
      </c>
      <c r="L114" s="58"/>
      <c r="N114" s="71"/>
      <c r="O114" s="72" t="s">
        <v>56</v>
      </c>
      <c r="P114" s="72"/>
      <c r="Q114" s="72"/>
      <c r="R114" s="72" t="str">
        <f t="shared" si="20"/>
        <v/>
      </c>
      <c r="S114" s="63"/>
      <c r="T114" s="72" t="s">
        <v>56</v>
      </c>
      <c r="U114" s="105" t="str">
        <f>IF($J$1="August","",Y113)</f>
        <v/>
      </c>
      <c r="V114" s="74"/>
      <c r="W114" s="105" t="str">
        <f t="shared" si="21"/>
        <v/>
      </c>
      <c r="X114" s="74"/>
      <c r="Y114" s="105" t="str">
        <f t="shared" si="22"/>
        <v/>
      </c>
      <c r="Z114" s="63"/>
    </row>
    <row r="115" spans="1:26" s="29" customFormat="1" ht="21" customHeight="1" x14ac:dyDescent="0.2">
      <c r="A115" s="30"/>
      <c r="J115" s="47"/>
      <c r="K115" s="47"/>
      <c r="L115" s="46"/>
      <c r="N115" s="71"/>
      <c r="O115" s="72" t="s">
        <v>52</v>
      </c>
      <c r="P115" s="72"/>
      <c r="Q115" s="72"/>
      <c r="R115" s="72" t="str">
        <f t="shared" si="20"/>
        <v/>
      </c>
      <c r="S115" s="63"/>
      <c r="T115" s="72" t="s">
        <v>52</v>
      </c>
      <c r="U115" s="105" t="str">
        <f>IF($J$1="September","",Y114)</f>
        <v/>
      </c>
      <c r="V115" s="74"/>
      <c r="W115" s="105" t="str">
        <f t="shared" si="21"/>
        <v/>
      </c>
      <c r="X115" s="74"/>
      <c r="Y115" s="105" t="str">
        <f t="shared" si="22"/>
        <v/>
      </c>
      <c r="Z115" s="63"/>
    </row>
    <row r="116" spans="1:26" s="29" customFormat="1" ht="21" customHeight="1" x14ac:dyDescent="0.2">
      <c r="A116" s="30"/>
      <c r="B116" s="404" t="s">
        <v>85</v>
      </c>
      <c r="C116" s="404"/>
      <c r="D116" s="404"/>
      <c r="E116" s="404"/>
      <c r="F116" s="404"/>
      <c r="G116" s="404"/>
      <c r="H116" s="404"/>
      <c r="I116" s="404"/>
      <c r="J116" s="404"/>
      <c r="K116" s="404"/>
      <c r="L116" s="46"/>
      <c r="N116" s="71"/>
      <c r="O116" s="72" t="s">
        <v>57</v>
      </c>
      <c r="P116" s="72"/>
      <c r="Q116" s="72"/>
      <c r="R116" s="72" t="str">
        <f t="shared" si="20"/>
        <v/>
      </c>
      <c r="S116" s="63"/>
      <c r="T116" s="72" t="s">
        <v>57</v>
      </c>
      <c r="U116" s="105" t="str">
        <f>Y115</f>
        <v/>
      </c>
      <c r="V116" s="74"/>
      <c r="W116" s="105" t="str">
        <f t="shared" si="21"/>
        <v/>
      </c>
      <c r="X116" s="74"/>
      <c r="Y116" s="105" t="str">
        <f t="shared" si="22"/>
        <v/>
      </c>
      <c r="Z116" s="63"/>
    </row>
    <row r="117" spans="1:26" s="29" customFormat="1" ht="21" customHeight="1" x14ac:dyDescent="0.2">
      <c r="A117" s="30"/>
      <c r="B117" s="404"/>
      <c r="C117" s="404"/>
      <c r="D117" s="404"/>
      <c r="E117" s="404"/>
      <c r="F117" s="404"/>
      <c r="G117" s="404"/>
      <c r="H117" s="404"/>
      <c r="I117" s="404"/>
      <c r="J117" s="404"/>
      <c r="K117" s="404"/>
      <c r="L117" s="46"/>
      <c r="N117" s="71"/>
      <c r="O117" s="72" t="s">
        <v>58</v>
      </c>
      <c r="P117" s="72"/>
      <c r="Q117" s="72"/>
      <c r="R117" s="72" t="str">
        <f t="shared" si="20"/>
        <v/>
      </c>
      <c r="S117" s="63"/>
      <c r="T117" s="72" t="s">
        <v>58</v>
      </c>
      <c r="U117" s="105">
        <v>0</v>
      </c>
      <c r="V117" s="74"/>
      <c r="W117" s="105">
        <f t="shared" si="21"/>
        <v>0</v>
      </c>
      <c r="X117" s="74"/>
      <c r="Y117" s="105">
        <f t="shared" si="22"/>
        <v>0</v>
      </c>
      <c r="Z117" s="63"/>
    </row>
    <row r="118" spans="1:26" s="29" customFormat="1" ht="21" customHeight="1" thickBot="1" x14ac:dyDescent="0.25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1"/>
      <c r="N118" s="77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63"/>
    </row>
    <row r="119" spans="1:26" s="29" customFormat="1" ht="21" customHeight="1" thickBot="1" x14ac:dyDescent="0.25">
      <c r="A119" s="30"/>
      <c r="L119" s="46"/>
      <c r="N119" s="71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s="29" customFormat="1" ht="21.4" customHeight="1" x14ac:dyDescent="0.2">
      <c r="A120" s="434" t="s">
        <v>40</v>
      </c>
      <c r="B120" s="435"/>
      <c r="C120" s="435"/>
      <c r="D120" s="435"/>
      <c r="E120" s="435"/>
      <c r="F120" s="435"/>
      <c r="G120" s="435"/>
      <c r="H120" s="435"/>
      <c r="I120" s="435"/>
      <c r="J120" s="435"/>
      <c r="K120" s="435"/>
      <c r="L120" s="436"/>
      <c r="M120" s="28"/>
      <c r="N120" s="64"/>
      <c r="O120" s="405" t="s">
        <v>42</v>
      </c>
      <c r="P120" s="406"/>
      <c r="Q120" s="406"/>
      <c r="R120" s="407"/>
      <c r="S120" s="65"/>
      <c r="T120" s="405" t="s">
        <v>43</v>
      </c>
      <c r="U120" s="406"/>
      <c r="V120" s="406"/>
      <c r="W120" s="406"/>
      <c r="X120" s="406"/>
      <c r="Y120" s="407"/>
      <c r="Z120" s="66"/>
    </row>
    <row r="121" spans="1:26" s="29" customFormat="1" ht="21.4" customHeight="1" x14ac:dyDescent="0.2">
      <c r="A121" s="30"/>
      <c r="C121" s="395" t="s">
        <v>83</v>
      </c>
      <c r="D121" s="395"/>
      <c r="E121" s="395"/>
      <c r="F121" s="395"/>
      <c r="G121" s="31" t="str">
        <f>$J$1</f>
        <v>May</v>
      </c>
      <c r="H121" s="394">
        <f>$K$1</f>
        <v>2023</v>
      </c>
      <c r="I121" s="394"/>
      <c r="K121" s="32"/>
      <c r="L121" s="33"/>
      <c r="M121" s="32"/>
      <c r="N121" s="67"/>
      <c r="O121" s="68" t="s">
        <v>53</v>
      </c>
      <c r="P121" s="68" t="s">
        <v>7</v>
      </c>
      <c r="Q121" s="68" t="s">
        <v>6</v>
      </c>
      <c r="R121" s="68" t="s">
        <v>54</v>
      </c>
      <c r="S121" s="69"/>
      <c r="T121" s="68" t="s">
        <v>53</v>
      </c>
      <c r="U121" s="68" t="s">
        <v>55</v>
      </c>
      <c r="V121" s="68" t="s">
        <v>20</v>
      </c>
      <c r="W121" s="68" t="s">
        <v>19</v>
      </c>
      <c r="X121" s="68" t="s">
        <v>21</v>
      </c>
      <c r="Y121" s="68" t="s">
        <v>59</v>
      </c>
      <c r="Z121" s="70"/>
    </row>
    <row r="122" spans="1:26" s="29" customFormat="1" ht="21.4" customHeight="1" x14ac:dyDescent="0.2">
      <c r="A122" s="30"/>
      <c r="D122" s="35"/>
      <c r="E122" s="35"/>
      <c r="F122" s="35"/>
      <c r="G122" s="35"/>
      <c r="H122" s="35"/>
      <c r="J122" s="36" t="s">
        <v>1</v>
      </c>
      <c r="K122" s="37">
        <v>38000</v>
      </c>
      <c r="L122" s="38"/>
      <c r="N122" s="71"/>
      <c r="O122" s="72" t="s">
        <v>45</v>
      </c>
      <c r="P122" s="72">
        <v>30</v>
      </c>
      <c r="Q122" s="72">
        <v>1</v>
      </c>
      <c r="R122" s="72"/>
      <c r="S122" s="73"/>
      <c r="T122" s="72" t="s">
        <v>45</v>
      </c>
      <c r="U122" s="74">
        <v>35000</v>
      </c>
      <c r="V122" s="74"/>
      <c r="W122" s="74">
        <f>V122+U122</f>
        <v>35000</v>
      </c>
      <c r="X122" s="74"/>
      <c r="Y122" s="74">
        <f>W122-X122</f>
        <v>35000</v>
      </c>
      <c r="Z122" s="70"/>
    </row>
    <row r="123" spans="1:26" s="29" customFormat="1" ht="21.4" customHeight="1" x14ac:dyDescent="0.2">
      <c r="A123" s="30"/>
      <c r="B123" s="29" t="s">
        <v>0</v>
      </c>
      <c r="C123" s="40" t="s">
        <v>186</v>
      </c>
      <c r="H123" s="41"/>
      <c r="I123" s="35"/>
      <c r="L123" s="42"/>
      <c r="M123" s="28"/>
      <c r="N123" s="75"/>
      <c r="O123" s="72" t="s">
        <v>71</v>
      </c>
      <c r="P123" s="72">
        <v>28</v>
      </c>
      <c r="Q123" s="72">
        <v>0</v>
      </c>
      <c r="R123" s="72">
        <v>0</v>
      </c>
      <c r="S123" s="63"/>
      <c r="T123" s="72" t="s">
        <v>71</v>
      </c>
      <c r="U123" s="105">
        <f>IF($J$1="January","",Y122)</f>
        <v>35000</v>
      </c>
      <c r="V123" s="74">
        <v>5000</v>
      </c>
      <c r="W123" s="105">
        <f>IF(U123="","",U123+V123)</f>
        <v>40000</v>
      </c>
      <c r="X123" s="74">
        <v>5000</v>
      </c>
      <c r="Y123" s="105">
        <f>IF(W123="","",W123-X123)</f>
        <v>35000</v>
      </c>
      <c r="Z123" s="76"/>
    </row>
    <row r="124" spans="1:26" s="29" customFormat="1" ht="21.4" customHeight="1" x14ac:dyDescent="0.2">
      <c r="A124" s="30"/>
      <c r="B124" s="44" t="s">
        <v>41</v>
      </c>
      <c r="C124" s="118"/>
      <c r="F124" s="411" t="s">
        <v>43</v>
      </c>
      <c r="G124" s="411"/>
      <c r="I124" s="411" t="s">
        <v>44</v>
      </c>
      <c r="J124" s="411"/>
      <c r="K124" s="411"/>
      <c r="L124" s="46"/>
      <c r="N124" s="71"/>
      <c r="O124" s="72" t="s">
        <v>46</v>
      </c>
      <c r="P124" s="72">
        <v>29</v>
      </c>
      <c r="Q124" s="72">
        <v>2</v>
      </c>
      <c r="R124" s="72">
        <v>0</v>
      </c>
      <c r="S124" s="63"/>
      <c r="T124" s="72" t="s">
        <v>46</v>
      </c>
      <c r="U124" s="105">
        <f>IF($J$1="February","",Y123)</f>
        <v>35000</v>
      </c>
      <c r="V124" s="74"/>
      <c r="W124" s="105">
        <f t="shared" ref="W124:W133" si="23">IF(U124="","",U124+V124)</f>
        <v>35000</v>
      </c>
      <c r="X124" s="74"/>
      <c r="Y124" s="105">
        <f t="shared" ref="Y124:Y133" si="24">IF(W124="","",W124-X124)</f>
        <v>35000</v>
      </c>
      <c r="Z124" s="76"/>
    </row>
    <row r="125" spans="1:26" s="29" customFormat="1" ht="21.4" customHeight="1" x14ac:dyDescent="0.2">
      <c r="A125" s="30"/>
      <c r="H125" s="47"/>
      <c r="L125" s="34"/>
      <c r="N125" s="71"/>
      <c r="O125" s="72" t="s">
        <v>47</v>
      </c>
      <c r="P125" s="72">
        <v>29</v>
      </c>
      <c r="Q125" s="72">
        <v>1</v>
      </c>
      <c r="R125" s="72">
        <v>0</v>
      </c>
      <c r="S125" s="63"/>
      <c r="T125" s="72" t="s">
        <v>47</v>
      </c>
      <c r="U125" s="105">
        <f>IF($J$1="March","",Y124)</f>
        <v>35000</v>
      </c>
      <c r="V125" s="74"/>
      <c r="W125" s="105">
        <f t="shared" si="23"/>
        <v>35000</v>
      </c>
      <c r="X125" s="74"/>
      <c r="Y125" s="105">
        <f t="shared" si="24"/>
        <v>35000</v>
      </c>
      <c r="Z125" s="76"/>
    </row>
    <row r="126" spans="1:26" s="29" customFormat="1" ht="21.4" customHeight="1" x14ac:dyDescent="0.2">
      <c r="A126" s="30"/>
      <c r="B126" s="389" t="s">
        <v>42</v>
      </c>
      <c r="C126" s="390"/>
      <c r="F126" s="48" t="s">
        <v>64</v>
      </c>
      <c r="G126" s="43">
        <f>IF($J$1="January",U122,IF($J$1="February",U123,IF($J$1="March",U124,IF($J$1="April",U125,IF($J$1="May",U126,IF($J$1="June",U127,IF($J$1="July",U128,IF($J$1="August",U129,IF($J$1="August",U129,IF($J$1="September",U130,IF($J$1="October",U131,IF($J$1="November",U132,IF($J$1="December",U133)))))))))))))</f>
        <v>35000</v>
      </c>
      <c r="H126" s="47"/>
      <c r="I126" s="49">
        <f>IF(C130&gt;0,$K$2,C128)+4</f>
        <v>29</v>
      </c>
      <c r="J126" s="50" t="s">
        <v>61</v>
      </c>
      <c r="K126" s="51">
        <f>K122/$K$2*I126</f>
        <v>35548.38709677419</v>
      </c>
      <c r="L126" s="52"/>
      <c r="N126" s="71"/>
      <c r="O126" s="72" t="s">
        <v>48</v>
      </c>
      <c r="P126" s="72">
        <v>25</v>
      </c>
      <c r="Q126" s="72">
        <v>6</v>
      </c>
      <c r="R126" s="72">
        <v>0</v>
      </c>
      <c r="S126" s="63"/>
      <c r="T126" s="72" t="s">
        <v>48</v>
      </c>
      <c r="U126" s="105">
        <f>Y125</f>
        <v>35000</v>
      </c>
      <c r="V126" s="74">
        <f>1000+4000</f>
        <v>5000</v>
      </c>
      <c r="W126" s="105">
        <f t="shared" si="23"/>
        <v>40000</v>
      </c>
      <c r="X126" s="74">
        <v>5000</v>
      </c>
      <c r="Y126" s="105">
        <f t="shared" si="24"/>
        <v>35000</v>
      </c>
      <c r="Z126" s="76"/>
    </row>
    <row r="127" spans="1:26" s="29" customFormat="1" ht="21.4" customHeight="1" x14ac:dyDescent="0.2">
      <c r="A127" s="30"/>
      <c r="B127" s="39"/>
      <c r="C127" s="39"/>
      <c r="F127" s="48" t="s">
        <v>20</v>
      </c>
      <c r="G127" s="43">
        <f>IF($J$1="January",V122,IF($J$1="February",V123,IF($J$1="March",V124,IF($J$1="April",V125,IF($J$1="May",V126,IF($J$1="June",V127,IF($J$1="July",V128,IF($J$1="August",V129,IF($J$1="August",V129,IF($J$1="September",V130,IF($J$1="October",V131,IF($J$1="November",V132,IF($J$1="December",V133)))))))))))))</f>
        <v>5000</v>
      </c>
      <c r="H127" s="47"/>
      <c r="I127" s="84"/>
      <c r="J127" s="50" t="s">
        <v>62</v>
      </c>
      <c r="K127" s="53">
        <f>K122/$K$2/8*I127</f>
        <v>0</v>
      </c>
      <c r="L127" s="54"/>
      <c r="N127" s="71"/>
      <c r="O127" s="72" t="s">
        <v>49</v>
      </c>
      <c r="P127" s="72">
        <v>25</v>
      </c>
      <c r="Q127" s="72">
        <v>6</v>
      </c>
      <c r="R127" s="72">
        <v>0</v>
      </c>
      <c r="S127" s="63"/>
      <c r="T127" s="72" t="s">
        <v>49</v>
      </c>
      <c r="U127" s="105"/>
      <c r="V127" s="74"/>
      <c r="W127" s="105" t="str">
        <f t="shared" si="23"/>
        <v/>
      </c>
      <c r="X127" s="74"/>
      <c r="Y127" s="105" t="str">
        <f t="shared" si="24"/>
        <v/>
      </c>
      <c r="Z127" s="76"/>
    </row>
    <row r="128" spans="1:26" s="29" customFormat="1" ht="21.4" customHeight="1" x14ac:dyDescent="0.2">
      <c r="A128" s="30"/>
      <c r="B128" s="48" t="s">
        <v>7</v>
      </c>
      <c r="C128" s="39">
        <f>IF($J$1="January",P122,IF($J$1="February",P123,IF($J$1="March",P124,IF($J$1="April",P125,IF($J$1="May",P126,IF($J$1="June",P127,IF($J$1="July",P128,IF($J$1="August",P129,IF($J$1="August",P129,IF($J$1="September",P130,IF($J$1="October",P131,IF($J$1="November",P132,IF($J$1="December",P133)))))))))))))</f>
        <v>25</v>
      </c>
      <c r="F128" s="48" t="s">
        <v>65</v>
      </c>
      <c r="G128" s="43">
        <f>IF($J$1="January",W122,IF($J$1="February",W123,IF($J$1="March",W124,IF($J$1="April",W125,IF($J$1="May",W126,IF($J$1="June",W127,IF($J$1="July",W128,IF($J$1="August",W129,IF($J$1="August",W129,IF($J$1="September",W130,IF($J$1="October",W131,IF($J$1="November",W132,IF($J$1="December",W133)))))))))))))</f>
        <v>40000</v>
      </c>
      <c r="H128" s="47"/>
      <c r="I128" s="402" t="s">
        <v>69</v>
      </c>
      <c r="J128" s="403"/>
      <c r="K128" s="53">
        <f>K126+K127</f>
        <v>35548.38709677419</v>
      </c>
      <c r="L128" s="54"/>
      <c r="N128" s="71"/>
      <c r="O128" s="72" t="s">
        <v>50</v>
      </c>
      <c r="P128" s="72"/>
      <c r="Q128" s="72"/>
      <c r="R128" s="72">
        <v>0</v>
      </c>
      <c r="S128" s="63"/>
      <c r="T128" s="72" t="s">
        <v>50</v>
      </c>
      <c r="U128" s="105" t="str">
        <f t="shared" ref="U128:U133" si="25">Y127</f>
        <v/>
      </c>
      <c r="V128" s="74"/>
      <c r="W128" s="105" t="str">
        <f t="shared" si="23"/>
        <v/>
      </c>
      <c r="X128" s="74"/>
      <c r="Y128" s="105" t="str">
        <f t="shared" si="24"/>
        <v/>
      </c>
      <c r="Z128" s="76"/>
    </row>
    <row r="129" spans="1:27" s="29" customFormat="1" ht="21.4" customHeight="1" x14ac:dyDescent="0.2">
      <c r="A129" s="30"/>
      <c r="B129" s="48" t="s">
        <v>6</v>
      </c>
      <c r="C129" s="39">
        <f>IF($J$1="January",Q122,IF($J$1="February",Q123,IF($J$1="March",Q124,IF($J$1="April",Q125,IF($J$1="May",Q126,IF($J$1="June",Q127,IF($J$1="July",Q128,IF($J$1="August",Q129,IF($J$1="August",Q129,IF($J$1="September",Q130,IF($J$1="October",Q131,IF($J$1="November",Q132,IF($J$1="December",Q133)))))))))))))</f>
        <v>6</v>
      </c>
      <c r="F129" s="48" t="s">
        <v>21</v>
      </c>
      <c r="G129" s="43">
        <f>IF($J$1="January",X122,IF($J$1="February",X123,IF($J$1="March",X124,IF($J$1="April",X125,IF($J$1="May",X126,IF($J$1="June",X127,IF($J$1="July",X128,IF($J$1="August",X129,IF($J$1="August",X129,IF($J$1="September",X130,IF($J$1="October",X131,IF($J$1="November",X132,IF($J$1="December",X133)))))))))))))</f>
        <v>5000</v>
      </c>
      <c r="H129" s="47"/>
      <c r="I129" s="402" t="s">
        <v>70</v>
      </c>
      <c r="J129" s="403"/>
      <c r="K129" s="43">
        <f>G129</f>
        <v>5000</v>
      </c>
      <c r="L129" s="55"/>
      <c r="N129" s="71"/>
      <c r="O129" s="72" t="s">
        <v>51</v>
      </c>
      <c r="P129" s="72"/>
      <c r="Q129" s="72"/>
      <c r="R129" s="72">
        <v>0</v>
      </c>
      <c r="S129" s="63"/>
      <c r="T129" s="72" t="s">
        <v>51</v>
      </c>
      <c r="U129" s="105" t="str">
        <f t="shared" si="25"/>
        <v/>
      </c>
      <c r="V129" s="74"/>
      <c r="W129" s="105" t="str">
        <f t="shared" si="23"/>
        <v/>
      </c>
      <c r="X129" s="74"/>
      <c r="Y129" s="105" t="str">
        <f t="shared" si="24"/>
        <v/>
      </c>
      <c r="Z129" s="76"/>
    </row>
    <row r="130" spans="1:27" s="29" customFormat="1" ht="21.4" customHeight="1" x14ac:dyDescent="0.2">
      <c r="A130" s="30"/>
      <c r="B130" s="56" t="s">
        <v>68</v>
      </c>
      <c r="C130" s="39">
        <f>IF($J$1="January",R122,IF($J$1="February",R123,IF($J$1="March",R124,IF($J$1="April",R125,IF($J$1="May",R126,IF($J$1="June",R127,IF($J$1="July",R128,IF($J$1="August",R129,IF($J$1="August",R129,IF($J$1="September",R130,IF($J$1="October",R131,IF($J$1="November",R132,IF($J$1="December",R133)))))))))))))</f>
        <v>0</v>
      </c>
      <c r="F130" s="48" t="s">
        <v>67</v>
      </c>
      <c r="G130" s="43">
        <f>IF($J$1="January",Y122,IF($J$1="February",Y123,IF($J$1="March",Y124,IF($J$1="April",Y125,IF($J$1="May",Y126,IF($J$1="June",Y127,IF($J$1="July",Y128,IF($J$1="August",Y129,IF($J$1="August",Y129,IF($J$1="September",Y130,IF($J$1="October",Y131,IF($J$1="November",Y132,IF($J$1="December",Y133)))))))))))))</f>
        <v>35000</v>
      </c>
      <c r="I130" s="391" t="s">
        <v>63</v>
      </c>
      <c r="J130" s="393"/>
      <c r="K130" s="57">
        <f>K128-K129</f>
        <v>30548.38709677419</v>
      </c>
      <c r="L130" s="58"/>
      <c r="N130" s="71"/>
      <c r="O130" s="72" t="s">
        <v>56</v>
      </c>
      <c r="P130" s="72"/>
      <c r="Q130" s="72"/>
      <c r="R130" s="72">
        <v>0</v>
      </c>
      <c r="S130" s="63">
        <v>0</v>
      </c>
      <c r="T130" s="72" t="s">
        <v>56</v>
      </c>
      <c r="U130" s="105" t="str">
        <f t="shared" si="25"/>
        <v/>
      </c>
      <c r="V130" s="74"/>
      <c r="W130" s="105" t="str">
        <f t="shared" si="23"/>
        <v/>
      </c>
      <c r="X130" s="74"/>
      <c r="Y130" s="105" t="str">
        <f t="shared" si="24"/>
        <v/>
      </c>
      <c r="Z130" s="76"/>
    </row>
    <row r="131" spans="1:27" s="29" customFormat="1" ht="21.4" customHeight="1" x14ac:dyDescent="0.2">
      <c r="A131" s="30"/>
      <c r="F131" s="29" t="s">
        <v>228</v>
      </c>
      <c r="K131" s="107"/>
      <c r="L131" s="46"/>
      <c r="N131" s="71"/>
      <c r="O131" s="72" t="s">
        <v>52</v>
      </c>
      <c r="P131" s="72"/>
      <c r="Q131" s="72"/>
      <c r="R131" s="72">
        <v>0</v>
      </c>
      <c r="S131" s="63"/>
      <c r="T131" s="72" t="s">
        <v>52</v>
      </c>
      <c r="U131" s="105" t="str">
        <f t="shared" si="25"/>
        <v/>
      </c>
      <c r="V131" s="74"/>
      <c r="W131" s="105" t="str">
        <f t="shared" si="23"/>
        <v/>
      </c>
      <c r="X131" s="74"/>
      <c r="Y131" s="105" t="str">
        <f t="shared" si="24"/>
        <v/>
      </c>
      <c r="Z131" s="76"/>
    </row>
    <row r="132" spans="1:27" s="29" customFormat="1" ht="21.4" customHeight="1" x14ac:dyDescent="0.2">
      <c r="A132" s="30"/>
      <c r="B132" s="404" t="s">
        <v>85</v>
      </c>
      <c r="C132" s="404"/>
      <c r="D132" s="404"/>
      <c r="E132" s="404"/>
      <c r="F132" s="404"/>
      <c r="G132" s="404"/>
      <c r="H132" s="404"/>
      <c r="I132" s="404"/>
      <c r="J132" s="404"/>
      <c r="K132" s="404"/>
      <c r="L132" s="46"/>
      <c r="N132" s="71"/>
      <c r="O132" s="72" t="s">
        <v>57</v>
      </c>
      <c r="P132" s="72"/>
      <c r="Q132" s="72"/>
      <c r="R132" s="72">
        <v>0</v>
      </c>
      <c r="S132" s="63"/>
      <c r="T132" s="72" t="s">
        <v>57</v>
      </c>
      <c r="U132" s="105" t="str">
        <f t="shared" si="25"/>
        <v/>
      </c>
      <c r="V132" s="74"/>
      <c r="W132" s="105" t="str">
        <f t="shared" si="23"/>
        <v/>
      </c>
      <c r="X132" s="74"/>
      <c r="Y132" s="105" t="str">
        <f t="shared" si="24"/>
        <v/>
      </c>
      <c r="Z132" s="76"/>
    </row>
    <row r="133" spans="1:27" s="29" customFormat="1" ht="21.4" customHeight="1" x14ac:dyDescent="0.2">
      <c r="A133" s="30"/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6"/>
      <c r="N133" s="71"/>
      <c r="O133" s="72" t="s">
        <v>58</v>
      </c>
      <c r="P133" s="72"/>
      <c r="Q133" s="72"/>
      <c r="R133" s="72">
        <v>0</v>
      </c>
      <c r="S133" s="63"/>
      <c r="T133" s="72" t="s">
        <v>58</v>
      </c>
      <c r="U133" s="105" t="str">
        <f t="shared" si="25"/>
        <v/>
      </c>
      <c r="V133" s="74"/>
      <c r="W133" s="105" t="str">
        <f t="shared" si="23"/>
        <v/>
      </c>
      <c r="X133" s="74"/>
      <c r="Y133" s="105" t="str">
        <f t="shared" si="24"/>
        <v/>
      </c>
      <c r="Z133" s="76"/>
    </row>
    <row r="134" spans="1:27" s="29" customFormat="1" ht="21.4" customHeight="1" thickBot="1" x14ac:dyDescent="0.25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1"/>
      <c r="N134" s="77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9"/>
    </row>
    <row r="135" spans="1:27" s="29" customFormat="1" ht="21" customHeight="1" thickBot="1" x14ac:dyDescent="0.25"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7" s="29" customFormat="1" ht="21" customHeight="1" x14ac:dyDescent="0.2">
      <c r="A136" s="447" t="s">
        <v>40</v>
      </c>
      <c r="B136" s="448"/>
      <c r="C136" s="448"/>
      <c r="D136" s="448"/>
      <c r="E136" s="448"/>
      <c r="F136" s="448"/>
      <c r="G136" s="448"/>
      <c r="H136" s="448"/>
      <c r="I136" s="448"/>
      <c r="J136" s="448"/>
      <c r="K136" s="448"/>
      <c r="L136" s="449"/>
      <c r="M136" s="28"/>
      <c r="N136" s="64"/>
      <c r="O136" s="405" t="s">
        <v>42</v>
      </c>
      <c r="P136" s="406"/>
      <c r="Q136" s="406"/>
      <c r="R136" s="407"/>
      <c r="S136" s="65"/>
      <c r="T136" s="405" t="s">
        <v>43</v>
      </c>
      <c r="U136" s="406"/>
      <c r="V136" s="406"/>
      <c r="W136" s="406"/>
      <c r="X136" s="406"/>
      <c r="Y136" s="407"/>
      <c r="Z136" s="66"/>
      <c r="AA136" s="28"/>
    </row>
    <row r="137" spans="1:27" s="29" customFormat="1" ht="21" customHeight="1" x14ac:dyDescent="0.2">
      <c r="A137" s="30"/>
      <c r="C137" s="395" t="s">
        <v>83</v>
      </c>
      <c r="D137" s="395"/>
      <c r="E137" s="395"/>
      <c r="F137" s="395"/>
      <c r="G137" s="31" t="str">
        <f>$J$1</f>
        <v>May</v>
      </c>
      <c r="H137" s="394">
        <f>$K$1</f>
        <v>2023</v>
      </c>
      <c r="I137" s="394"/>
      <c r="K137" s="32"/>
      <c r="L137" s="33"/>
      <c r="M137" s="32"/>
      <c r="N137" s="67"/>
      <c r="O137" s="68" t="s">
        <v>53</v>
      </c>
      <c r="P137" s="68" t="s">
        <v>7</v>
      </c>
      <c r="Q137" s="68" t="s">
        <v>6</v>
      </c>
      <c r="R137" s="68" t="s">
        <v>54</v>
      </c>
      <c r="S137" s="69"/>
      <c r="T137" s="68" t="s">
        <v>53</v>
      </c>
      <c r="U137" s="68" t="s">
        <v>55</v>
      </c>
      <c r="V137" s="68" t="s">
        <v>20</v>
      </c>
      <c r="W137" s="68" t="s">
        <v>19</v>
      </c>
      <c r="X137" s="68" t="s">
        <v>21</v>
      </c>
      <c r="Y137" s="68" t="s">
        <v>59</v>
      </c>
      <c r="Z137" s="70"/>
      <c r="AA137" s="32"/>
    </row>
    <row r="138" spans="1:27" s="29" customFormat="1" ht="21" customHeight="1" x14ac:dyDescent="0.2">
      <c r="A138" s="30"/>
      <c r="D138" s="35"/>
      <c r="E138" s="35"/>
      <c r="F138" s="35"/>
      <c r="G138" s="35"/>
      <c r="H138" s="35"/>
      <c r="J138" s="36" t="s">
        <v>1</v>
      </c>
      <c r="K138" s="37">
        <f>35000+3000+5000</f>
        <v>43000</v>
      </c>
      <c r="L138" s="38"/>
      <c r="N138" s="71"/>
      <c r="O138" s="72" t="s">
        <v>45</v>
      </c>
      <c r="P138" s="72">
        <v>31</v>
      </c>
      <c r="Q138" s="72">
        <v>0</v>
      </c>
      <c r="R138" s="72">
        <f>15-Q138</f>
        <v>15</v>
      </c>
      <c r="S138" s="73"/>
      <c r="T138" s="72" t="s">
        <v>45</v>
      </c>
      <c r="U138" s="74">
        <v>75500</v>
      </c>
      <c r="V138" s="74">
        <f>5000+1000</f>
        <v>6000</v>
      </c>
      <c r="W138" s="74">
        <f>V138+U138</f>
        <v>81500</v>
      </c>
      <c r="X138" s="74">
        <v>8000</v>
      </c>
      <c r="Y138" s="74">
        <f>W138-X138</f>
        <v>73500</v>
      </c>
      <c r="Z138" s="70"/>
    </row>
    <row r="139" spans="1:27" s="29" customFormat="1" ht="21" customHeight="1" x14ac:dyDescent="0.2">
      <c r="A139" s="30"/>
      <c r="B139" s="29" t="s">
        <v>0</v>
      </c>
      <c r="C139" s="40" t="s">
        <v>81</v>
      </c>
      <c r="H139" s="41"/>
      <c r="I139" s="35"/>
      <c r="L139" s="42"/>
      <c r="M139" s="28"/>
      <c r="N139" s="75"/>
      <c r="O139" s="72" t="s">
        <v>71</v>
      </c>
      <c r="P139" s="72">
        <v>28</v>
      </c>
      <c r="Q139" s="72">
        <v>0</v>
      </c>
      <c r="R139" s="72">
        <f t="shared" ref="R139:R149" si="26">IF(Q139="","",R138-Q139)</f>
        <v>15</v>
      </c>
      <c r="S139" s="63"/>
      <c r="T139" s="72" t="s">
        <v>71</v>
      </c>
      <c r="U139" s="105">
        <f>Y138</f>
        <v>73500</v>
      </c>
      <c r="V139" s="74">
        <f>3000+1000</f>
        <v>4000</v>
      </c>
      <c r="W139" s="105">
        <f>IF(U139="","",U139+V139)</f>
        <v>77500</v>
      </c>
      <c r="X139" s="74">
        <v>8000</v>
      </c>
      <c r="Y139" s="105">
        <f>IF(W139="","",W139-X139)</f>
        <v>69500</v>
      </c>
      <c r="Z139" s="76"/>
      <c r="AA139" s="28"/>
    </row>
    <row r="140" spans="1:27" s="29" customFormat="1" ht="21" customHeight="1" x14ac:dyDescent="0.2">
      <c r="A140" s="30"/>
      <c r="B140" s="44" t="s">
        <v>41</v>
      </c>
      <c r="C140" s="45" t="s">
        <v>82</v>
      </c>
      <c r="F140" s="411" t="s">
        <v>43</v>
      </c>
      <c r="G140" s="411"/>
      <c r="I140" s="411" t="s">
        <v>44</v>
      </c>
      <c r="J140" s="411"/>
      <c r="K140" s="411"/>
      <c r="L140" s="46"/>
      <c r="N140" s="71"/>
      <c r="O140" s="72" t="s">
        <v>46</v>
      </c>
      <c r="P140" s="72">
        <v>31</v>
      </c>
      <c r="Q140" s="72">
        <v>0</v>
      </c>
      <c r="R140" s="72">
        <f t="shared" si="26"/>
        <v>15</v>
      </c>
      <c r="S140" s="63"/>
      <c r="T140" s="72" t="s">
        <v>46</v>
      </c>
      <c r="U140" s="105">
        <f>Y139</f>
        <v>69500</v>
      </c>
      <c r="V140" s="74">
        <f>2000+1000+1000</f>
        <v>4000</v>
      </c>
      <c r="W140" s="105">
        <f t="shared" ref="W140:W149" si="27">IF(U140="","",U140+V140)</f>
        <v>73500</v>
      </c>
      <c r="X140" s="74">
        <v>3000</v>
      </c>
      <c r="Y140" s="105">
        <f t="shared" ref="Y140:Y149" si="28">IF(W140="","",W140-X140)</f>
        <v>70500</v>
      </c>
      <c r="Z140" s="76"/>
    </row>
    <row r="141" spans="1:27" s="29" customFormat="1" ht="21" customHeight="1" x14ac:dyDescent="0.2">
      <c r="A141" s="30"/>
      <c r="H141" s="47"/>
      <c r="L141" s="34"/>
      <c r="N141" s="71"/>
      <c r="O141" s="72" t="s">
        <v>47</v>
      </c>
      <c r="P141" s="72">
        <v>27</v>
      </c>
      <c r="Q141" s="72">
        <v>3</v>
      </c>
      <c r="R141" s="72">
        <f t="shared" si="26"/>
        <v>12</v>
      </c>
      <c r="S141" s="63"/>
      <c r="T141" s="72" t="s">
        <v>47</v>
      </c>
      <c r="U141" s="105">
        <f>Y140</f>
        <v>70500</v>
      </c>
      <c r="V141" s="74">
        <v>2000</v>
      </c>
      <c r="W141" s="105">
        <f t="shared" si="27"/>
        <v>72500</v>
      </c>
      <c r="X141" s="74">
        <v>5000</v>
      </c>
      <c r="Y141" s="105">
        <f t="shared" si="28"/>
        <v>67500</v>
      </c>
      <c r="Z141" s="76"/>
    </row>
    <row r="142" spans="1:27" s="29" customFormat="1" ht="21" customHeight="1" x14ac:dyDescent="0.2">
      <c r="A142" s="30"/>
      <c r="B142" s="389" t="s">
        <v>42</v>
      </c>
      <c r="C142" s="390"/>
      <c r="F142" s="48" t="s">
        <v>64</v>
      </c>
      <c r="G142" s="109">
        <f>IF($J$1="January",U138,IF($J$1="February",U139,IF($J$1="March",U140,IF($J$1="April",U141,IF($J$1="May",U142,IF($J$1="June",U143,IF($J$1="July",U144,IF($J$1="August",U145,IF($J$1="August",U145,IF($J$1="September",U146,IF($J$1="October",U147,IF($J$1="November",U148,IF($J$1="December",U149)))))))))))))</f>
        <v>67500</v>
      </c>
      <c r="H142" s="47"/>
      <c r="I142" s="49">
        <f>IF(C146&gt;0,$K$2,C144)</f>
        <v>31</v>
      </c>
      <c r="J142" s="50" t="s">
        <v>61</v>
      </c>
      <c r="K142" s="51">
        <f>K138/$K$2*I142</f>
        <v>43000</v>
      </c>
      <c r="L142" s="52"/>
      <c r="N142" s="71"/>
      <c r="O142" s="72" t="s">
        <v>48</v>
      </c>
      <c r="P142" s="72">
        <v>31</v>
      </c>
      <c r="Q142" s="72">
        <v>0</v>
      </c>
      <c r="R142" s="72">
        <f t="shared" si="26"/>
        <v>12</v>
      </c>
      <c r="S142" s="63"/>
      <c r="T142" s="72" t="s">
        <v>48</v>
      </c>
      <c r="U142" s="105">
        <f>Y141</f>
        <v>67500</v>
      </c>
      <c r="V142" s="74">
        <v>3000</v>
      </c>
      <c r="W142" s="105">
        <f t="shared" si="27"/>
        <v>70500</v>
      </c>
      <c r="X142" s="74">
        <f>5000+V142</f>
        <v>8000</v>
      </c>
      <c r="Y142" s="105">
        <f t="shared" si="28"/>
        <v>62500</v>
      </c>
      <c r="Z142" s="76"/>
    </row>
    <row r="143" spans="1:27" s="29" customFormat="1" ht="21" customHeight="1" x14ac:dyDescent="0.2">
      <c r="A143" s="30"/>
      <c r="B143" s="39"/>
      <c r="C143" s="39"/>
      <c r="F143" s="48" t="s">
        <v>20</v>
      </c>
      <c r="G143" s="109">
        <f>IF($J$1="January",V138,IF($J$1="February",V139,IF($J$1="March",V140,IF($J$1="April",V141,IF($J$1="May",V142,IF($J$1="June",V143,IF($J$1="July",V144,IF($J$1="August",V145,IF($J$1="August",V145,IF($J$1="September",V146,IF($J$1="October",V147,IF($J$1="November",V148,IF($J$1="December",V149)))))))))))))</f>
        <v>3000</v>
      </c>
      <c r="H143" s="47"/>
      <c r="I143" s="84">
        <v>29</v>
      </c>
      <c r="J143" s="50" t="s">
        <v>62</v>
      </c>
      <c r="K143" s="53">
        <f>K138/$K$2/8*I143</f>
        <v>5028.2258064516127</v>
      </c>
      <c r="L143" s="54"/>
      <c r="N143" s="71"/>
      <c r="O143" s="72" t="s">
        <v>49</v>
      </c>
      <c r="P143" s="72"/>
      <c r="Q143" s="72"/>
      <c r="R143" s="72" t="str">
        <f t="shared" si="26"/>
        <v/>
      </c>
      <c r="S143" s="63"/>
      <c r="T143" s="72" t="s">
        <v>49</v>
      </c>
      <c r="U143" s="105"/>
      <c r="V143" s="74"/>
      <c r="W143" s="105" t="str">
        <f t="shared" si="27"/>
        <v/>
      </c>
      <c r="X143" s="74"/>
      <c r="Y143" s="105" t="str">
        <f t="shared" si="28"/>
        <v/>
      </c>
      <c r="Z143" s="76"/>
    </row>
    <row r="144" spans="1:27" s="29" customFormat="1" ht="21" customHeight="1" x14ac:dyDescent="0.2">
      <c r="A144" s="30"/>
      <c r="B144" s="48" t="s">
        <v>7</v>
      </c>
      <c r="C144" s="39">
        <f>IF($J$1="January",P138,IF($J$1="February",P139,IF($J$1="March",P140,IF($J$1="April",P141,IF($J$1="May",P142,IF($J$1="June",P143,IF($J$1="July",P144,IF($J$1="August",P145,IF($J$1="August",P145,IF($J$1="September",P146,IF($J$1="October",P147,IF($J$1="November",P148,IF($J$1="December",P149)))))))))))))</f>
        <v>31</v>
      </c>
      <c r="F144" s="48" t="s">
        <v>65</v>
      </c>
      <c r="G144" s="109">
        <f>IF($J$1="January",W138,IF($J$1="February",W139,IF($J$1="March",W140,IF($J$1="April",W141,IF($J$1="May",W142,IF($J$1="June",W143,IF($J$1="July",W144,IF($J$1="August",W145,IF($J$1="August",W145,IF($J$1="September",W146,IF($J$1="October",W147,IF($J$1="November",W148,IF($J$1="December",W149)))))))))))))</f>
        <v>70500</v>
      </c>
      <c r="H144" s="47"/>
      <c r="I144" s="402" t="s">
        <v>69</v>
      </c>
      <c r="J144" s="403"/>
      <c r="K144" s="53">
        <f>K142+K143</f>
        <v>48028.225806451614</v>
      </c>
      <c r="L144" s="54"/>
      <c r="N144" s="71"/>
      <c r="O144" s="72" t="s">
        <v>50</v>
      </c>
      <c r="P144" s="72"/>
      <c r="Q144" s="72"/>
      <c r="R144" s="72" t="str">
        <f t="shared" si="26"/>
        <v/>
      </c>
      <c r="S144" s="63"/>
      <c r="T144" s="72" t="s">
        <v>50</v>
      </c>
      <c r="U144" s="105"/>
      <c r="V144" s="74"/>
      <c r="W144" s="105" t="str">
        <f t="shared" si="27"/>
        <v/>
      </c>
      <c r="X144" s="74"/>
      <c r="Y144" s="105" t="str">
        <f t="shared" si="28"/>
        <v/>
      </c>
      <c r="Z144" s="76"/>
    </row>
    <row r="145" spans="1:27" s="29" customFormat="1" ht="21" customHeight="1" x14ac:dyDescent="0.2">
      <c r="A145" s="30"/>
      <c r="B145" s="48" t="s">
        <v>6</v>
      </c>
      <c r="C145" s="39">
        <f>IF($J$1="January",Q138,IF($J$1="February",Q139,IF($J$1="March",Q140,IF($J$1="April",Q141,IF($J$1="May",Q142,IF($J$1="June",Q143,IF($J$1="July",Q144,IF($J$1="August",Q145,IF($J$1="August",Q145,IF($J$1="September",Q146,IF($J$1="October",Q147,IF($J$1="November",Q148,IF($J$1="December",Q149)))))))))))))</f>
        <v>0</v>
      </c>
      <c r="F145" s="48" t="s">
        <v>21</v>
      </c>
      <c r="G145" s="109">
        <f>IF($J$1="January",X138,IF($J$1="February",X139,IF($J$1="March",X140,IF($J$1="April",X141,IF($J$1="May",X142,IF($J$1="June",X143,IF($J$1="July",X144,IF($J$1="August",X145,IF($J$1="August",X145,IF($J$1="September",X146,IF($J$1="October",X147,IF($J$1="November",X148,IF($J$1="December",X149)))))))))))))</f>
        <v>8000</v>
      </c>
      <c r="H145" s="47"/>
      <c r="I145" s="402" t="s">
        <v>70</v>
      </c>
      <c r="J145" s="403"/>
      <c r="K145" s="43">
        <f>G145</f>
        <v>8000</v>
      </c>
      <c r="L145" s="55"/>
      <c r="N145" s="71"/>
      <c r="O145" s="72" t="s">
        <v>51</v>
      </c>
      <c r="P145" s="72"/>
      <c r="Q145" s="72"/>
      <c r="R145" s="72" t="str">
        <f t="shared" si="26"/>
        <v/>
      </c>
      <c r="S145" s="63"/>
      <c r="T145" s="72" t="s">
        <v>51</v>
      </c>
      <c r="U145" s="105"/>
      <c r="V145" s="74"/>
      <c r="W145" s="105" t="str">
        <f t="shared" si="27"/>
        <v/>
      </c>
      <c r="X145" s="74"/>
      <c r="Y145" s="105" t="str">
        <f t="shared" si="28"/>
        <v/>
      </c>
      <c r="Z145" s="76"/>
    </row>
    <row r="146" spans="1:27" s="29" customFormat="1" ht="21" customHeight="1" x14ac:dyDescent="0.2">
      <c r="A146" s="30"/>
      <c r="B146" s="56" t="s">
        <v>68</v>
      </c>
      <c r="C146" s="39">
        <f>IF($J$1="January",R138,IF($J$1="February",R139,IF($J$1="March",R140,IF($J$1="April",R141,IF($J$1="May",R142,IF($J$1="June",R143,IF($J$1="July",R144,IF($J$1="August",R145,IF($J$1="August",R145,IF($J$1="September",R146,IF($J$1="October",R147,IF($J$1="November",R148,IF($J$1="December",R149)))))))))))))</f>
        <v>12</v>
      </c>
      <c r="F146" s="48" t="s">
        <v>67</v>
      </c>
      <c r="G146" s="109">
        <f>IF($J$1="January",Y138,IF($J$1="February",Y139,IF($J$1="March",Y140,IF($J$1="April",Y141,IF($J$1="May",Y142,IF($J$1="June",Y143,IF($J$1="July",Y144,IF($J$1="August",Y145,IF($J$1="August",Y145,IF($J$1="September",Y146,IF($J$1="October",Y147,IF($J$1="November",Y148,IF($J$1="December",Y149)))))))))))))</f>
        <v>62500</v>
      </c>
      <c r="I146" s="391" t="s">
        <v>63</v>
      </c>
      <c r="J146" s="393"/>
      <c r="K146" s="57">
        <f>K144-K145</f>
        <v>40028.225806451614</v>
      </c>
      <c r="L146" s="58"/>
      <c r="N146" s="71"/>
      <c r="O146" s="72" t="s">
        <v>56</v>
      </c>
      <c r="P146" s="72"/>
      <c r="Q146" s="72"/>
      <c r="R146" s="72" t="str">
        <f t="shared" si="26"/>
        <v/>
      </c>
      <c r="S146" s="63"/>
      <c r="T146" s="72" t="s">
        <v>56</v>
      </c>
      <c r="U146" s="105"/>
      <c r="V146" s="74"/>
      <c r="W146" s="105" t="str">
        <f t="shared" si="27"/>
        <v/>
      </c>
      <c r="X146" s="74"/>
      <c r="Y146" s="105" t="str">
        <f t="shared" si="28"/>
        <v/>
      </c>
      <c r="Z146" s="76"/>
    </row>
    <row r="147" spans="1:27" s="29" customFormat="1" ht="21" customHeight="1" x14ac:dyDescent="0.2">
      <c r="A147" s="30"/>
      <c r="J147" s="47"/>
      <c r="K147" s="107"/>
      <c r="L147" s="46"/>
      <c r="N147" s="71"/>
      <c r="O147" s="72" t="s">
        <v>52</v>
      </c>
      <c r="P147" s="72"/>
      <c r="Q147" s="72"/>
      <c r="R147" s="72" t="str">
        <f t="shared" si="26"/>
        <v/>
      </c>
      <c r="S147" s="63"/>
      <c r="T147" s="72" t="s">
        <v>52</v>
      </c>
      <c r="U147" s="105"/>
      <c r="V147" s="74"/>
      <c r="W147" s="105" t="str">
        <f t="shared" si="27"/>
        <v/>
      </c>
      <c r="X147" s="74"/>
      <c r="Y147" s="105" t="str">
        <f t="shared" si="28"/>
        <v/>
      </c>
      <c r="Z147" s="76"/>
    </row>
    <row r="148" spans="1:27" s="29" customFormat="1" ht="21" customHeight="1" x14ac:dyDescent="0.2">
      <c r="A148" s="30"/>
      <c r="B148" s="404" t="s">
        <v>85</v>
      </c>
      <c r="C148" s="404"/>
      <c r="D148" s="404"/>
      <c r="E148" s="404"/>
      <c r="F148" s="404"/>
      <c r="G148" s="404"/>
      <c r="H148" s="404"/>
      <c r="I148" s="404"/>
      <c r="J148" s="404"/>
      <c r="K148" s="404"/>
      <c r="L148" s="46"/>
      <c r="N148" s="71"/>
      <c r="O148" s="72" t="s">
        <v>57</v>
      </c>
      <c r="P148" s="72"/>
      <c r="Q148" s="72"/>
      <c r="R148" s="72" t="str">
        <f t="shared" si="26"/>
        <v/>
      </c>
      <c r="S148" s="63"/>
      <c r="T148" s="72" t="s">
        <v>57</v>
      </c>
      <c r="U148" s="105"/>
      <c r="V148" s="74"/>
      <c r="W148" s="105" t="str">
        <f t="shared" si="27"/>
        <v/>
      </c>
      <c r="X148" s="74"/>
      <c r="Y148" s="105" t="str">
        <f t="shared" si="28"/>
        <v/>
      </c>
      <c r="Z148" s="76"/>
    </row>
    <row r="149" spans="1:27" s="29" customFormat="1" ht="21" customHeight="1" x14ac:dyDescent="0.2">
      <c r="A149" s="30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6"/>
      <c r="N149" s="71"/>
      <c r="O149" s="72" t="s">
        <v>58</v>
      </c>
      <c r="P149" s="72"/>
      <c r="Q149" s="72"/>
      <c r="R149" s="72" t="str">
        <f t="shared" si="26"/>
        <v/>
      </c>
      <c r="S149" s="63"/>
      <c r="T149" s="72" t="s">
        <v>58</v>
      </c>
      <c r="U149" s="105"/>
      <c r="V149" s="74"/>
      <c r="W149" s="105" t="str">
        <f t="shared" si="27"/>
        <v/>
      </c>
      <c r="X149" s="74"/>
      <c r="Y149" s="105" t="str">
        <f t="shared" si="28"/>
        <v/>
      </c>
      <c r="Z149" s="76"/>
    </row>
    <row r="150" spans="1:27" s="29" customFormat="1" ht="21" customHeight="1" thickBot="1" x14ac:dyDescent="0.25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1"/>
      <c r="N150" s="77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9"/>
    </row>
    <row r="151" spans="1:27" s="29" customFormat="1" ht="21" customHeight="1" thickBot="1" x14ac:dyDescent="0.25"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7" s="29" customFormat="1" ht="21" customHeight="1" x14ac:dyDescent="0.2">
      <c r="A152" s="408" t="s">
        <v>40</v>
      </c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10"/>
      <c r="M152" s="28"/>
      <c r="N152" s="64"/>
      <c r="O152" s="405" t="s">
        <v>42</v>
      </c>
      <c r="P152" s="406"/>
      <c r="Q152" s="406"/>
      <c r="R152" s="407"/>
      <c r="S152" s="65"/>
      <c r="T152" s="405" t="s">
        <v>43</v>
      </c>
      <c r="U152" s="406"/>
      <c r="V152" s="406"/>
      <c r="W152" s="406"/>
      <c r="X152" s="406"/>
      <c r="Y152" s="407"/>
      <c r="Z152" s="66"/>
      <c r="AA152" s="28"/>
    </row>
    <row r="153" spans="1:27" s="29" customFormat="1" ht="21" customHeight="1" x14ac:dyDescent="0.2">
      <c r="A153" s="30"/>
      <c r="C153" s="395" t="s">
        <v>83</v>
      </c>
      <c r="D153" s="395"/>
      <c r="E153" s="395"/>
      <c r="F153" s="395"/>
      <c r="G153" s="31" t="str">
        <f>$J$1</f>
        <v>May</v>
      </c>
      <c r="H153" s="394">
        <f>$K$1</f>
        <v>2023</v>
      </c>
      <c r="I153" s="394"/>
      <c r="K153" s="32"/>
      <c r="L153" s="33"/>
      <c r="M153" s="32"/>
      <c r="N153" s="67"/>
      <c r="O153" s="68" t="s">
        <v>53</v>
      </c>
      <c r="P153" s="68" t="s">
        <v>7</v>
      </c>
      <c r="Q153" s="68" t="s">
        <v>6</v>
      </c>
      <c r="R153" s="68" t="s">
        <v>54</v>
      </c>
      <c r="S153" s="69"/>
      <c r="T153" s="68" t="s">
        <v>53</v>
      </c>
      <c r="U153" s="68" t="s">
        <v>55</v>
      </c>
      <c r="V153" s="68" t="s">
        <v>20</v>
      </c>
      <c r="W153" s="68" t="s">
        <v>19</v>
      </c>
      <c r="X153" s="68" t="s">
        <v>21</v>
      </c>
      <c r="Y153" s="68" t="s">
        <v>59</v>
      </c>
      <c r="Z153" s="70"/>
      <c r="AA153" s="32"/>
    </row>
    <row r="154" spans="1:27" s="29" customFormat="1" ht="21" customHeight="1" x14ac:dyDescent="0.2">
      <c r="A154" s="30"/>
      <c r="D154" s="35"/>
      <c r="E154" s="35"/>
      <c r="F154" s="35"/>
      <c r="G154" s="35"/>
      <c r="H154" s="35"/>
      <c r="J154" s="36" t="s">
        <v>1</v>
      </c>
      <c r="K154" s="37">
        <v>35000</v>
      </c>
      <c r="L154" s="38"/>
      <c r="N154" s="71"/>
      <c r="O154" s="72" t="s">
        <v>45</v>
      </c>
      <c r="P154" s="72">
        <v>29</v>
      </c>
      <c r="Q154" s="72">
        <v>2</v>
      </c>
      <c r="R154" s="72">
        <f>15-Q154</f>
        <v>13</v>
      </c>
      <c r="S154" s="73"/>
      <c r="T154" s="72" t="s">
        <v>45</v>
      </c>
      <c r="U154" s="74"/>
      <c r="V154" s="74"/>
      <c r="W154" s="74">
        <f>V154+U154</f>
        <v>0</v>
      </c>
      <c r="X154" s="74"/>
      <c r="Y154" s="74">
        <f>W154-X154</f>
        <v>0</v>
      </c>
      <c r="Z154" s="70"/>
    </row>
    <row r="155" spans="1:27" s="29" customFormat="1" ht="21" customHeight="1" x14ac:dyDescent="0.2">
      <c r="A155" s="30"/>
      <c r="B155" s="29" t="s">
        <v>0</v>
      </c>
      <c r="C155" s="40" t="s">
        <v>77</v>
      </c>
      <c r="H155" s="41"/>
      <c r="I155" s="35"/>
      <c r="L155" s="42"/>
      <c r="M155" s="28"/>
      <c r="N155" s="75"/>
      <c r="O155" s="72" t="s">
        <v>71</v>
      </c>
      <c r="P155" s="72">
        <v>28</v>
      </c>
      <c r="Q155" s="72">
        <v>0</v>
      </c>
      <c r="R155" s="72">
        <f t="shared" ref="R155:R165" si="29">IF(Q155="","",R154-Q155)</f>
        <v>13</v>
      </c>
      <c r="S155" s="63"/>
      <c r="T155" s="72" t="s">
        <v>71</v>
      </c>
      <c r="U155" s="105">
        <f t="shared" ref="U155:U160" si="30">Y154</f>
        <v>0</v>
      </c>
      <c r="V155" s="74"/>
      <c r="W155" s="105">
        <f>IF(U155="","",U155+V155)</f>
        <v>0</v>
      </c>
      <c r="X155" s="74"/>
      <c r="Y155" s="105">
        <f>IF(W155="","",W155-X155)</f>
        <v>0</v>
      </c>
      <c r="Z155" s="76"/>
      <c r="AA155" s="28"/>
    </row>
    <row r="156" spans="1:27" s="29" customFormat="1" ht="21" customHeight="1" x14ac:dyDescent="0.2">
      <c r="A156" s="30"/>
      <c r="B156" s="44" t="s">
        <v>41</v>
      </c>
      <c r="C156" s="45"/>
      <c r="F156" s="411" t="s">
        <v>43</v>
      </c>
      <c r="G156" s="411"/>
      <c r="I156" s="411" t="s">
        <v>44</v>
      </c>
      <c r="J156" s="411"/>
      <c r="K156" s="411"/>
      <c r="L156" s="46"/>
      <c r="N156" s="71"/>
      <c r="O156" s="72" t="s">
        <v>46</v>
      </c>
      <c r="P156" s="72">
        <v>31</v>
      </c>
      <c r="Q156" s="72">
        <v>0</v>
      </c>
      <c r="R156" s="72">
        <f t="shared" si="29"/>
        <v>13</v>
      </c>
      <c r="S156" s="63"/>
      <c r="T156" s="72" t="s">
        <v>46</v>
      </c>
      <c r="U156" s="105">
        <f t="shared" si="30"/>
        <v>0</v>
      </c>
      <c r="V156" s="74"/>
      <c r="W156" s="105">
        <f t="shared" ref="W156:W165" si="31">IF(U156="","",U156+V156)</f>
        <v>0</v>
      </c>
      <c r="X156" s="74"/>
      <c r="Y156" s="105">
        <f t="shared" ref="Y156:Y165" si="32">IF(W156="","",W156-X156)</f>
        <v>0</v>
      </c>
      <c r="Z156" s="76"/>
    </row>
    <row r="157" spans="1:27" s="29" customFormat="1" ht="21" customHeight="1" x14ac:dyDescent="0.2">
      <c r="A157" s="30"/>
      <c r="H157" s="47"/>
      <c r="L157" s="34"/>
      <c r="N157" s="71"/>
      <c r="O157" s="72" t="s">
        <v>47</v>
      </c>
      <c r="P157" s="72">
        <v>30</v>
      </c>
      <c r="Q157" s="72">
        <v>0</v>
      </c>
      <c r="R157" s="72">
        <f t="shared" si="29"/>
        <v>13</v>
      </c>
      <c r="S157" s="63"/>
      <c r="T157" s="72" t="s">
        <v>47</v>
      </c>
      <c r="U157" s="105">
        <f t="shared" si="30"/>
        <v>0</v>
      </c>
      <c r="V157" s="74"/>
      <c r="W157" s="105">
        <f t="shared" si="31"/>
        <v>0</v>
      </c>
      <c r="X157" s="74"/>
      <c r="Y157" s="105">
        <f t="shared" si="32"/>
        <v>0</v>
      </c>
      <c r="Z157" s="76"/>
    </row>
    <row r="158" spans="1:27" s="29" customFormat="1" ht="21" customHeight="1" x14ac:dyDescent="0.2">
      <c r="A158" s="30"/>
      <c r="B158" s="389" t="s">
        <v>42</v>
      </c>
      <c r="C158" s="390"/>
      <c r="F158" s="48" t="s">
        <v>64</v>
      </c>
      <c r="G158" s="43">
        <f>IF($J$1="January",U154,IF($J$1="February",U155,IF($J$1="March",U156,IF($J$1="April",U157,IF($J$1="May",U158,IF($J$1="June",U159,IF($J$1="July",U160,IF($J$1="August",U161,IF($J$1="August",U161,IF($J$1="September",U162,IF($J$1="October",U163,IF($J$1="November",U164,IF($J$1="December",U165)))))))))))))</f>
        <v>0</v>
      </c>
      <c r="H158" s="47"/>
      <c r="I158" s="49">
        <f>IF(C162&gt;0,$K$2,C160)</f>
        <v>31</v>
      </c>
      <c r="J158" s="50" t="s">
        <v>61</v>
      </c>
      <c r="K158" s="51">
        <f>K154/$K$2*I158</f>
        <v>35000</v>
      </c>
      <c r="L158" s="52"/>
      <c r="N158" s="71"/>
      <c r="O158" s="72" t="s">
        <v>48</v>
      </c>
      <c r="P158" s="72">
        <v>31</v>
      </c>
      <c r="Q158" s="72">
        <v>0</v>
      </c>
      <c r="R158" s="72">
        <f t="shared" si="29"/>
        <v>13</v>
      </c>
      <c r="S158" s="63"/>
      <c r="T158" s="72" t="s">
        <v>48</v>
      </c>
      <c r="U158" s="105">
        <f t="shared" si="30"/>
        <v>0</v>
      </c>
      <c r="V158" s="74"/>
      <c r="W158" s="105">
        <f t="shared" si="31"/>
        <v>0</v>
      </c>
      <c r="X158" s="74"/>
      <c r="Y158" s="105">
        <f t="shared" si="32"/>
        <v>0</v>
      </c>
      <c r="Z158" s="76"/>
    </row>
    <row r="159" spans="1:27" s="29" customFormat="1" ht="21" customHeight="1" x14ac:dyDescent="0.2">
      <c r="A159" s="30"/>
      <c r="B159" s="39"/>
      <c r="C159" s="39"/>
      <c r="F159" s="48" t="s">
        <v>20</v>
      </c>
      <c r="G159" s="43">
        <f>IF($J$1="January",V154,IF($J$1="February",V155,IF($J$1="March",V156,IF($J$1="April",V157,IF($J$1="May",V158,IF($J$1="June",V159,IF($J$1="July",V160,IF($J$1="August",V161,IF($J$1="August",V161,IF($J$1="September",V162,IF($J$1="October",V163,IF($J$1="November",V164,IF($J$1="December",V165)))))))))))))</f>
        <v>0</v>
      </c>
      <c r="H159" s="47"/>
      <c r="I159" s="103"/>
      <c r="J159" s="50" t="s">
        <v>62</v>
      </c>
      <c r="K159" s="53">
        <f>K154/$K$2/8*I159</f>
        <v>0</v>
      </c>
      <c r="L159" s="54"/>
      <c r="N159" s="71"/>
      <c r="O159" s="72" t="s">
        <v>49</v>
      </c>
      <c r="P159" s="72"/>
      <c r="Q159" s="72"/>
      <c r="R159" s="72" t="str">
        <f t="shared" si="29"/>
        <v/>
      </c>
      <c r="S159" s="63"/>
      <c r="T159" s="72" t="s">
        <v>49</v>
      </c>
      <c r="U159" s="105">
        <f t="shared" si="30"/>
        <v>0</v>
      </c>
      <c r="V159" s="74"/>
      <c r="W159" s="105">
        <f t="shared" si="31"/>
        <v>0</v>
      </c>
      <c r="X159" s="74"/>
      <c r="Y159" s="105">
        <f t="shared" si="32"/>
        <v>0</v>
      </c>
      <c r="Z159" s="76"/>
    </row>
    <row r="160" spans="1:27" s="29" customFormat="1" ht="21" customHeight="1" x14ac:dyDescent="0.2">
      <c r="A160" s="30"/>
      <c r="B160" s="48" t="s">
        <v>7</v>
      </c>
      <c r="C160" s="39">
        <f>IF($J$1="January",P154,IF($J$1="February",P155,IF($J$1="March",P156,IF($J$1="April",P157,IF($J$1="May",P158,IF($J$1="June",P159,IF($J$1="July",P160,IF($J$1="August",P161,IF($J$1="August",P161,IF($J$1="September",P162,IF($J$1="October",P163,IF($J$1="November",P164,IF($J$1="December",P165)))))))))))))</f>
        <v>31</v>
      </c>
      <c r="F160" s="48" t="s">
        <v>65</v>
      </c>
      <c r="G160" s="43">
        <f>IF($J$1="January",W154,IF($J$1="February",W155,IF($J$1="March",W156,IF($J$1="April",W157,IF($J$1="May",W158,IF($J$1="June",W159,IF($J$1="July",W160,IF($J$1="August",W161,IF($J$1="August",W161,IF($J$1="September",W162,IF($J$1="October",W163,IF($J$1="November",W164,IF($J$1="December",W165)))))))))))))</f>
        <v>0</v>
      </c>
      <c r="H160" s="47"/>
      <c r="I160" s="402" t="s">
        <v>69</v>
      </c>
      <c r="J160" s="403"/>
      <c r="K160" s="53">
        <f>K158+K159</f>
        <v>35000</v>
      </c>
      <c r="L160" s="54"/>
      <c r="N160" s="71"/>
      <c r="O160" s="72" t="s">
        <v>50</v>
      </c>
      <c r="P160" s="72"/>
      <c r="Q160" s="72"/>
      <c r="R160" s="72" t="str">
        <f t="shared" si="29"/>
        <v/>
      </c>
      <c r="S160" s="63"/>
      <c r="T160" s="72" t="s">
        <v>50</v>
      </c>
      <c r="U160" s="105">
        <f t="shared" si="30"/>
        <v>0</v>
      </c>
      <c r="V160" s="74"/>
      <c r="W160" s="105">
        <f t="shared" si="31"/>
        <v>0</v>
      </c>
      <c r="X160" s="74"/>
      <c r="Y160" s="105">
        <f t="shared" si="32"/>
        <v>0</v>
      </c>
      <c r="Z160" s="76"/>
    </row>
    <row r="161" spans="1:27" s="29" customFormat="1" ht="21" customHeight="1" x14ac:dyDescent="0.2">
      <c r="A161" s="30"/>
      <c r="B161" s="48" t="s">
        <v>6</v>
      </c>
      <c r="C161" s="39">
        <f>IF($J$1="January",Q154,IF($J$1="February",Q155,IF($J$1="March",Q156,IF($J$1="April",Q157,IF($J$1="May",Q158,IF($J$1="June",Q159,IF($J$1="July",Q160,IF($J$1="August",Q161,IF($J$1="August",Q161,IF($J$1="September",Q162,IF($J$1="October",Q163,IF($J$1="November",Q164,IF($J$1="December",Q165)))))))))))))</f>
        <v>0</v>
      </c>
      <c r="F161" s="48" t="s">
        <v>21</v>
      </c>
      <c r="G161" s="43">
        <f>IF($J$1="January",X154,IF($J$1="February",X155,IF($J$1="March",X156,IF($J$1="April",X157,IF($J$1="May",X158,IF($J$1="June",X159,IF($J$1="July",X160,IF($J$1="August",X161,IF($J$1="August",X161,IF($J$1="September",X162,IF($J$1="October",X163,IF($J$1="November",X164,IF($J$1="December",X165)))))))))))))</f>
        <v>0</v>
      </c>
      <c r="H161" s="47"/>
      <c r="I161" s="402" t="s">
        <v>70</v>
      </c>
      <c r="J161" s="403"/>
      <c r="K161" s="43">
        <f>G161</f>
        <v>0</v>
      </c>
      <c r="L161" s="55"/>
      <c r="N161" s="71"/>
      <c r="O161" s="72" t="s">
        <v>51</v>
      </c>
      <c r="P161" s="72"/>
      <c r="Q161" s="72"/>
      <c r="R161" s="72" t="str">
        <f t="shared" si="29"/>
        <v/>
      </c>
      <c r="S161" s="63"/>
      <c r="T161" s="72" t="s">
        <v>51</v>
      </c>
      <c r="U161" s="105">
        <f>Y160</f>
        <v>0</v>
      </c>
      <c r="V161" s="74"/>
      <c r="W161" s="105">
        <f t="shared" si="31"/>
        <v>0</v>
      </c>
      <c r="X161" s="74"/>
      <c r="Y161" s="105">
        <f t="shared" si="32"/>
        <v>0</v>
      </c>
      <c r="Z161" s="76"/>
    </row>
    <row r="162" spans="1:27" s="29" customFormat="1" ht="21" customHeight="1" x14ac:dyDescent="0.2">
      <c r="A162" s="30"/>
      <c r="B162" s="56" t="s">
        <v>68</v>
      </c>
      <c r="C162" s="39">
        <f>IF($J$1="January",R154,IF($J$1="February",R155,IF($J$1="March",R156,IF($J$1="April",R157,IF($J$1="May",R158,IF($J$1="June",R159,IF($J$1="July",R160,IF($J$1="August",R161,IF($J$1="August",R161,IF($J$1="September",R162,IF($J$1="October",R163,IF($J$1="November",R164,IF($J$1="December",R165)))))))))))))</f>
        <v>13</v>
      </c>
      <c r="F162" s="48" t="s">
        <v>67</v>
      </c>
      <c r="G162" s="43">
        <f>IF($J$1="January",Y154,IF($J$1="February",Y155,IF($J$1="March",Y156,IF($J$1="April",Y157,IF($J$1="May",Y158,IF($J$1="June",Y159,IF($J$1="July",Y160,IF($J$1="August",Y161,IF($J$1="August",Y161,IF($J$1="September",Y162,IF($J$1="October",Y163,IF($J$1="November",Y164,IF($J$1="December",Y165)))))))))))))</f>
        <v>0</v>
      </c>
      <c r="I162" s="391" t="s">
        <v>63</v>
      </c>
      <c r="J162" s="393"/>
      <c r="K162" s="57">
        <f>K160-K161</f>
        <v>35000</v>
      </c>
      <c r="L162" s="58"/>
      <c r="N162" s="71"/>
      <c r="O162" s="72" t="s">
        <v>56</v>
      </c>
      <c r="P162" s="72"/>
      <c r="Q162" s="72"/>
      <c r="R162" s="72" t="str">
        <f t="shared" si="29"/>
        <v/>
      </c>
      <c r="S162" s="63"/>
      <c r="T162" s="72" t="s">
        <v>56</v>
      </c>
      <c r="U162" s="105">
        <f>Y161</f>
        <v>0</v>
      </c>
      <c r="V162" s="74"/>
      <c r="W162" s="105">
        <f t="shared" si="31"/>
        <v>0</v>
      </c>
      <c r="X162" s="74"/>
      <c r="Y162" s="105">
        <f t="shared" si="32"/>
        <v>0</v>
      </c>
      <c r="Z162" s="76"/>
    </row>
    <row r="163" spans="1:27" s="29" customFormat="1" ht="21" customHeight="1" x14ac:dyDescent="0.2">
      <c r="A163" s="30"/>
      <c r="K163" s="107"/>
      <c r="L163" s="46"/>
      <c r="N163" s="71"/>
      <c r="O163" s="72" t="s">
        <v>52</v>
      </c>
      <c r="P163" s="72"/>
      <c r="Q163" s="72"/>
      <c r="R163" s="72" t="str">
        <f t="shared" si="29"/>
        <v/>
      </c>
      <c r="S163" s="63"/>
      <c r="T163" s="72" t="s">
        <v>52</v>
      </c>
      <c r="U163" s="105">
        <f>Y162</f>
        <v>0</v>
      </c>
      <c r="V163" s="74"/>
      <c r="W163" s="105">
        <f t="shared" si="31"/>
        <v>0</v>
      </c>
      <c r="X163" s="74"/>
      <c r="Y163" s="105">
        <f t="shared" si="32"/>
        <v>0</v>
      </c>
      <c r="Z163" s="76"/>
    </row>
    <row r="164" spans="1:27" s="29" customFormat="1" ht="21" customHeight="1" x14ac:dyDescent="0.2">
      <c r="A164" s="30"/>
      <c r="B164" s="404" t="s">
        <v>85</v>
      </c>
      <c r="C164" s="404"/>
      <c r="D164" s="404"/>
      <c r="E164" s="404"/>
      <c r="F164" s="404"/>
      <c r="G164" s="404"/>
      <c r="H164" s="404"/>
      <c r="I164" s="404"/>
      <c r="J164" s="404"/>
      <c r="K164" s="404"/>
      <c r="L164" s="46"/>
      <c r="N164" s="71"/>
      <c r="O164" s="72" t="s">
        <v>57</v>
      </c>
      <c r="P164" s="72"/>
      <c r="Q164" s="72"/>
      <c r="R164" s="72" t="str">
        <f t="shared" si="29"/>
        <v/>
      </c>
      <c r="S164" s="63"/>
      <c r="T164" s="72" t="s">
        <v>57</v>
      </c>
      <c r="U164" s="105">
        <f>Y163</f>
        <v>0</v>
      </c>
      <c r="V164" s="74"/>
      <c r="W164" s="105">
        <f t="shared" si="31"/>
        <v>0</v>
      </c>
      <c r="X164" s="74"/>
      <c r="Y164" s="105">
        <f t="shared" si="32"/>
        <v>0</v>
      </c>
      <c r="Z164" s="76"/>
    </row>
    <row r="165" spans="1:27" s="29" customFormat="1" ht="21" customHeight="1" x14ac:dyDescent="0.2">
      <c r="A165" s="30"/>
      <c r="B165" s="404"/>
      <c r="C165" s="404"/>
      <c r="D165" s="404"/>
      <c r="E165" s="404"/>
      <c r="F165" s="404"/>
      <c r="G165" s="404"/>
      <c r="H165" s="404"/>
      <c r="I165" s="404"/>
      <c r="J165" s="404"/>
      <c r="K165" s="404"/>
      <c r="L165" s="46"/>
      <c r="N165" s="71"/>
      <c r="O165" s="72" t="s">
        <v>58</v>
      </c>
      <c r="P165" s="72"/>
      <c r="Q165" s="72"/>
      <c r="R165" s="72" t="str">
        <f t="shared" si="29"/>
        <v/>
      </c>
      <c r="S165" s="63"/>
      <c r="T165" s="72" t="s">
        <v>58</v>
      </c>
      <c r="U165" s="105">
        <f>Y164</f>
        <v>0</v>
      </c>
      <c r="V165" s="74"/>
      <c r="W165" s="105">
        <f t="shared" si="31"/>
        <v>0</v>
      </c>
      <c r="X165" s="74"/>
      <c r="Y165" s="105">
        <f t="shared" si="32"/>
        <v>0</v>
      </c>
      <c r="Z165" s="76"/>
    </row>
    <row r="166" spans="1:27" s="29" customFormat="1" ht="21" customHeight="1" thickBot="1" x14ac:dyDescent="0.25">
      <c r="A166" s="5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1"/>
      <c r="N166" s="77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9"/>
    </row>
    <row r="167" spans="1:27" ht="15.75" thickBot="1" x14ac:dyDescent="0.3"/>
    <row r="168" spans="1:27" s="29" customFormat="1" ht="21" customHeight="1" x14ac:dyDescent="0.2">
      <c r="A168" s="408" t="s">
        <v>40</v>
      </c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10"/>
      <c r="M168" s="28"/>
      <c r="N168" s="64"/>
      <c r="O168" s="405" t="s">
        <v>42</v>
      </c>
      <c r="P168" s="406"/>
      <c r="Q168" s="406"/>
      <c r="R168" s="407"/>
      <c r="S168" s="65"/>
      <c r="T168" s="405" t="s">
        <v>43</v>
      </c>
      <c r="U168" s="406"/>
      <c r="V168" s="406"/>
      <c r="W168" s="406"/>
      <c r="X168" s="406"/>
      <c r="Y168" s="407"/>
      <c r="Z168" s="66"/>
      <c r="AA168" s="28"/>
    </row>
    <row r="169" spans="1:27" s="29" customFormat="1" ht="21" customHeight="1" x14ac:dyDescent="0.2">
      <c r="A169" s="30"/>
      <c r="C169" s="395" t="s">
        <v>83</v>
      </c>
      <c r="D169" s="395"/>
      <c r="E169" s="395"/>
      <c r="F169" s="395"/>
      <c r="G169" s="31" t="str">
        <f>$J$1</f>
        <v>May</v>
      </c>
      <c r="H169" s="394">
        <f>$K$1</f>
        <v>2023</v>
      </c>
      <c r="I169" s="394"/>
      <c r="K169" s="32"/>
      <c r="L169" s="33"/>
      <c r="M169" s="32"/>
      <c r="N169" s="67"/>
      <c r="O169" s="68" t="s">
        <v>53</v>
      </c>
      <c r="P169" s="68" t="s">
        <v>7</v>
      </c>
      <c r="Q169" s="68" t="s">
        <v>6</v>
      </c>
      <c r="R169" s="68" t="s">
        <v>54</v>
      </c>
      <c r="S169" s="69"/>
      <c r="T169" s="68" t="s">
        <v>53</v>
      </c>
      <c r="U169" s="68" t="s">
        <v>55</v>
      </c>
      <c r="V169" s="68" t="s">
        <v>20</v>
      </c>
      <c r="W169" s="68" t="s">
        <v>19</v>
      </c>
      <c r="X169" s="68" t="s">
        <v>21</v>
      </c>
      <c r="Y169" s="68" t="s">
        <v>59</v>
      </c>
      <c r="Z169" s="70"/>
      <c r="AA169" s="32"/>
    </row>
    <row r="170" spans="1:27" s="29" customFormat="1" ht="21" customHeight="1" x14ac:dyDescent="0.2">
      <c r="A170" s="30"/>
      <c r="D170" s="35"/>
      <c r="E170" s="35"/>
      <c r="F170" s="35"/>
      <c r="G170" s="35"/>
      <c r="H170" s="35"/>
      <c r="J170" s="36" t="s">
        <v>1</v>
      </c>
      <c r="K170" s="37">
        <v>30000</v>
      </c>
      <c r="L170" s="38"/>
      <c r="N170" s="71"/>
      <c r="O170" s="72" t="s">
        <v>45</v>
      </c>
      <c r="P170" s="72">
        <v>31</v>
      </c>
      <c r="Q170" s="72">
        <v>0</v>
      </c>
      <c r="R170" s="72">
        <f>15-Q170+8</f>
        <v>23</v>
      </c>
      <c r="S170" s="73"/>
      <c r="T170" s="72" t="s">
        <v>45</v>
      </c>
      <c r="U170" s="74">
        <v>68167</v>
      </c>
      <c r="V170" s="74">
        <v>700</v>
      </c>
      <c r="W170" s="74">
        <f>V170+U170</f>
        <v>68867</v>
      </c>
      <c r="X170" s="74">
        <v>5000</v>
      </c>
      <c r="Y170" s="74">
        <f>W170-X170</f>
        <v>63867</v>
      </c>
      <c r="Z170" s="70"/>
    </row>
    <row r="171" spans="1:27" s="29" customFormat="1" ht="21" customHeight="1" x14ac:dyDescent="0.2">
      <c r="A171" s="30"/>
      <c r="B171" s="29" t="s">
        <v>0</v>
      </c>
      <c r="C171" s="40" t="s">
        <v>23</v>
      </c>
      <c r="H171" s="41"/>
      <c r="I171" s="35"/>
      <c r="L171" s="42"/>
      <c r="M171" s="28"/>
      <c r="N171" s="75"/>
      <c r="O171" s="72" t="s">
        <v>71</v>
      </c>
      <c r="P171" s="72">
        <v>25</v>
      </c>
      <c r="Q171" s="72">
        <v>3</v>
      </c>
      <c r="R171" s="72">
        <f t="shared" ref="R171:R181" si="33">IF(Q171="","",R170-Q171)</f>
        <v>20</v>
      </c>
      <c r="S171" s="63"/>
      <c r="T171" s="72" t="s">
        <v>71</v>
      </c>
      <c r="U171" s="105">
        <f>Y170</f>
        <v>63867</v>
      </c>
      <c r="V171" s="74">
        <v>3000</v>
      </c>
      <c r="W171" s="105">
        <f>IF(U171="","",U171+V171)</f>
        <v>66867</v>
      </c>
      <c r="X171" s="74">
        <v>7000</v>
      </c>
      <c r="Y171" s="105">
        <f>IF(W171="","",W171-X171)</f>
        <v>59867</v>
      </c>
      <c r="Z171" s="76"/>
      <c r="AA171" s="28"/>
    </row>
    <row r="172" spans="1:27" s="29" customFormat="1" ht="21" customHeight="1" x14ac:dyDescent="0.2">
      <c r="A172" s="30"/>
      <c r="B172" s="44" t="s">
        <v>41</v>
      </c>
      <c r="C172" s="45"/>
      <c r="F172" s="411" t="s">
        <v>43</v>
      </c>
      <c r="G172" s="411"/>
      <c r="I172" s="411" t="s">
        <v>44</v>
      </c>
      <c r="J172" s="411"/>
      <c r="K172" s="411"/>
      <c r="L172" s="46"/>
      <c r="N172" s="71"/>
      <c r="O172" s="72" t="s">
        <v>46</v>
      </c>
      <c r="P172" s="72">
        <v>28</v>
      </c>
      <c r="Q172" s="72">
        <v>3</v>
      </c>
      <c r="R172" s="72">
        <f t="shared" si="33"/>
        <v>17</v>
      </c>
      <c r="S172" s="63"/>
      <c r="T172" s="72" t="s">
        <v>46</v>
      </c>
      <c r="U172" s="105">
        <f>Y171</f>
        <v>59867</v>
      </c>
      <c r="V172" s="74">
        <v>10000</v>
      </c>
      <c r="W172" s="105">
        <f t="shared" ref="W172:W181" si="34">IF(U172="","",U172+V172)</f>
        <v>69867</v>
      </c>
      <c r="X172" s="74"/>
      <c r="Y172" s="105">
        <f t="shared" ref="Y172:Y181" si="35">IF(W172="","",W172-X172)</f>
        <v>69867</v>
      </c>
      <c r="Z172" s="76"/>
    </row>
    <row r="173" spans="1:27" s="29" customFormat="1" ht="21" customHeight="1" x14ac:dyDescent="0.2">
      <c r="A173" s="30"/>
      <c r="H173" s="47"/>
      <c r="L173" s="34"/>
      <c r="N173" s="71"/>
      <c r="O173" s="72" t="s">
        <v>47</v>
      </c>
      <c r="P173" s="72">
        <v>29</v>
      </c>
      <c r="Q173" s="72">
        <v>1</v>
      </c>
      <c r="R173" s="72">
        <f t="shared" si="33"/>
        <v>16</v>
      </c>
      <c r="S173" s="63"/>
      <c r="T173" s="72" t="s">
        <v>47</v>
      </c>
      <c r="U173" s="105">
        <f>Y172</f>
        <v>69867</v>
      </c>
      <c r="V173" s="74"/>
      <c r="W173" s="105">
        <f t="shared" si="34"/>
        <v>69867</v>
      </c>
      <c r="X173" s="74"/>
      <c r="Y173" s="105">
        <f t="shared" si="35"/>
        <v>69867</v>
      </c>
      <c r="Z173" s="76"/>
    </row>
    <row r="174" spans="1:27" s="29" customFormat="1" ht="21" customHeight="1" x14ac:dyDescent="0.2">
      <c r="A174" s="30"/>
      <c r="B174" s="389" t="s">
        <v>42</v>
      </c>
      <c r="C174" s="390"/>
      <c r="F174" s="48" t="s">
        <v>64</v>
      </c>
      <c r="G174" s="109">
        <f>IF($J$1="January",U170,IF($J$1="February",U171,IF($J$1="March",U172,IF($J$1="April",U173,IF($J$1="May",U174,IF($J$1="June",U175,IF($J$1="July",U176,IF($J$1="August",U177,IF($J$1="August",U177,IF($J$1="September",U178,IF($J$1="October",U179,IF($J$1="November",U180,IF($J$1="December",U181)))))))))))))</f>
        <v>69867</v>
      </c>
      <c r="H174" s="47"/>
      <c r="I174" s="49">
        <f>IF(C178&gt;0,$K$2,C176)</f>
        <v>31</v>
      </c>
      <c r="J174" s="50" t="s">
        <v>61</v>
      </c>
      <c r="K174" s="51">
        <f>K170/$K$2*I174</f>
        <v>30000</v>
      </c>
      <c r="L174" s="52"/>
      <c r="N174" s="71"/>
      <c r="O174" s="72" t="s">
        <v>48</v>
      </c>
      <c r="P174" s="72">
        <v>31</v>
      </c>
      <c r="Q174" s="72">
        <v>0</v>
      </c>
      <c r="R174" s="72">
        <f t="shared" si="33"/>
        <v>16</v>
      </c>
      <c r="S174" s="63"/>
      <c r="T174" s="72" t="s">
        <v>48</v>
      </c>
      <c r="U174" s="105">
        <f>Y173</f>
        <v>69867</v>
      </c>
      <c r="V174" s="74">
        <v>1000</v>
      </c>
      <c r="W174" s="105">
        <f t="shared" si="34"/>
        <v>70867</v>
      </c>
      <c r="X174" s="74">
        <v>8000</v>
      </c>
      <c r="Y174" s="105">
        <f t="shared" si="35"/>
        <v>62867</v>
      </c>
      <c r="Z174" s="76"/>
    </row>
    <row r="175" spans="1:27" s="29" customFormat="1" ht="21" customHeight="1" x14ac:dyDescent="0.2">
      <c r="A175" s="30"/>
      <c r="B175" s="39"/>
      <c r="C175" s="39"/>
      <c r="F175" s="48" t="s">
        <v>20</v>
      </c>
      <c r="G175" s="109">
        <f>IF($J$1="January",V170,IF($J$1="February",V171,IF($J$1="March",V172,IF($J$1="April",V173,IF($J$1="May",V174,IF($J$1="June",V175,IF($J$1="July",V176,IF($J$1="August",V177,IF($J$1="August",V177,IF($J$1="September",V178,IF($J$1="October",V179,IF($J$1="November",V180,IF($J$1="December",V181)))))))))))))</f>
        <v>1000</v>
      </c>
      <c r="H175" s="47"/>
      <c r="I175" s="84">
        <v>65</v>
      </c>
      <c r="J175" s="50" t="s">
        <v>62</v>
      </c>
      <c r="K175" s="53">
        <f>K170/$K$2/8*I175</f>
        <v>7862.9032258064517</v>
      </c>
      <c r="L175" s="54"/>
      <c r="N175" s="71"/>
      <c r="O175" s="72" t="s">
        <v>49</v>
      </c>
      <c r="P175" s="72"/>
      <c r="Q175" s="72"/>
      <c r="R175" s="72" t="str">
        <f t="shared" si="33"/>
        <v/>
      </c>
      <c r="S175" s="63"/>
      <c r="T175" s="72" t="s">
        <v>49</v>
      </c>
      <c r="U175" s="105"/>
      <c r="V175" s="74"/>
      <c r="W175" s="105" t="str">
        <f t="shared" si="34"/>
        <v/>
      </c>
      <c r="X175" s="74"/>
      <c r="Y175" s="105" t="str">
        <f t="shared" si="35"/>
        <v/>
      </c>
      <c r="Z175" s="76"/>
    </row>
    <row r="176" spans="1:27" s="29" customFormat="1" ht="21" customHeight="1" x14ac:dyDescent="0.2">
      <c r="A176" s="30"/>
      <c r="B176" s="48" t="s">
        <v>7</v>
      </c>
      <c r="C176" s="39">
        <f>IF($J$1="January",P170,IF($J$1="February",P171,IF($J$1="March",P172,IF($J$1="April",P173,IF($J$1="May",P174,IF($J$1="June",P175,IF($J$1="July",P176,IF($J$1="August",P177,IF($J$1="August",P177,IF($J$1="September",P178,IF($J$1="October",P179,IF($J$1="November",P180,IF($J$1="December",P181)))))))))))))</f>
        <v>31</v>
      </c>
      <c r="F176" s="48" t="s">
        <v>65</v>
      </c>
      <c r="G176" s="109">
        <f>IF($J$1="January",W170,IF($J$1="February",W171,IF($J$1="March",W172,IF($J$1="April",W173,IF($J$1="May",W174,IF($J$1="June",W175,IF($J$1="July",W176,IF($J$1="August",W177,IF($J$1="August",W177,IF($J$1="September",W178,IF($J$1="October",W179,IF($J$1="November",W180,IF($J$1="December",W181)))))))))))))</f>
        <v>70867</v>
      </c>
      <c r="H176" s="47"/>
      <c r="I176" s="402" t="s">
        <v>69</v>
      </c>
      <c r="J176" s="403"/>
      <c r="K176" s="53">
        <f>K174+K175</f>
        <v>37862.903225806454</v>
      </c>
      <c r="L176" s="54"/>
      <c r="N176" s="71"/>
      <c r="O176" s="72" t="s">
        <v>50</v>
      </c>
      <c r="P176" s="72"/>
      <c r="Q176" s="72"/>
      <c r="R176" s="72" t="str">
        <f t="shared" si="33"/>
        <v/>
      </c>
      <c r="S176" s="63"/>
      <c r="T176" s="72" t="s">
        <v>50</v>
      </c>
      <c r="U176" s="105" t="str">
        <f t="shared" ref="U176" si="36">Y175</f>
        <v/>
      </c>
      <c r="V176" s="74"/>
      <c r="W176" s="105" t="str">
        <f t="shared" si="34"/>
        <v/>
      </c>
      <c r="X176" s="74"/>
      <c r="Y176" s="105" t="str">
        <f t="shared" si="35"/>
        <v/>
      </c>
      <c r="Z176" s="76"/>
    </row>
    <row r="177" spans="1:27" s="29" customFormat="1" ht="21" customHeight="1" x14ac:dyDescent="0.2">
      <c r="A177" s="30"/>
      <c r="B177" s="48" t="s">
        <v>6</v>
      </c>
      <c r="C177" s="39">
        <f>IF($J$1="January",Q170,IF($J$1="February",Q171,IF($J$1="March",Q172,IF($J$1="April",Q173,IF($J$1="May",Q174,IF($J$1="June",Q175,IF($J$1="July",Q176,IF($J$1="August",Q177,IF($J$1="August",Q177,IF($J$1="September",Q178,IF($J$1="October",Q179,IF($J$1="November",Q180,IF($J$1="December",Q181)))))))))))))</f>
        <v>0</v>
      </c>
      <c r="F177" s="48" t="s">
        <v>21</v>
      </c>
      <c r="G177" s="109">
        <f>IF($J$1="January",X170,IF($J$1="February",X171,IF($J$1="March",X172,IF($J$1="April",X173,IF($J$1="May",X174,IF($J$1="June",X175,IF($J$1="July",X176,IF($J$1="August",X177,IF($J$1="August",X177,IF($J$1="September",X178,IF($J$1="October",X179,IF($J$1="November",X180,IF($J$1="December",X181)))))))))))))</f>
        <v>8000</v>
      </c>
      <c r="H177" s="47"/>
      <c r="I177" s="402" t="s">
        <v>70</v>
      </c>
      <c r="J177" s="403"/>
      <c r="K177" s="43">
        <f>G177</f>
        <v>8000</v>
      </c>
      <c r="L177" s="55"/>
      <c r="N177" s="71"/>
      <c r="O177" s="72" t="s">
        <v>51</v>
      </c>
      <c r="P177" s="72"/>
      <c r="Q177" s="72"/>
      <c r="R177" s="72" t="str">
        <f t="shared" si="33"/>
        <v/>
      </c>
      <c r="S177" s="63"/>
      <c r="T177" s="72" t="s">
        <v>51</v>
      </c>
      <c r="U177" s="105" t="str">
        <f>Y176</f>
        <v/>
      </c>
      <c r="V177" s="74"/>
      <c r="W177" s="105" t="str">
        <f t="shared" si="34"/>
        <v/>
      </c>
      <c r="X177" s="74"/>
      <c r="Y177" s="105" t="str">
        <f t="shared" si="35"/>
        <v/>
      </c>
      <c r="Z177" s="76"/>
    </row>
    <row r="178" spans="1:27" s="29" customFormat="1" ht="21" customHeight="1" x14ac:dyDescent="0.2">
      <c r="A178" s="30"/>
      <c r="B178" s="56" t="s">
        <v>68</v>
      </c>
      <c r="C178" s="39">
        <f>IF($J$1="January",R170,IF($J$1="February",R171,IF($J$1="March",R172,IF($J$1="April",R173,IF($J$1="May",R174,IF($J$1="June",R175,IF($J$1="July",R176,IF($J$1="August",R177,IF($J$1="August",R177,IF($J$1="September",R178,IF($J$1="October",R179,IF($J$1="November",R180,IF($J$1="December",R181)))))))))))))</f>
        <v>16</v>
      </c>
      <c r="F178" s="48" t="s">
        <v>67</v>
      </c>
      <c r="G178" s="109">
        <f>IF($J$1="January",Y170,IF($J$1="February",Y171,IF($J$1="March",Y172,IF($J$1="April",Y173,IF($J$1="May",Y174,IF($J$1="June",Y175,IF($J$1="July",Y176,IF($J$1="August",Y177,IF($J$1="August",Y177,IF($J$1="September",Y178,IF($J$1="October",Y179,IF($J$1="November",Y180,IF($J$1="December",Y181)))))))))))))</f>
        <v>62867</v>
      </c>
      <c r="I178" s="391" t="s">
        <v>63</v>
      </c>
      <c r="J178" s="393"/>
      <c r="K178" s="57">
        <f>K176-K177</f>
        <v>29862.903225806454</v>
      </c>
      <c r="L178" s="58"/>
      <c r="N178" s="71"/>
      <c r="O178" s="72" t="s">
        <v>56</v>
      </c>
      <c r="P178" s="72"/>
      <c r="Q178" s="72"/>
      <c r="R178" s="72" t="str">
        <f t="shared" si="33"/>
        <v/>
      </c>
      <c r="S178" s="63"/>
      <c r="T178" s="72" t="s">
        <v>56</v>
      </c>
      <c r="U178" s="105" t="str">
        <f>Y177</f>
        <v/>
      </c>
      <c r="V178" s="74"/>
      <c r="W178" s="105" t="str">
        <f t="shared" si="34"/>
        <v/>
      </c>
      <c r="X178" s="74"/>
      <c r="Y178" s="105" t="str">
        <f t="shared" si="35"/>
        <v/>
      </c>
      <c r="Z178" s="76"/>
    </row>
    <row r="179" spans="1:27" s="29" customFormat="1" ht="21" customHeight="1" x14ac:dyDescent="0.2">
      <c r="A179" s="30"/>
      <c r="L179" s="46"/>
      <c r="N179" s="71"/>
      <c r="O179" s="72" t="s">
        <v>52</v>
      </c>
      <c r="P179" s="72"/>
      <c r="Q179" s="72"/>
      <c r="R179" s="72" t="str">
        <f t="shared" si="33"/>
        <v/>
      </c>
      <c r="S179" s="63"/>
      <c r="T179" s="72" t="s">
        <v>52</v>
      </c>
      <c r="U179" s="105" t="str">
        <f>Y178</f>
        <v/>
      </c>
      <c r="V179" s="74"/>
      <c r="W179" s="105" t="str">
        <f t="shared" si="34"/>
        <v/>
      </c>
      <c r="X179" s="74"/>
      <c r="Y179" s="105" t="str">
        <f t="shared" si="35"/>
        <v/>
      </c>
      <c r="Z179" s="76"/>
    </row>
    <row r="180" spans="1:27" s="29" customFormat="1" ht="21" customHeight="1" x14ac:dyDescent="0.2">
      <c r="A180" s="30"/>
      <c r="B180" s="404" t="s">
        <v>85</v>
      </c>
      <c r="C180" s="404"/>
      <c r="D180" s="404"/>
      <c r="E180" s="404"/>
      <c r="F180" s="404"/>
      <c r="G180" s="404"/>
      <c r="H180" s="404"/>
      <c r="I180" s="404"/>
      <c r="J180" s="404"/>
      <c r="K180" s="404"/>
      <c r="L180" s="46"/>
      <c r="N180" s="71"/>
      <c r="O180" s="72" t="s">
        <v>57</v>
      </c>
      <c r="P180" s="72"/>
      <c r="Q180" s="72"/>
      <c r="R180" s="72" t="str">
        <f t="shared" si="33"/>
        <v/>
      </c>
      <c r="S180" s="63"/>
      <c r="T180" s="72" t="s">
        <v>57</v>
      </c>
      <c r="U180" s="105" t="str">
        <f>Y179</f>
        <v/>
      </c>
      <c r="V180" s="74"/>
      <c r="W180" s="105" t="str">
        <f t="shared" si="34"/>
        <v/>
      </c>
      <c r="X180" s="74"/>
      <c r="Y180" s="105" t="str">
        <f t="shared" si="35"/>
        <v/>
      </c>
      <c r="Z180" s="76"/>
    </row>
    <row r="181" spans="1:27" s="29" customFormat="1" ht="21" customHeight="1" x14ac:dyDescent="0.2">
      <c r="A181" s="30"/>
      <c r="B181" s="404"/>
      <c r="C181" s="404"/>
      <c r="D181" s="404"/>
      <c r="E181" s="404"/>
      <c r="F181" s="404"/>
      <c r="G181" s="404"/>
      <c r="H181" s="404"/>
      <c r="I181" s="404"/>
      <c r="J181" s="404"/>
      <c r="K181" s="404"/>
      <c r="L181" s="46"/>
      <c r="N181" s="71"/>
      <c r="O181" s="72" t="s">
        <v>58</v>
      </c>
      <c r="P181" s="72"/>
      <c r="Q181" s="72"/>
      <c r="R181" s="72" t="str">
        <f t="shared" si="33"/>
        <v/>
      </c>
      <c r="S181" s="63"/>
      <c r="T181" s="72" t="s">
        <v>58</v>
      </c>
      <c r="U181" s="105" t="str">
        <f>Y180</f>
        <v/>
      </c>
      <c r="V181" s="74"/>
      <c r="W181" s="105" t="str">
        <f t="shared" si="34"/>
        <v/>
      </c>
      <c r="X181" s="74"/>
      <c r="Y181" s="105" t="str">
        <f t="shared" si="35"/>
        <v/>
      </c>
      <c r="Z181" s="76"/>
    </row>
    <row r="182" spans="1:27" s="29" customFormat="1" ht="21" customHeight="1" thickBot="1" x14ac:dyDescent="0.25">
      <c r="A182" s="5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1"/>
      <c r="N182" s="77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9"/>
    </row>
    <row r="183" spans="1:27" s="29" customFormat="1" ht="2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7" s="29" customFormat="1" ht="21" customHeight="1" x14ac:dyDescent="0.2">
      <c r="A184" s="412" t="s">
        <v>40</v>
      </c>
      <c r="B184" s="413"/>
      <c r="C184" s="413"/>
      <c r="D184" s="413"/>
      <c r="E184" s="413"/>
      <c r="F184" s="413"/>
      <c r="G184" s="413"/>
      <c r="H184" s="413"/>
      <c r="I184" s="413"/>
      <c r="J184" s="413"/>
      <c r="K184" s="413"/>
      <c r="L184" s="414"/>
      <c r="M184" s="28"/>
      <c r="N184" s="64"/>
      <c r="O184" s="405" t="s">
        <v>42</v>
      </c>
      <c r="P184" s="406"/>
      <c r="Q184" s="406"/>
      <c r="R184" s="407"/>
      <c r="S184" s="65"/>
      <c r="T184" s="405" t="s">
        <v>43</v>
      </c>
      <c r="U184" s="406"/>
      <c r="V184" s="406"/>
      <c r="W184" s="406"/>
      <c r="X184" s="406"/>
      <c r="Y184" s="407"/>
      <c r="Z184" s="66"/>
      <c r="AA184" s="28"/>
    </row>
    <row r="185" spans="1:27" s="29" customFormat="1" ht="21" customHeight="1" x14ac:dyDescent="0.2">
      <c r="A185" s="30"/>
      <c r="C185" s="395" t="s">
        <v>83</v>
      </c>
      <c r="D185" s="395"/>
      <c r="E185" s="395"/>
      <c r="F185" s="395"/>
      <c r="G185" s="31" t="str">
        <f>$J$1</f>
        <v>May</v>
      </c>
      <c r="H185" s="394">
        <f>$K$1</f>
        <v>2023</v>
      </c>
      <c r="I185" s="394"/>
      <c r="K185" s="32"/>
      <c r="L185" s="33"/>
      <c r="M185" s="32"/>
      <c r="N185" s="67"/>
      <c r="O185" s="68" t="s">
        <v>53</v>
      </c>
      <c r="P185" s="68" t="s">
        <v>7</v>
      </c>
      <c r="Q185" s="68" t="s">
        <v>6</v>
      </c>
      <c r="R185" s="68" t="s">
        <v>54</v>
      </c>
      <c r="S185" s="69"/>
      <c r="T185" s="68" t="s">
        <v>53</v>
      </c>
      <c r="U185" s="68" t="s">
        <v>55</v>
      </c>
      <c r="V185" s="68" t="s">
        <v>20</v>
      </c>
      <c r="W185" s="68" t="s">
        <v>19</v>
      </c>
      <c r="X185" s="68" t="s">
        <v>21</v>
      </c>
      <c r="Y185" s="68" t="s">
        <v>59</v>
      </c>
      <c r="Z185" s="70"/>
      <c r="AA185" s="32"/>
    </row>
    <row r="186" spans="1:27" s="29" customFormat="1" ht="2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>
        <v>60000</v>
      </c>
      <c r="L186" s="38"/>
      <c r="N186" s="71"/>
      <c r="O186" s="72" t="s">
        <v>45</v>
      </c>
      <c r="P186" s="72">
        <v>30</v>
      </c>
      <c r="Q186" s="72">
        <v>1</v>
      </c>
      <c r="R186" s="72">
        <f>15-Q186+27</f>
        <v>41</v>
      </c>
      <c r="S186" s="73"/>
      <c r="T186" s="72" t="s">
        <v>45</v>
      </c>
      <c r="U186" s="74">
        <v>108200</v>
      </c>
      <c r="V186" s="74"/>
      <c r="W186" s="74">
        <f>V186+U186</f>
        <v>108200</v>
      </c>
      <c r="X186" s="74">
        <v>5000</v>
      </c>
      <c r="Y186" s="74">
        <f>W186-X186</f>
        <v>103200</v>
      </c>
      <c r="Z186" s="70"/>
    </row>
    <row r="187" spans="1:27" s="29" customFormat="1" ht="21" customHeight="1" x14ac:dyDescent="0.2">
      <c r="A187" s="30"/>
      <c r="B187" s="29" t="s">
        <v>0</v>
      </c>
      <c r="C187" s="40" t="s">
        <v>73</v>
      </c>
      <c r="H187" s="41"/>
      <c r="I187" s="35"/>
      <c r="L187" s="42"/>
      <c r="M187" s="28"/>
      <c r="N187" s="75"/>
      <c r="O187" s="72" t="s">
        <v>71</v>
      </c>
      <c r="P187" s="72">
        <v>28</v>
      </c>
      <c r="Q187" s="72">
        <v>0</v>
      </c>
      <c r="R187" s="72">
        <f t="shared" ref="R187:R197" si="37">IF(Q187="","",R186-Q187)</f>
        <v>41</v>
      </c>
      <c r="S187" s="63"/>
      <c r="T187" s="72" t="s">
        <v>71</v>
      </c>
      <c r="U187" s="105">
        <f>Y186</f>
        <v>103200</v>
      </c>
      <c r="V187" s="74"/>
      <c r="W187" s="105">
        <f>IF(U187="","",U187+V187)</f>
        <v>103200</v>
      </c>
      <c r="X187" s="74">
        <v>5000</v>
      </c>
      <c r="Y187" s="105">
        <f>IF(W187="","",W187-X187)</f>
        <v>98200</v>
      </c>
      <c r="Z187" s="76"/>
      <c r="AA187" s="28"/>
    </row>
    <row r="188" spans="1:27" s="29" customFormat="1" ht="21" customHeight="1" x14ac:dyDescent="0.2">
      <c r="A188" s="30"/>
      <c r="B188" s="44" t="s">
        <v>41</v>
      </c>
      <c r="C188" s="45"/>
      <c r="F188" s="411" t="s">
        <v>43</v>
      </c>
      <c r="G188" s="411"/>
      <c r="I188" s="411" t="s">
        <v>44</v>
      </c>
      <c r="J188" s="411"/>
      <c r="K188" s="411"/>
      <c r="L188" s="46"/>
      <c r="N188" s="71"/>
      <c r="O188" s="72" t="s">
        <v>46</v>
      </c>
      <c r="P188" s="72">
        <v>29</v>
      </c>
      <c r="Q188" s="72">
        <v>2</v>
      </c>
      <c r="R188" s="72">
        <f t="shared" si="37"/>
        <v>39</v>
      </c>
      <c r="S188" s="63"/>
      <c r="T188" s="72" t="s">
        <v>46</v>
      </c>
      <c r="U188" s="105">
        <f>Y187</f>
        <v>98200</v>
      </c>
      <c r="V188" s="74"/>
      <c r="W188" s="105">
        <f t="shared" ref="W188:W197" si="38">IF(U188="","",U188+V188)</f>
        <v>98200</v>
      </c>
      <c r="X188" s="74">
        <v>5000</v>
      </c>
      <c r="Y188" s="105">
        <f t="shared" ref="Y188:Y197" si="39">IF(W188="","",W188-X188)</f>
        <v>93200</v>
      </c>
      <c r="Z188" s="76"/>
    </row>
    <row r="189" spans="1:27" s="29" customFormat="1" ht="21" customHeight="1" x14ac:dyDescent="0.2">
      <c r="A189" s="30"/>
      <c r="H189" s="47"/>
      <c r="L189" s="34"/>
      <c r="N189" s="71"/>
      <c r="O189" s="72" t="s">
        <v>47</v>
      </c>
      <c r="P189" s="72">
        <v>29</v>
      </c>
      <c r="Q189" s="72">
        <v>1</v>
      </c>
      <c r="R189" s="72">
        <f t="shared" si="37"/>
        <v>38</v>
      </c>
      <c r="S189" s="63"/>
      <c r="T189" s="72" t="s">
        <v>47</v>
      </c>
      <c r="U189" s="105">
        <f>Y188</f>
        <v>93200</v>
      </c>
      <c r="V189" s="74"/>
      <c r="W189" s="105">
        <f t="shared" si="38"/>
        <v>93200</v>
      </c>
      <c r="X189" s="74">
        <v>5000</v>
      </c>
      <c r="Y189" s="105">
        <f t="shared" si="39"/>
        <v>88200</v>
      </c>
      <c r="Z189" s="76"/>
    </row>
    <row r="190" spans="1:27" s="29" customFormat="1" ht="21" customHeight="1" x14ac:dyDescent="0.2">
      <c r="A190" s="30"/>
      <c r="B190" s="389" t="s">
        <v>42</v>
      </c>
      <c r="C190" s="390"/>
      <c r="F190" s="48" t="s">
        <v>64</v>
      </c>
      <c r="G190" s="110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88200</v>
      </c>
      <c r="H190" s="47"/>
      <c r="I190" s="49">
        <f>IF(C194&gt;=C193,$K$2,C192+C194)</f>
        <v>31</v>
      </c>
      <c r="J190" s="50" t="s">
        <v>61</v>
      </c>
      <c r="K190" s="51">
        <f>K186/$K$2*I190</f>
        <v>60000</v>
      </c>
      <c r="L190" s="52"/>
      <c r="N190" s="71"/>
      <c r="O190" s="72" t="s">
        <v>48</v>
      </c>
      <c r="P190" s="72">
        <v>31</v>
      </c>
      <c r="Q190" s="72">
        <v>0</v>
      </c>
      <c r="R190" s="72">
        <f t="shared" si="37"/>
        <v>38</v>
      </c>
      <c r="S190" s="63"/>
      <c r="T190" s="72" t="s">
        <v>48</v>
      </c>
      <c r="U190" s="105">
        <f>Y189</f>
        <v>88200</v>
      </c>
      <c r="V190" s="74"/>
      <c r="W190" s="105">
        <f t="shared" si="38"/>
        <v>88200</v>
      </c>
      <c r="X190" s="74">
        <v>5000</v>
      </c>
      <c r="Y190" s="105">
        <f t="shared" si="39"/>
        <v>83200</v>
      </c>
      <c r="Z190" s="76"/>
    </row>
    <row r="191" spans="1:27" s="29" customFormat="1" ht="21" customHeight="1" x14ac:dyDescent="0.2">
      <c r="A191" s="30"/>
      <c r="B191" s="39"/>
      <c r="C191" s="39"/>
      <c r="F191" s="48" t="s">
        <v>20</v>
      </c>
      <c r="G191" s="110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>
        <v>113</v>
      </c>
      <c r="J191" s="50" t="s">
        <v>62</v>
      </c>
      <c r="K191" s="53">
        <f>K186/$K$2/8*I191</f>
        <v>27338.709677419356</v>
      </c>
      <c r="L191" s="54"/>
      <c r="N191" s="71"/>
      <c r="O191" s="72" t="s">
        <v>49</v>
      </c>
      <c r="P191" s="72"/>
      <c r="Q191" s="72"/>
      <c r="R191" s="72" t="str">
        <f t="shared" si="37"/>
        <v/>
      </c>
      <c r="S191" s="63"/>
      <c r="T191" s="72" t="s">
        <v>49</v>
      </c>
      <c r="U191" s="105"/>
      <c r="V191" s="74"/>
      <c r="W191" s="105" t="str">
        <f t="shared" si="38"/>
        <v/>
      </c>
      <c r="X191" s="74"/>
      <c r="Y191" s="105" t="str">
        <f t="shared" si="39"/>
        <v/>
      </c>
      <c r="Z191" s="76"/>
    </row>
    <row r="192" spans="1:27" s="29" customFormat="1" ht="2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31</v>
      </c>
      <c r="F192" s="48" t="s">
        <v>65</v>
      </c>
      <c r="G192" s="110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>88200</v>
      </c>
      <c r="H192" s="47"/>
      <c r="I192" s="402" t="s">
        <v>69</v>
      </c>
      <c r="J192" s="403"/>
      <c r="K192" s="53">
        <f>K190+K191</f>
        <v>87338.709677419363</v>
      </c>
      <c r="L192" s="54"/>
      <c r="N192" s="71"/>
      <c r="O192" s="72" t="s">
        <v>50</v>
      </c>
      <c r="P192" s="72"/>
      <c r="Q192" s="72"/>
      <c r="R192" s="72" t="str">
        <f t="shared" si="37"/>
        <v/>
      </c>
      <c r="S192" s="63"/>
      <c r="T192" s="72" t="s">
        <v>50</v>
      </c>
      <c r="U192" s="105"/>
      <c r="V192" s="74"/>
      <c r="W192" s="105" t="str">
        <f t="shared" si="38"/>
        <v/>
      </c>
      <c r="X192" s="74"/>
      <c r="Y192" s="105" t="str">
        <f t="shared" si="39"/>
        <v/>
      </c>
      <c r="Z192" s="76"/>
    </row>
    <row r="193" spans="1:27" s="29" customFormat="1" ht="2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21</v>
      </c>
      <c r="G193" s="110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5000</v>
      </c>
      <c r="H193" s="47"/>
      <c r="I193" s="402" t="s">
        <v>70</v>
      </c>
      <c r="J193" s="403"/>
      <c r="K193" s="43">
        <f>G193</f>
        <v>5000</v>
      </c>
      <c r="L193" s="55"/>
      <c r="N193" s="71"/>
      <c r="O193" s="72" t="s">
        <v>51</v>
      </c>
      <c r="P193" s="72"/>
      <c r="Q193" s="72"/>
      <c r="R193" s="72" t="str">
        <f t="shared" si="37"/>
        <v/>
      </c>
      <c r="S193" s="63"/>
      <c r="T193" s="72" t="s">
        <v>51</v>
      </c>
      <c r="U193" s="105"/>
      <c r="V193" s="74"/>
      <c r="W193" s="105" t="str">
        <f t="shared" si="38"/>
        <v/>
      </c>
      <c r="X193" s="74"/>
      <c r="Y193" s="105" t="str">
        <f t="shared" si="39"/>
        <v/>
      </c>
      <c r="Z193" s="76"/>
    </row>
    <row r="194" spans="1:27" s="29" customFormat="1" ht="21" customHeight="1" x14ac:dyDescent="0.2">
      <c r="A194" s="30"/>
      <c r="B194" s="56" t="s">
        <v>68</v>
      </c>
      <c r="C194" s="39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38</v>
      </c>
      <c r="F194" s="48" t="s">
        <v>67</v>
      </c>
      <c r="G194" s="110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>83200</v>
      </c>
      <c r="I194" s="391" t="s">
        <v>63</v>
      </c>
      <c r="J194" s="393"/>
      <c r="K194" s="57">
        <f>K192-K193</f>
        <v>82338.709677419363</v>
      </c>
      <c r="L194" s="58"/>
      <c r="N194" s="71"/>
      <c r="O194" s="72" t="s">
        <v>56</v>
      </c>
      <c r="P194" s="72"/>
      <c r="Q194" s="72"/>
      <c r="R194" s="72" t="str">
        <f t="shared" si="37"/>
        <v/>
      </c>
      <c r="S194" s="63"/>
      <c r="T194" s="72" t="s">
        <v>56</v>
      </c>
      <c r="U194" s="105"/>
      <c r="V194" s="74"/>
      <c r="W194" s="105" t="str">
        <f t="shared" si="38"/>
        <v/>
      </c>
      <c r="X194" s="74"/>
      <c r="Y194" s="105" t="str">
        <f t="shared" si="39"/>
        <v/>
      </c>
      <c r="Z194" s="76"/>
    </row>
    <row r="195" spans="1:27" s="29" customFormat="1" ht="21" customHeight="1" x14ac:dyDescent="0.2">
      <c r="A195" s="30"/>
      <c r="F195" s="326"/>
      <c r="L195" s="46"/>
      <c r="N195" s="71"/>
      <c r="O195" s="72" t="s">
        <v>52</v>
      </c>
      <c r="P195" s="72"/>
      <c r="Q195" s="72"/>
      <c r="R195" s="72" t="str">
        <f t="shared" si="37"/>
        <v/>
      </c>
      <c r="S195" s="63"/>
      <c r="T195" s="72" t="s">
        <v>52</v>
      </c>
      <c r="U195" s="105"/>
      <c r="V195" s="74"/>
      <c r="W195" s="105" t="str">
        <f t="shared" si="38"/>
        <v/>
      </c>
      <c r="X195" s="74"/>
      <c r="Y195" s="105" t="str">
        <f t="shared" si="39"/>
        <v/>
      </c>
      <c r="Z195" s="76"/>
    </row>
    <row r="196" spans="1:27" s="29" customFormat="1" ht="21" customHeight="1" x14ac:dyDescent="0.2">
      <c r="A196" s="30"/>
      <c r="B196" s="404" t="s">
        <v>85</v>
      </c>
      <c r="C196" s="404"/>
      <c r="D196" s="404"/>
      <c r="E196" s="404"/>
      <c r="F196" s="404"/>
      <c r="G196" s="404"/>
      <c r="H196" s="404"/>
      <c r="I196" s="404"/>
      <c r="J196" s="404"/>
      <c r="K196" s="404"/>
      <c r="L196" s="46"/>
      <c r="N196" s="71"/>
      <c r="O196" s="72" t="s">
        <v>57</v>
      </c>
      <c r="P196" s="72"/>
      <c r="Q196" s="72"/>
      <c r="R196" s="72" t="str">
        <f t="shared" si="37"/>
        <v/>
      </c>
      <c r="S196" s="63"/>
      <c r="T196" s="72" t="s">
        <v>57</v>
      </c>
      <c r="U196" s="105"/>
      <c r="V196" s="74"/>
      <c r="W196" s="105" t="str">
        <f t="shared" si="38"/>
        <v/>
      </c>
      <c r="X196" s="74"/>
      <c r="Y196" s="105" t="str">
        <f t="shared" si="39"/>
        <v/>
      </c>
      <c r="Z196" s="76"/>
    </row>
    <row r="197" spans="1:27" s="29" customFormat="1" ht="21" customHeight="1" x14ac:dyDescent="0.2">
      <c r="A197" s="30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6"/>
      <c r="N197" s="71"/>
      <c r="O197" s="72" t="s">
        <v>58</v>
      </c>
      <c r="P197" s="72"/>
      <c r="Q197" s="72"/>
      <c r="R197" s="72" t="str">
        <f t="shared" si="37"/>
        <v/>
      </c>
      <c r="S197" s="63"/>
      <c r="T197" s="72" t="s">
        <v>58</v>
      </c>
      <c r="U197" s="105"/>
      <c r="V197" s="74"/>
      <c r="W197" s="105" t="str">
        <f t="shared" si="38"/>
        <v/>
      </c>
      <c r="X197" s="74"/>
      <c r="Y197" s="105" t="str">
        <f t="shared" si="39"/>
        <v/>
      </c>
      <c r="Z197" s="76"/>
    </row>
    <row r="198" spans="1:27" s="29" customFormat="1" ht="2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9"/>
    </row>
    <row r="199" spans="1:27" s="29" customFormat="1" ht="2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7" s="29" customFormat="1" ht="21" customHeight="1" x14ac:dyDescent="0.2">
      <c r="A200" s="408" t="s">
        <v>40</v>
      </c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10"/>
      <c r="M200" s="28"/>
      <c r="N200" s="64"/>
      <c r="O200" s="405" t="s">
        <v>42</v>
      </c>
      <c r="P200" s="406"/>
      <c r="Q200" s="406"/>
      <c r="R200" s="407"/>
      <c r="S200" s="65"/>
      <c r="T200" s="405" t="s">
        <v>43</v>
      </c>
      <c r="U200" s="406"/>
      <c r="V200" s="406"/>
      <c r="W200" s="406"/>
      <c r="X200" s="406"/>
      <c r="Y200" s="407"/>
      <c r="Z200" s="66"/>
      <c r="AA200" s="28"/>
    </row>
    <row r="201" spans="1:27" s="29" customFormat="1" ht="21" customHeight="1" x14ac:dyDescent="0.2">
      <c r="A201" s="30"/>
      <c r="C201" s="395" t="s">
        <v>83</v>
      </c>
      <c r="D201" s="395"/>
      <c r="E201" s="395"/>
      <c r="F201" s="395"/>
      <c r="G201" s="31" t="str">
        <f>$J$1</f>
        <v>May</v>
      </c>
      <c r="H201" s="394">
        <f>$K$1</f>
        <v>2023</v>
      </c>
      <c r="I201" s="394"/>
      <c r="K201" s="32"/>
      <c r="L201" s="33"/>
      <c r="M201" s="32"/>
      <c r="N201" s="67"/>
      <c r="O201" s="68" t="s">
        <v>53</v>
      </c>
      <c r="P201" s="68" t="s">
        <v>7</v>
      </c>
      <c r="Q201" s="68" t="s">
        <v>6</v>
      </c>
      <c r="R201" s="68" t="s">
        <v>54</v>
      </c>
      <c r="S201" s="69"/>
      <c r="T201" s="68" t="s">
        <v>53</v>
      </c>
      <c r="U201" s="68" t="s">
        <v>55</v>
      </c>
      <c r="V201" s="68" t="s">
        <v>20</v>
      </c>
      <c r="W201" s="68" t="s">
        <v>19</v>
      </c>
      <c r="X201" s="68" t="s">
        <v>21</v>
      </c>
      <c r="Y201" s="68" t="s">
        <v>59</v>
      </c>
      <c r="Z201" s="70"/>
      <c r="AA201" s="32"/>
    </row>
    <row r="202" spans="1:27" s="29" customFormat="1" ht="2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>
        <f>45000+2000+3000</f>
        <v>50000</v>
      </c>
      <c r="L202" s="38"/>
      <c r="N202" s="71"/>
      <c r="O202" s="72" t="s">
        <v>45</v>
      </c>
      <c r="P202" s="72">
        <v>29</v>
      </c>
      <c r="Q202" s="72">
        <v>2</v>
      </c>
      <c r="R202" s="72">
        <f>15-Q202</f>
        <v>13</v>
      </c>
      <c r="S202" s="73"/>
      <c r="T202" s="72" t="s">
        <v>45</v>
      </c>
      <c r="U202" s="74">
        <v>15000</v>
      </c>
      <c r="V202" s="74">
        <v>2000</v>
      </c>
      <c r="W202" s="74">
        <f>V202+U202</f>
        <v>17000</v>
      </c>
      <c r="X202" s="74">
        <v>3000</v>
      </c>
      <c r="Y202" s="74">
        <f>W202-X202</f>
        <v>14000</v>
      </c>
      <c r="Z202" s="70"/>
    </row>
    <row r="203" spans="1:27" s="29" customFormat="1" ht="21" customHeight="1" x14ac:dyDescent="0.2">
      <c r="A203" s="30"/>
      <c r="B203" s="29" t="s">
        <v>0</v>
      </c>
      <c r="C203" s="40" t="s">
        <v>156</v>
      </c>
      <c r="H203" s="41"/>
      <c r="I203" s="35"/>
      <c r="L203" s="42"/>
      <c r="M203" s="28"/>
      <c r="N203" s="75"/>
      <c r="O203" s="72" t="s">
        <v>71</v>
      </c>
      <c r="P203" s="72">
        <v>27</v>
      </c>
      <c r="Q203" s="72">
        <v>1</v>
      </c>
      <c r="R203" s="72">
        <f t="shared" ref="R203:R213" si="40">IF(Q203="","",R202-Q203)</f>
        <v>12</v>
      </c>
      <c r="S203" s="63"/>
      <c r="T203" s="72" t="s">
        <v>71</v>
      </c>
      <c r="U203" s="105">
        <f>IF($J$1="January","",Y202)</f>
        <v>14000</v>
      </c>
      <c r="V203" s="74">
        <v>10000</v>
      </c>
      <c r="W203" s="105">
        <f>IF(U203="","",U203+V203)</f>
        <v>24000</v>
      </c>
      <c r="X203" s="74">
        <v>3000</v>
      </c>
      <c r="Y203" s="105">
        <f>IF(W203="","",W203-X203)</f>
        <v>21000</v>
      </c>
      <c r="Z203" s="76"/>
      <c r="AA203" s="28"/>
    </row>
    <row r="204" spans="1:27" s="29" customFormat="1" ht="21" customHeight="1" x14ac:dyDescent="0.2">
      <c r="A204" s="30"/>
      <c r="B204" s="44" t="s">
        <v>41</v>
      </c>
      <c r="C204" s="45"/>
      <c r="F204" s="411" t="s">
        <v>43</v>
      </c>
      <c r="G204" s="411"/>
      <c r="I204" s="411" t="s">
        <v>44</v>
      </c>
      <c r="J204" s="411"/>
      <c r="K204" s="411"/>
      <c r="L204" s="46"/>
      <c r="N204" s="71"/>
      <c r="O204" s="72" t="s">
        <v>46</v>
      </c>
      <c r="P204" s="72">
        <v>31</v>
      </c>
      <c r="Q204" s="72">
        <v>0</v>
      </c>
      <c r="R204" s="72">
        <f t="shared" si="40"/>
        <v>12</v>
      </c>
      <c r="S204" s="63"/>
      <c r="T204" s="72" t="s">
        <v>46</v>
      </c>
      <c r="U204" s="105">
        <f>IF($J$1="February","",Y203)</f>
        <v>21000</v>
      </c>
      <c r="V204" s="74">
        <v>15000</v>
      </c>
      <c r="W204" s="105">
        <f t="shared" ref="W204:W213" si="41">IF(U204="","",U204+V204)</f>
        <v>36000</v>
      </c>
      <c r="X204" s="74">
        <v>3000</v>
      </c>
      <c r="Y204" s="105">
        <f t="shared" ref="Y204:Y213" si="42">IF(W204="","",W204-X204)</f>
        <v>33000</v>
      </c>
      <c r="Z204" s="76"/>
    </row>
    <row r="205" spans="1:27" s="29" customFormat="1" ht="21" customHeight="1" x14ac:dyDescent="0.2">
      <c r="A205" s="30"/>
      <c r="H205" s="47"/>
      <c r="L205" s="34"/>
      <c r="N205" s="71"/>
      <c r="O205" s="72" t="s">
        <v>47</v>
      </c>
      <c r="P205" s="72">
        <v>29</v>
      </c>
      <c r="Q205" s="72">
        <v>1</v>
      </c>
      <c r="R205" s="72">
        <f t="shared" si="40"/>
        <v>11</v>
      </c>
      <c r="S205" s="63"/>
      <c r="T205" s="72" t="s">
        <v>47</v>
      </c>
      <c r="U205" s="105">
        <f>Y204</f>
        <v>33000</v>
      </c>
      <c r="V205" s="74"/>
      <c r="W205" s="105">
        <f t="shared" si="41"/>
        <v>33000</v>
      </c>
      <c r="X205" s="74">
        <v>3000</v>
      </c>
      <c r="Y205" s="105">
        <f t="shared" si="42"/>
        <v>30000</v>
      </c>
      <c r="Z205" s="76"/>
    </row>
    <row r="206" spans="1:27" s="29" customFormat="1" ht="21" customHeight="1" x14ac:dyDescent="0.2">
      <c r="A206" s="30"/>
      <c r="B206" s="389" t="s">
        <v>42</v>
      </c>
      <c r="C206" s="390"/>
      <c r="F206" s="48" t="s">
        <v>64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30000</v>
      </c>
      <c r="H206" s="47"/>
      <c r="I206" s="49">
        <f>IF(C210&gt;0,$K$2,C208)</f>
        <v>31</v>
      </c>
      <c r="J206" s="50" t="s">
        <v>61</v>
      </c>
      <c r="K206" s="51">
        <f>K202/$K$2*I206</f>
        <v>50000</v>
      </c>
      <c r="L206" s="52"/>
      <c r="N206" s="71"/>
      <c r="O206" s="72" t="s">
        <v>48</v>
      </c>
      <c r="P206" s="72">
        <v>30</v>
      </c>
      <c r="Q206" s="72">
        <v>1</v>
      </c>
      <c r="R206" s="72">
        <f t="shared" si="40"/>
        <v>10</v>
      </c>
      <c r="S206" s="63"/>
      <c r="T206" s="72" t="s">
        <v>48</v>
      </c>
      <c r="U206" s="105">
        <f>Y205</f>
        <v>30000</v>
      </c>
      <c r="V206" s="74">
        <v>4000</v>
      </c>
      <c r="W206" s="105">
        <f t="shared" si="41"/>
        <v>34000</v>
      </c>
      <c r="X206" s="74"/>
      <c r="Y206" s="105">
        <f t="shared" si="42"/>
        <v>34000</v>
      </c>
      <c r="Z206" s="76"/>
    </row>
    <row r="207" spans="1:27" s="29" customFormat="1" ht="21" customHeight="1" x14ac:dyDescent="0.2">
      <c r="A207" s="30"/>
      <c r="B207" s="39"/>
      <c r="C207" s="39"/>
      <c r="F207" s="48" t="s">
        <v>20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4000</v>
      </c>
      <c r="H207" s="47"/>
      <c r="I207" s="84"/>
      <c r="J207" s="50" t="s">
        <v>62</v>
      </c>
      <c r="K207" s="53">
        <f>K202/$K$2/8*I207</f>
        <v>0</v>
      </c>
      <c r="L207" s="54"/>
      <c r="N207" s="71"/>
      <c r="O207" s="72" t="s">
        <v>49</v>
      </c>
      <c r="P207" s="72"/>
      <c r="Q207" s="72"/>
      <c r="R207" s="72" t="str">
        <f t="shared" si="40"/>
        <v/>
      </c>
      <c r="S207" s="63"/>
      <c r="T207" s="72" t="s">
        <v>49</v>
      </c>
      <c r="U207" s="105">
        <f>Y206</f>
        <v>34000</v>
      </c>
      <c r="V207" s="74"/>
      <c r="W207" s="105">
        <f t="shared" si="41"/>
        <v>34000</v>
      </c>
      <c r="X207" s="74">
        <v>8000</v>
      </c>
      <c r="Y207" s="105">
        <f t="shared" si="42"/>
        <v>26000</v>
      </c>
      <c r="Z207" s="76"/>
    </row>
    <row r="208" spans="1:27" s="29" customFormat="1" ht="2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30</v>
      </c>
      <c r="F208" s="48" t="s">
        <v>65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34000</v>
      </c>
      <c r="H208" s="47"/>
      <c r="I208" s="402" t="s">
        <v>69</v>
      </c>
      <c r="J208" s="403"/>
      <c r="K208" s="53">
        <f>K206+K207</f>
        <v>50000</v>
      </c>
      <c r="L208" s="54"/>
      <c r="N208" s="71"/>
      <c r="O208" s="72" t="s">
        <v>50</v>
      </c>
      <c r="P208" s="72"/>
      <c r="Q208" s="72"/>
      <c r="R208" s="72" t="str">
        <f t="shared" si="40"/>
        <v/>
      </c>
      <c r="S208" s="63"/>
      <c r="T208" s="72" t="s">
        <v>50</v>
      </c>
      <c r="U208" s="105"/>
      <c r="V208" s="74"/>
      <c r="W208" s="105" t="str">
        <f t="shared" si="41"/>
        <v/>
      </c>
      <c r="X208" s="74"/>
      <c r="Y208" s="105" t="str">
        <f t="shared" si="42"/>
        <v/>
      </c>
      <c r="Z208" s="76"/>
    </row>
    <row r="209" spans="1:26" s="29" customFormat="1" ht="2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1</v>
      </c>
      <c r="F209" s="48" t="s">
        <v>21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02" t="s">
        <v>70</v>
      </c>
      <c r="J209" s="403"/>
      <c r="K209" s="43">
        <f>G209</f>
        <v>0</v>
      </c>
      <c r="L209" s="55"/>
      <c r="N209" s="71"/>
      <c r="O209" s="72" t="s">
        <v>51</v>
      </c>
      <c r="P209" s="72"/>
      <c r="Q209" s="72"/>
      <c r="R209" s="72" t="str">
        <f t="shared" si="40"/>
        <v/>
      </c>
      <c r="S209" s="63"/>
      <c r="T209" s="72" t="s">
        <v>51</v>
      </c>
      <c r="U209" s="105"/>
      <c r="V209" s="74"/>
      <c r="W209" s="105" t="str">
        <f t="shared" si="41"/>
        <v/>
      </c>
      <c r="X209" s="74"/>
      <c r="Y209" s="105" t="str">
        <f t="shared" si="42"/>
        <v/>
      </c>
      <c r="Z209" s="76"/>
    </row>
    <row r="210" spans="1:26" s="29" customFormat="1" ht="21" customHeight="1" x14ac:dyDescent="0.2">
      <c r="A210" s="30"/>
      <c r="B210" s="56" t="s">
        <v>68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10</v>
      </c>
      <c r="F210" s="48" t="s">
        <v>67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34000</v>
      </c>
      <c r="I210" s="391" t="s">
        <v>63</v>
      </c>
      <c r="J210" s="393"/>
      <c r="K210" s="57">
        <f>K208-K209</f>
        <v>50000</v>
      </c>
      <c r="L210" s="58"/>
      <c r="N210" s="71"/>
      <c r="O210" s="72" t="s">
        <v>56</v>
      </c>
      <c r="P210" s="72"/>
      <c r="Q210" s="72"/>
      <c r="R210" s="72" t="str">
        <f t="shared" si="40"/>
        <v/>
      </c>
      <c r="S210" s="63"/>
      <c r="T210" s="72" t="s">
        <v>56</v>
      </c>
      <c r="U210" s="105"/>
      <c r="V210" s="74"/>
      <c r="W210" s="105" t="str">
        <f t="shared" si="41"/>
        <v/>
      </c>
      <c r="X210" s="74"/>
      <c r="Y210" s="105" t="str">
        <f t="shared" si="42"/>
        <v/>
      </c>
      <c r="Z210" s="76"/>
    </row>
    <row r="211" spans="1:26" s="29" customFormat="1" ht="21" customHeight="1" x14ac:dyDescent="0.2">
      <c r="A211" s="30"/>
      <c r="J211" s="47"/>
      <c r="K211" s="107"/>
      <c r="L211" s="46"/>
      <c r="N211" s="71"/>
      <c r="O211" s="72" t="s">
        <v>52</v>
      </c>
      <c r="P211" s="72"/>
      <c r="Q211" s="72"/>
      <c r="R211" s="72" t="str">
        <f t="shared" si="40"/>
        <v/>
      </c>
      <c r="S211" s="63"/>
      <c r="T211" s="72" t="s">
        <v>52</v>
      </c>
      <c r="U211" s="105"/>
      <c r="V211" s="74"/>
      <c r="W211" s="105" t="str">
        <f t="shared" si="41"/>
        <v/>
      </c>
      <c r="X211" s="74"/>
      <c r="Y211" s="105" t="str">
        <f t="shared" si="42"/>
        <v/>
      </c>
      <c r="Z211" s="76"/>
    </row>
    <row r="212" spans="1:26" s="29" customFormat="1" ht="21" customHeight="1" x14ac:dyDescent="0.2">
      <c r="A212" s="30"/>
      <c r="B212" s="404" t="s">
        <v>85</v>
      </c>
      <c r="C212" s="404"/>
      <c r="D212" s="404"/>
      <c r="E212" s="404"/>
      <c r="F212" s="404"/>
      <c r="G212" s="404"/>
      <c r="H212" s="404"/>
      <c r="I212" s="404"/>
      <c r="J212" s="404"/>
      <c r="K212" s="404"/>
      <c r="L212" s="46"/>
      <c r="N212" s="71"/>
      <c r="O212" s="72" t="s">
        <v>57</v>
      </c>
      <c r="P212" s="72"/>
      <c r="Q212" s="72"/>
      <c r="R212" s="72" t="str">
        <f t="shared" si="40"/>
        <v/>
      </c>
      <c r="S212" s="63"/>
      <c r="T212" s="72" t="s">
        <v>57</v>
      </c>
      <c r="U212" s="105"/>
      <c r="V212" s="74"/>
      <c r="W212" s="105" t="str">
        <f t="shared" si="41"/>
        <v/>
      </c>
      <c r="X212" s="74"/>
      <c r="Y212" s="105" t="str">
        <f t="shared" si="42"/>
        <v/>
      </c>
      <c r="Z212" s="76"/>
    </row>
    <row r="213" spans="1:26" s="29" customFormat="1" ht="21" customHeight="1" x14ac:dyDescent="0.2">
      <c r="A213" s="30"/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6"/>
      <c r="N213" s="71"/>
      <c r="O213" s="72" t="s">
        <v>58</v>
      </c>
      <c r="P213" s="72"/>
      <c r="Q213" s="72"/>
      <c r="R213" s="72" t="str">
        <f t="shared" si="40"/>
        <v/>
      </c>
      <c r="S213" s="63"/>
      <c r="T213" s="72" t="s">
        <v>58</v>
      </c>
      <c r="U213" s="105"/>
      <c r="V213" s="74"/>
      <c r="W213" s="105" t="str">
        <f t="shared" si="41"/>
        <v/>
      </c>
      <c r="X213" s="74"/>
      <c r="Y213" s="105" t="str">
        <f t="shared" si="42"/>
        <v/>
      </c>
      <c r="Z213" s="76"/>
    </row>
    <row r="214" spans="1:26" s="29" customFormat="1" ht="2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9"/>
    </row>
    <row r="215" spans="1:26" s="29" customFormat="1" ht="21" customHeight="1" thickBot="1" x14ac:dyDescent="0.25">
      <c r="A215" s="30"/>
      <c r="L215" s="46"/>
      <c r="N215" s="71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85"/>
    </row>
    <row r="216" spans="1:26" s="29" customFormat="1" ht="21" customHeight="1" x14ac:dyDescent="0.2">
      <c r="A216" s="408" t="s">
        <v>40</v>
      </c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10"/>
      <c r="M216" s="28"/>
      <c r="N216" s="64"/>
      <c r="O216" s="405" t="s">
        <v>42</v>
      </c>
      <c r="P216" s="406"/>
      <c r="Q216" s="406"/>
      <c r="R216" s="407"/>
      <c r="S216" s="65"/>
      <c r="T216" s="405" t="s">
        <v>43</v>
      </c>
      <c r="U216" s="406"/>
      <c r="V216" s="406"/>
      <c r="W216" s="406"/>
      <c r="X216" s="406"/>
      <c r="Y216" s="407"/>
      <c r="Z216" s="66"/>
    </row>
    <row r="217" spans="1:26" s="29" customFormat="1" ht="21" customHeight="1" x14ac:dyDescent="0.2">
      <c r="A217" s="30"/>
      <c r="C217" s="395" t="s">
        <v>83</v>
      </c>
      <c r="D217" s="395"/>
      <c r="E217" s="395"/>
      <c r="F217" s="395"/>
      <c r="G217" s="31" t="str">
        <f>$J$1</f>
        <v>May</v>
      </c>
      <c r="H217" s="394">
        <f>$K$1</f>
        <v>2023</v>
      </c>
      <c r="I217" s="394"/>
      <c r="K217" s="32"/>
      <c r="L217" s="33"/>
      <c r="M217" s="32"/>
      <c r="N217" s="67"/>
      <c r="O217" s="68" t="s">
        <v>53</v>
      </c>
      <c r="P217" s="68" t="s">
        <v>7</v>
      </c>
      <c r="Q217" s="68" t="s">
        <v>6</v>
      </c>
      <c r="R217" s="68" t="s">
        <v>54</v>
      </c>
      <c r="S217" s="69"/>
      <c r="T217" s="68" t="s">
        <v>53</v>
      </c>
      <c r="U217" s="68" t="s">
        <v>55</v>
      </c>
      <c r="V217" s="68" t="s">
        <v>20</v>
      </c>
      <c r="W217" s="68" t="s">
        <v>19</v>
      </c>
      <c r="X217" s="68" t="s">
        <v>21</v>
      </c>
      <c r="Y217" s="68" t="s">
        <v>59</v>
      </c>
      <c r="Z217" s="70"/>
    </row>
    <row r="218" spans="1:26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20000+2000+3000</f>
        <v>25000</v>
      </c>
      <c r="L218" s="38"/>
      <c r="N218" s="71"/>
      <c r="O218" s="72" t="s">
        <v>45</v>
      </c>
      <c r="P218" s="72">
        <v>25</v>
      </c>
      <c r="Q218" s="72">
        <v>6</v>
      </c>
      <c r="R218" s="72">
        <f>15-Q218</f>
        <v>9</v>
      </c>
      <c r="S218" s="73"/>
      <c r="T218" s="72" t="s">
        <v>45</v>
      </c>
      <c r="U218" s="74">
        <v>24000</v>
      </c>
      <c r="V218" s="74"/>
      <c r="W218" s="74">
        <f>V218+U218</f>
        <v>24000</v>
      </c>
      <c r="X218" s="74">
        <v>5000</v>
      </c>
      <c r="Y218" s="74">
        <f>W218-X218</f>
        <v>19000</v>
      </c>
      <c r="Z218" s="70"/>
    </row>
    <row r="219" spans="1:26" s="29" customFormat="1" ht="21" customHeight="1" x14ac:dyDescent="0.2">
      <c r="A219" s="30"/>
      <c r="B219" s="29" t="s">
        <v>0</v>
      </c>
      <c r="C219" s="40" t="s">
        <v>174</v>
      </c>
      <c r="H219" s="41"/>
      <c r="I219" s="35"/>
      <c r="L219" s="42"/>
      <c r="M219" s="28"/>
      <c r="N219" s="75"/>
      <c r="O219" s="72" t="s">
        <v>71</v>
      </c>
      <c r="P219" s="72">
        <v>26</v>
      </c>
      <c r="Q219" s="72">
        <v>2</v>
      </c>
      <c r="R219" s="72">
        <f>R218-Q219</f>
        <v>7</v>
      </c>
      <c r="S219" s="63"/>
      <c r="T219" s="72" t="s">
        <v>71</v>
      </c>
      <c r="U219" s="105">
        <f>IF($J$1="January","",Y218)</f>
        <v>19000</v>
      </c>
      <c r="V219" s="74"/>
      <c r="W219" s="105">
        <f>IF(U219="","",U219+V219)</f>
        <v>19000</v>
      </c>
      <c r="X219" s="74">
        <v>5000</v>
      </c>
      <c r="Y219" s="105">
        <f>IF(W219="","",W219-X219)</f>
        <v>14000</v>
      </c>
      <c r="Z219" s="76"/>
    </row>
    <row r="220" spans="1:26" s="29" customFormat="1" ht="21" customHeight="1" x14ac:dyDescent="0.2">
      <c r="A220" s="30"/>
      <c r="B220" s="44" t="s">
        <v>41</v>
      </c>
      <c r="C220" s="40"/>
      <c r="F220" s="411" t="s">
        <v>43</v>
      </c>
      <c r="G220" s="411"/>
      <c r="I220" s="411" t="s">
        <v>44</v>
      </c>
      <c r="J220" s="411"/>
      <c r="K220" s="411"/>
      <c r="L220" s="46"/>
      <c r="N220" s="71"/>
      <c r="O220" s="72" t="s">
        <v>46</v>
      </c>
      <c r="P220" s="72">
        <v>27</v>
      </c>
      <c r="Q220" s="72">
        <v>4</v>
      </c>
      <c r="R220" s="72">
        <f t="shared" ref="R220:R229" si="43">R219-Q220</f>
        <v>3</v>
      </c>
      <c r="S220" s="63"/>
      <c r="T220" s="72" t="s">
        <v>46</v>
      </c>
      <c r="U220" s="105">
        <f>IF($J$1="February","",Y219)</f>
        <v>14000</v>
      </c>
      <c r="V220" s="74">
        <f>2000+1000+3000</f>
        <v>6000</v>
      </c>
      <c r="W220" s="105">
        <f t="shared" ref="W220:W229" si="44">IF(U220="","",U220+V220)</f>
        <v>20000</v>
      </c>
      <c r="X220" s="74">
        <v>5000</v>
      </c>
      <c r="Y220" s="105">
        <f t="shared" ref="Y220:Y229" si="45">IF(W220="","",W220-X220)</f>
        <v>15000</v>
      </c>
      <c r="Z220" s="76"/>
    </row>
    <row r="221" spans="1:26" s="29" customFormat="1" ht="21" customHeight="1" x14ac:dyDescent="0.2">
      <c r="A221" s="30"/>
      <c r="H221" s="47"/>
      <c r="L221" s="34"/>
      <c r="N221" s="71"/>
      <c r="O221" s="72" t="s">
        <v>47</v>
      </c>
      <c r="P221" s="72">
        <v>29</v>
      </c>
      <c r="Q221" s="72">
        <v>1</v>
      </c>
      <c r="R221" s="72">
        <f t="shared" si="43"/>
        <v>2</v>
      </c>
      <c r="S221" s="63"/>
      <c r="T221" s="72" t="s">
        <v>47</v>
      </c>
      <c r="U221" s="105">
        <f>IF($J$1="March","",Y220)</f>
        <v>15000</v>
      </c>
      <c r="V221" s="74">
        <v>3000</v>
      </c>
      <c r="W221" s="105">
        <f t="shared" si="44"/>
        <v>18000</v>
      </c>
      <c r="X221" s="74">
        <v>5000</v>
      </c>
      <c r="Y221" s="105">
        <f t="shared" si="45"/>
        <v>13000</v>
      </c>
      <c r="Z221" s="76"/>
    </row>
    <row r="222" spans="1:26" s="29" customFormat="1" ht="21" customHeight="1" x14ac:dyDescent="0.2">
      <c r="A222" s="30"/>
      <c r="B222" s="389" t="s">
        <v>42</v>
      </c>
      <c r="C222" s="390"/>
      <c r="F222" s="48" t="s">
        <v>64</v>
      </c>
      <c r="G222" s="43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13000</v>
      </c>
      <c r="H222" s="47"/>
      <c r="I222" s="49">
        <f>IF(C226&gt;0,$K$2,C224)</f>
        <v>29</v>
      </c>
      <c r="J222" s="50" t="s">
        <v>61</v>
      </c>
      <c r="K222" s="51">
        <f>K218/$K$2*I222</f>
        <v>23387.096774193549</v>
      </c>
      <c r="L222" s="52"/>
      <c r="N222" s="71"/>
      <c r="O222" s="72" t="s">
        <v>48</v>
      </c>
      <c r="P222" s="72">
        <v>29</v>
      </c>
      <c r="Q222" s="72">
        <v>2</v>
      </c>
      <c r="R222" s="72">
        <f t="shared" si="43"/>
        <v>0</v>
      </c>
      <c r="S222" s="63"/>
      <c r="T222" s="72" t="s">
        <v>48</v>
      </c>
      <c r="U222" s="105">
        <f>Y221</f>
        <v>13000</v>
      </c>
      <c r="V222" s="74">
        <f>3000+4000+1000</f>
        <v>8000</v>
      </c>
      <c r="W222" s="105">
        <f t="shared" si="44"/>
        <v>21000</v>
      </c>
      <c r="X222" s="74">
        <v>7000</v>
      </c>
      <c r="Y222" s="105">
        <f t="shared" si="45"/>
        <v>14000</v>
      </c>
      <c r="Z222" s="76"/>
    </row>
    <row r="223" spans="1:26" s="29" customFormat="1" ht="21" customHeight="1" x14ac:dyDescent="0.2">
      <c r="A223" s="30"/>
      <c r="B223" s="39"/>
      <c r="C223" s="39"/>
      <c r="F223" s="48" t="s">
        <v>20</v>
      </c>
      <c r="G223" s="43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8000</v>
      </c>
      <c r="H223" s="47"/>
      <c r="I223" s="84">
        <v>74</v>
      </c>
      <c r="J223" s="50" t="s">
        <v>62</v>
      </c>
      <c r="K223" s="53">
        <f>K218/$K$2/8*I223</f>
        <v>7459.677419354839</v>
      </c>
      <c r="L223" s="54"/>
      <c r="N223" s="71"/>
      <c r="O223" s="72" t="s">
        <v>49</v>
      </c>
      <c r="P223" s="72"/>
      <c r="Q223" s="72"/>
      <c r="R223" s="72">
        <f t="shared" si="43"/>
        <v>0</v>
      </c>
      <c r="S223" s="63"/>
      <c r="T223" s="72" t="s">
        <v>49</v>
      </c>
      <c r="U223" s="105"/>
      <c r="V223" s="74"/>
      <c r="W223" s="105" t="str">
        <f t="shared" si="44"/>
        <v/>
      </c>
      <c r="X223" s="74"/>
      <c r="Y223" s="105" t="str">
        <f t="shared" si="45"/>
        <v/>
      </c>
      <c r="Z223" s="76"/>
    </row>
    <row r="224" spans="1:26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29</v>
      </c>
      <c r="F224" s="48" t="s">
        <v>65</v>
      </c>
      <c r="G224" s="43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21000</v>
      </c>
      <c r="H224" s="47"/>
      <c r="I224" s="402" t="s">
        <v>69</v>
      </c>
      <c r="J224" s="403"/>
      <c r="K224" s="53">
        <f>K222+K223</f>
        <v>30846.774193548386</v>
      </c>
      <c r="L224" s="54"/>
      <c r="N224" s="71"/>
      <c r="O224" s="72" t="s">
        <v>50</v>
      </c>
      <c r="P224" s="72"/>
      <c r="Q224" s="72"/>
      <c r="R224" s="72">
        <f t="shared" si="43"/>
        <v>0</v>
      </c>
      <c r="S224" s="63"/>
      <c r="T224" s="72" t="s">
        <v>50</v>
      </c>
      <c r="U224" s="105" t="str">
        <f t="shared" ref="U224:U228" si="46">Y223</f>
        <v/>
      </c>
      <c r="V224" s="74"/>
      <c r="W224" s="105" t="str">
        <f t="shared" si="44"/>
        <v/>
      </c>
      <c r="X224" s="74"/>
      <c r="Y224" s="105" t="str">
        <f t="shared" si="45"/>
        <v/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2</v>
      </c>
      <c r="F225" s="48" t="s">
        <v>21</v>
      </c>
      <c r="G225" s="43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7000</v>
      </c>
      <c r="H225" s="47"/>
      <c r="I225" s="402" t="s">
        <v>70</v>
      </c>
      <c r="J225" s="403"/>
      <c r="K225" s="43">
        <f>G225</f>
        <v>7000</v>
      </c>
      <c r="L225" s="55"/>
      <c r="N225" s="71"/>
      <c r="O225" s="72" t="s">
        <v>51</v>
      </c>
      <c r="P225" s="72"/>
      <c r="Q225" s="72"/>
      <c r="R225" s="72">
        <f t="shared" si="43"/>
        <v>0</v>
      </c>
      <c r="S225" s="63"/>
      <c r="T225" s="72" t="s">
        <v>51</v>
      </c>
      <c r="U225" s="105" t="str">
        <f t="shared" si="46"/>
        <v/>
      </c>
      <c r="V225" s="74"/>
      <c r="W225" s="105" t="str">
        <f t="shared" si="44"/>
        <v/>
      </c>
      <c r="X225" s="74"/>
      <c r="Y225" s="105" t="str">
        <f t="shared" si="45"/>
        <v/>
      </c>
      <c r="Z225" s="76"/>
    </row>
    <row r="226" spans="1:27" s="29" customFormat="1" ht="21" customHeight="1" x14ac:dyDescent="0.2">
      <c r="A226" s="30"/>
      <c r="B226" s="56" t="s">
        <v>68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0</v>
      </c>
      <c r="F226" s="48" t="s">
        <v>67</v>
      </c>
      <c r="G226" s="43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14000</v>
      </c>
      <c r="I226" s="391" t="s">
        <v>63</v>
      </c>
      <c r="J226" s="393"/>
      <c r="K226" s="57">
        <f>K224-K225</f>
        <v>23846.774193548386</v>
      </c>
      <c r="L226" s="58"/>
      <c r="N226" s="71"/>
      <c r="O226" s="72" t="s">
        <v>56</v>
      </c>
      <c r="P226" s="72"/>
      <c r="Q226" s="72"/>
      <c r="R226" s="72">
        <f t="shared" si="43"/>
        <v>0</v>
      </c>
      <c r="S226" s="63"/>
      <c r="T226" s="72" t="s">
        <v>56</v>
      </c>
      <c r="U226" s="105" t="str">
        <f t="shared" si="46"/>
        <v/>
      </c>
      <c r="V226" s="74"/>
      <c r="W226" s="105" t="str">
        <f t="shared" si="44"/>
        <v/>
      </c>
      <c r="X226" s="74"/>
      <c r="Y226" s="105" t="str">
        <f t="shared" si="45"/>
        <v/>
      </c>
      <c r="Z226" s="76"/>
    </row>
    <row r="227" spans="1:27" s="29" customFormat="1" ht="21" customHeight="1" x14ac:dyDescent="0.2">
      <c r="A227" s="30"/>
      <c r="K227" s="107"/>
      <c r="L227" s="46"/>
      <c r="N227" s="71"/>
      <c r="O227" s="72" t="s">
        <v>52</v>
      </c>
      <c r="P227" s="72"/>
      <c r="Q227" s="72"/>
      <c r="R227" s="72">
        <f t="shared" si="43"/>
        <v>0</v>
      </c>
      <c r="S227" s="63"/>
      <c r="T227" s="72" t="s">
        <v>52</v>
      </c>
      <c r="U227" s="105" t="str">
        <f t="shared" si="46"/>
        <v/>
      </c>
      <c r="V227" s="74"/>
      <c r="W227" s="105" t="str">
        <f t="shared" si="44"/>
        <v/>
      </c>
      <c r="X227" s="74"/>
      <c r="Y227" s="105" t="str">
        <f t="shared" si="45"/>
        <v/>
      </c>
      <c r="Z227" s="76"/>
    </row>
    <row r="228" spans="1:27" s="29" customFormat="1" ht="21" customHeight="1" x14ac:dyDescent="0.2">
      <c r="A228" s="30"/>
      <c r="B228" s="404" t="s">
        <v>85</v>
      </c>
      <c r="C228" s="404"/>
      <c r="D228" s="404"/>
      <c r="E228" s="404"/>
      <c r="F228" s="404"/>
      <c r="G228" s="404"/>
      <c r="H228" s="404"/>
      <c r="I228" s="404"/>
      <c r="J228" s="404"/>
      <c r="K228" s="404"/>
      <c r="L228" s="46"/>
      <c r="N228" s="71"/>
      <c r="O228" s="72" t="s">
        <v>57</v>
      </c>
      <c r="P228" s="72"/>
      <c r="Q228" s="72"/>
      <c r="R228" s="72">
        <f t="shared" si="43"/>
        <v>0</v>
      </c>
      <c r="S228" s="63"/>
      <c r="T228" s="72" t="s">
        <v>57</v>
      </c>
      <c r="U228" s="105" t="str">
        <f t="shared" si="46"/>
        <v/>
      </c>
      <c r="V228" s="74"/>
      <c r="W228" s="105" t="str">
        <f t="shared" si="44"/>
        <v/>
      </c>
      <c r="X228" s="74"/>
      <c r="Y228" s="105" t="str">
        <f t="shared" si="45"/>
        <v/>
      </c>
      <c r="Z228" s="76"/>
    </row>
    <row r="229" spans="1:27" s="29" customFormat="1" ht="21" customHeight="1" x14ac:dyDescent="0.2">
      <c r="A229" s="30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6"/>
      <c r="N229" s="71"/>
      <c r="O229" s="72" t="s">
        <v>58</v>
      </c>
      <c r="P229" s="72"/>
      <c r="Q229" s="72"/>
      <c r="R229" s="72">
        <f t="shared" si="43"/>
        <v>0</v>
      </c>
      <c r="S229" s="63"/>
      <c r="T229" s="72" t="s">
        <v>58</v>
      </c>
      <c r="U229" s="105" t="str">
        <f>Y228</f>
        <v/>
      </c>
      <c r="V229" s="74"/>
      <c r="W229" s="105" t="str">
        <f t="shared" si="44"/>
        <v/>
      </c>
      <c r="X229" s="74"/>
      <c r="Y229" s="105" t="str">
        <f t="shared" si="45"/>
        <v/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12" t="s">
        <v>40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4"/>
      <c r="M232" s="28"/>
      <c r="N232" s="64"/>
      <c r="O232" s="405" t="s">
        <v>42</v>
      </c>
      <c r="P232" s="406"/>
      <c r="Q232" s="406"/>
      <c r="R232" s="407"/>
      <c r="S232" s="65"/>
      <c r="T232" s="405" t="s">
        <v>43</v>
      </c>
      <c r="U232" s="406"/>
      <c r="V232" s="406"/>
      <c r="W232" s="406"/>
      <c r="X232" s="406"/>
      <c r="Y232" s="407"/>
      <c r="Z232" s="66"/>
      <c r="AA232" s="28"/>
    </row>
    <row r="233" spans="1:27" s="29" customFormat="1" ht="21" customHeight="1" x14ac:dyDescent="0.2">
      <c r="A233" s="30"/>
      <c r="C233" s="395" t="s">
        <v>83</v>
      </c>
      <c r="D233" s="395"/>
      <c r="E233" s="395"/>
      <c r="F233" s="395"/>
      <c r="G233" s="31" t="str">
        <f>$J$1</f>
        <v>May</v>
      </c>
      <c r="H233" s="394">
        <f>$K$1</f>
        <v>2023</v>
      </c>
      <c r="I233" s="394"/>
      <c r="K233" s="32"/>
      <c r="L233" s="33"/>
      <c r="M233" s="32"/>
      <c r="N233" s="67"/>
      <c r="O233" s="68" t="s">
        <v>53</v>
      </c>
      <c r="P233" s="68" t="s">
        <v>7</v>
      </c>
      <c r="Q233" s="68" t="s">
        <v>6</v>
      </c>
      <c r="R233" s="68" t="s">
        <v>54</v>
      </c>
      <c r="S233" s="69"/>
      <c r="T233" s="68" t="s">
        <v>53</v>
      </c>
      <c r="U233" s="68" t="s">
        <v>55</v>
      </c>
      <c r="V233" s="68" t="s">
        <v>20</v>
      </c>
      <c r="W233" s="68" t="s">
        <v>19</v>
      </c>
      <c r="X233" s="68" t="s">
        <v>21</v>
      </c>
      <c r="Y233" s="68" t="s">
        <v>59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f>24000+3000+3000</f>
        <v>30000</v>
      </c>
      <c r="L234" s="38"/>
      <c r="N234" s="71"/>
      <c r="O234" s="72" t="s">
        <v>45</v>
      </c>
      <c r="P234" s="72">
        <v>31</v>
      </c>
      <c r="Q234" s="72">
        <v>0</v>
      </c>
      <c r="R234" s="72">
        <f>15-Q234</f>
        <v>15</v>
      </c>
      <c r="S234" s="73"/>
      <c r="T234" s="72" t="s">
        <v>45</v>
      </c>
      <c r="U234" s="74">
        <v>68500</v>
      </c>
      <c r="V234" s="74"/>
      <c r="W234" s="74">
        <f>V234+U234</f>
        <v>68500</v>
      </c>
      <c r="X234" s="74">
        <v>5000</v>
      </c>
      <c r="Y234" s="74">
        <f>W234-X234</f>
        <v>63500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74</v>
      </c>
      <c r="H235" s="41"/>
      <c r="I235" s="35"/>
      <c r="L235" s="42"/>
      <c r="M235" s="28"/>
      <c r="N235" s="75"/>
      <c r="O235" s="72" t="s">
        <v>71</v>
      </c>
      <c r="P235" s="72">
        <v>27</v>
      </c>
      <c r="Q235" s="72">
        <v>1</v>
      </c>
      <c r="R235" s="72">
        <f t="shared" ref="R235:R244" si="47">IF(Q235="","",R234-Q235)</f>
        <v>14</v>
      </c>
      <c r="S235" s="63"/>
      <c r="T235" s="72" t="s">
        <v>71</v>
      </c>
      <c r="U235" s="105">
        <f>Y234</f>
        <v>63500</v>
      </c>
      <c r="V235" s="74">
        <v>2000</v>
      </c>
      <c r="W235" s="105">
        <f>IF(U235="","",U235+V235)</f>
        <v>65500</v>
      </c>
      <c r="X235" s="74">
        <v>5000</v>
      </c>
      <c r="Y235" s="105">
        <f>IF(W235="","",W235-X235)</f>
        <v>60500</v>
      </c>
      <c r="Z235" s="76"/>
      <c r="AA235" s="28"/>
    </row>
    <row r="236" spans="1:27" s="29" customFormat="1" ht="21" customHeight="1" x14ac:dyDescent="0.2">
      <c r="A236" s="30"/>
      <c r="B236" s="44" t="s">
        <v>41</v>
      </c>
      <c r="C236" s="45"/>
      <c r="F236" s="411" t="s">
        <v>43</v>
      </c>
      <c r="G236" s="411"/>
      <c r="I236" s="411" t="s">
        <v>44</v>
      </c>
      <c r="J236" s="411"/>
      <c r="K236" s="411"/>
      <c r="L236" s="46"/>
      <c r="N236" s="71"/>
      <c r="O236" s="72" t="s">
        <v>46</v>
      </c>
      <c r="P236" s="72">
        <v>29</v>
      </c>
      <c r="Q236" s="72">
        <v>2</v>
      </c>
      <c r="R236" s="72">
        <f t="shared" si="47"/>
        <v>12</v>
      </c>
      <c r="S236" s="63"/>
      <c r="T236" s="72" t="s">
        <v>46</v>
      </c>
      <c r="U236" s="105">
        <f>Y235</f>
        <v>60500</v>
      </c>
      <c r="V236" s="74">
        <v>9000</v>
      </c>
      <c r="W236" s="105">
        <f t="shared" ref="W236:W245" si="48">IF(U236="","",U236+V236)</f>
        <v>69500</v>
      </c>
      <c r="X236" s="74"/>
      <c r="Y236" s="105">
        <f t="shared" ref="Y236:Y245" si="49">IF(W236="","",W236-X236)</f>
        <v>69500</v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47</v>
      </c>
      <c r="P237" s="72">
        <v>27</v>
      </c>
      <c r="Q237" s="72">
        <v>3</v>
      </c>
      <c r="R237" s="72">
        <f t="shared" si="47"/>
        <v>9</v>
      </c>
      <c r="S237" s="63"/>
      <c r="T237" s="72" t="s">
        <v>47</v>
      </c>
      <c r="U237" s="105">
        <f>Y236</f>
        <v>69500</v>
      </c>
      <c r="V237" s="74">
        <f>5000+5000</f>
        <v>10000</v>
      </c>
      <c r="W237" s="105">
        <f t="shared" si="48"/>
        <v>79500</v>
      </c>
      <c r="X237" s="74">
        <v>5000</v>
      </c>
      <c r="Y237" s="105">
        <f t="shared" si="49"/>
        <v>74500</v>
      </c>
      <c r="Z237" s="76"/>
    </row>
    <row r="238" spans="1:27" s="29" customFormat="1" ht="21" customHeight="1" x14ac:dyDescent="0.2">
      <c r="A238" s="30"/>
      <c r="B238" s="389" t="s">
        <v>42</v>
      </c>
      <c r="C238" s="390"/>
      <c r="F238" s="48" t="s">
        <v>64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74500</v>
      </c>
      <c r="H238" s="47"/>
      <c r="I238" s="49">
        <f>IF(C242&gt;0,$K$2,C240)</f>
        <v>31</v>
      </c>
      <c r="J238" s="50" t="s">
        <v>61</v>
      </c>
      <c r="K238" s="51">
        <f>K234/$K$2*I238</f>
        <v>30000</v>
      </c>
      <c r="L238" s="52"/>
      <c r="N238" s="71"/>
      <c r="O238" s="72" t="s">
        <v>48</v>
      </c>
      <c r="P238" s="72">
        <v>30</v>
      </c>
      <c r="Q238" s="72">
        <v>1</v>
      </c>
      <c r="R238" s="72">
        <f t="shared" si="47"/>
        <v>8</v>
      </c>
      <c r="S238" s="63"/>
      <c r="T238" s="72" t="s">
        <v>48</v>
      </c>
      <c r="U238" s="105">
        <f>Y237</f>
        <v>74500</v>
      </c>
      <c r="V238" s="74">
        <v>10500</v>
      </c>
      <c r="W238" s="105">
        <f t="shared" si="48"/>
        <v>85000</v>
      </c>
      <c r="X238" s="74">
        <v>5000</v>
      </c>
      <c r="Y238" s="105">
        <f t="shared" si="49"/>
        <v>80000</v>
      </c>
      <c r="Z238" s="76"/>
    </row>
    <row r="239" spans="1:27" s="29" customFormat="1" ht="21" customHeight="1" x14ac:dyDescent="0.2">
      <c r="A239" s="30"/>
      <c r="B239" s="39"/>
      <c r="C239" s="39"/>
      <c r="F239" s="48" t="s">
        <v>20</v>
      </c>
      <c r="G239" s="10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10500</v>
      </c>
      <c r="H239" s="47"/>
      <c r="I239" s="84">
        <v>138</v>
      </c>
      <c r="J239" s="50" t="s">
        <v>62</v>
      </c>
      <c r="K239" s="53">
        <f>K234/$K$2/8*I239</f>
        <v>16693.548387096773</v>
      </c>
      <c r="L239" s="54"/>
      <c r="N239" s="71"/>
      <c r="O239" s="72" t="s">
        <v>49</v>
      </c>
      <c r="P239" s="72"/>
      <c r="Q239" s="72"/>
      <c r="R239" s="72" t="str">
        <f t="shared" si="47"/>
        <v/>
      </c>
      <c r="S239" s="63"/>
      <c r="T239" s="72" t="s">
        <v>49</v>
      </c>
      <c r="U239" s="105"/>
      <c r="V239" s="74"/>
      <c r="W239" s="105" t="str">
        <f t="shared" si="48"/>
        <v/>
      </c>
      <c r="X239" s="74"/>
      <c r="Y239" s="105" t="str">
        <f t="shared" si="49"/>
        <v/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F240" s="48" t="s">
        <v>65</v>
      </c>
      <c r="G240" s="109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85000</v>
      </c>
      <c r="H240" s="47"/>
      <c r="I240" s="402" t="s">
        <v>69</v>
      </c>
      <c r="J240" s="403"/>
      <c r="K240" s="53">
        <f>K238+K239</f>
        <v>46693.548387096773</v>
      </c>
      <c r="L240" s="54"/>
      <c r="N240" s="71"/>
      <c r="O240" s="72" t="s">
        <v>50</v>
      </c>
      <c r="P240" s="72"/>
      <c r="Q240" s="72"/>
      <c r="R240" s="72">
        <v>0</v>
      </c>
      <c r="S240" s="63"/>
      <c r="T240" s="72" t="s">
        <v>50</v>
      </c>
      <c r="U240" s="105"/>
      <c r="V240" s="74"/>
      <c r="W240" s="105" t="str">
        <f t="shared" si="48"/>
        <v/>
      </c>
      <c r="X240" s="74"/>
      <c r="Y240" s="105" t="str">
        <f t="shared" si="49"/>
        <v/>
      </c>
      <c r="Z240" s="76"/>
    </row>
    <row r="241" spans="1:26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F241" s="48" t="s">
        <v>21</v>
      </c>
      <c r="G241" s="10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5000</v>
      </c>
      <c r="H241" s="47"/>
      <c r="I241" s="402" t="s">
        <v>70</v>
      </c>
      <c r="J241" s="403"/>
      <c r="K241" s="43">
        <f>G241</f>
        <v>5000</v>
      </c>
      <c r="L241" s="55"/>
      <c r="N241" s="71"/>
      <c r="O241" s="72" t="s">
        <v>51</v>
      </c>
      <c r="P241" s="72"/>
      <c r="Q241" s="72"/>
      <c r="R241" s="72">
        <v>0</v>
      </c>
      <c r="S241" s="63"/>
      <c r="T241" s="72" t="s">
        <v>51</v>
      </c>
      <c r="U241" s="105"/>
      <c r="V241" s="74"/>
      <c r="W241" s="105" t="str">
        <f t="shared" si="48"/>
        <v/>
      </c>
      <c r="X241" s="74"/>
      <c r="Y241" s="105" t="str">
        <f t="shared" si="49"/>
        <v/>
      </c>
      <c r="Z241" s="76"/>
    </row>
    <row r="242" spans="1:26" s="29" customFormat="1" ht="21" customHeight="1" x14ac:dyDescent="0.2">
      <c r="A242" s="30"/>
      <c r="B242" s="56" t="s">
        <v>68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8</v>
      </c>
      <c r="F242" s="48" t="s">
        <v>67</v>
      </c>
      <c r="G242" s="109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80000</v>
      </c>
      <c r="I242" s="391" t="s">
        <v>63</v>
      </c>
      <c r="J242" s="393"/>
      <c r="K242" s="57">
        <f>K240-K241</f>
        <v>41693.548387096773</v>
      </c>
      <c r="L242" s="58"/>
      <c r="N242" s="71"/>
      <c r="O242" s="72" t="s">
        <v>56</v>
      </c>
      <c r="P242" s="72"/>
      <c r="Q242" s="72"/>
      <c r="R242" s="72">
        <v>0</v>
      </c>
      <c r="S242" s="63"/>
      <c r="T242" s="72" t="s">
        <v>56</v>
      </c>
      <c r="U242" s="105"/>
      <c r="V242" s="74"/>
      <c r="W242" s="105" t="str">
        <f t="shared" si="48"/>
        <v/>
      </c>
      <c r="X242" s="74"/>
      <c r="Y242" s="105" t="str">
        <f t="shared" si="49"/>
        <v/>
      </c>
      <c r="Z242" s="76"/>
    </row>
    <row r="243" spans="1:26" s="29" customFormat="1" ht="21" customHeight="1" x14ac:dyDescent="0.2">
      <c r="A243" s="30"/>
      <c r="J243" s="107"/>
      <c r="K243" s="107"/>
      <c r="L243" s="46"/>
      <c r="N243" s="71"/>
      <c r="O243" s="72" t="s">
        <v>52</v>
      </c>
      <c r="P243" s="72"/>
      <c r="Q243" s="72"/>
      <c r="R243" s="72">
        <v>0</v>
      </c>
      <c r="S243" s="63">
        <v>0</v>
      </c>
      <c r="T243" s="72" t="s">
        <v>52</v>
      </c>
      <c r="U243" s="105"/>
      <c r="V243" s="74"/>
      <c r="W243" s="105" t="str">
        <f t="shared" si="48"/>
        <v/>
      </c>
      <c r="X243" s="74"/>
      <c r="Y243" s="105" t="str">
        <f t="shared" si="49"/>
        <v/>
      </c>
      <c r="Z243" s="76"/>
    </row>
    <row r="244" spans="1:26" s="29" customFormat="1" ht="21" customHeight="1" x14ac:dyDescent="0.2">
      <c r="A244" s="30"/>
      <c r="B244" s="404" t="s">
        <v>85</v>
      </c>
      <c r="C244" s="404"/>
      <c r="D244" s="404"/>
      <c r="E244" s="404"/>
      <c r="F244" s="404"/>
      <c r="G244" s="404"/>
      <c r="H244" s="404"/>
      <c r="I244" s="404"/>
      <c r="J244" s="404"/>
      <c r="K244" s="404"/>
      <c r="L244" s="46"/>
      <c r="N244" s="71"/>
      <c r="O244" s="72" t="s">
        <v>57</v>
      </c>
      <c r="P244" s="72"/>
      <c r="Q244" s="72"/>
      <c r="R244" s="72" t="str">
        <f t="shared" si="47"/>
        <v/>
      </c>
      <c r="S244" s="63"/>
      <c r="T244" s="72" t="s">
        <v>57</v>
      </c>
      <c r="U244" s="105"/>
      <c r="V244" s="74"/>
      <c r="W244" s="105" t="str">
        <f t="shared" si="48"/>
        <v/>
      </c>
      <c r="X244" s="74"/>
      <c r="Y244" s="105" t="str">
        <f t="shared" si="49"/>
        <v/>
      </c>
      <c r="Z244" s="76"/>
    </row>
    <row r="245" spans="1:26" s="29" customFormat="1" ht="21" customHeight="1" x14ac:dyDescent="0.2">
      <c r="A245" s="30"/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6"/>
      <c r="N245" s="71"/>
      <c r="O245" s="72" t="s">
        <v>58</v>
      </c>
      <c r="P245" s="72"/>
      <c r="Q245" s="72"/>
      <c r="R245" s="72">
        <v>0</v>
      </c>
      <c r="S245" s="63"/>
      <c r="T245" s="72" t="s">
        <v>58</v>
      </c>
      <c r="U245" s="105"/>
      <c r="V245" s="74"/>
      <c r="W245" s="105" t="str">
        <f t="shared" si="48"/>
        <v/>
      </c>
      <c r="X245" s="74"/>
      <c r="Y245" s="105" t="str">
        <f t="shared" si="49"/>
        <v/>
      </c>
      <c r="Z245" s="76"/>
    </row>
    <row r="246" spans="1:26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6" s="29" customFormat="1" ht="21" customHeight="1" thickBot="1" x14ac:dyDescent="0.25"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s="29" customFormat="1" ht="21" customHeight="1" x14ac:dyDescent="0.2">
      <c r="A248" s="408" t="s">
        <v>40</v>
      </c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10"/>
      <c r="M248" s="28"/>
      <c r="N248" s="64"/>
      <c r="O248" s="405" t="s">
        <v>42</v>
      </c>
      <c r="P248" s="406"/>
      <c r="Q248" s="406"/>
      <c r="R248" s="407"/>
      <c r="S248" s="65"/>
      <c r="T248" s="405" t="s">
        <v>43</v>
      </c>
      <c r="U248" s="406"/>
      <c r="V248" s="406"/>
      <c r="W248" s="406"/>
      <c r="X248" s="406"/>
      <c r="Y248" s="407"/>
      <c r="Z248" s="66"/>
    </row>
    <row r="249" spans="1:26" s="29" customFormat="1" ht="21" customHeight="1" x14ac:dyDescent="0.2">
      <c r="A249" s="30"/>
      <c r="C249" s="395" t="s">
        <v>83</v>
      </c>
      <c r="D249" s="395"/>
      <c r="E249" s="395"/>
      <c r="F249" s="395"/>
      <c r="G249" s="31" t="str">
        <f>$J$1</f>
        <v>May</v>
      </c>
      <c r="H249" s="394">
        <f>$K$1</f>
        <v>2023</v>
      </c>
      <c r="I249" s="394"/>
      <c r="K249" s="32"/>
      <c r="L249" s="33"/>
      <c r="M249" s="32"/>
      <c r="N249" s="67"/>
      <c r="O249" s="68" t="s">
        <v>53</v>
      </c>
      <c r="P249" s="68" t="s">
        <v>7</v>
      </c>
      <c r="Q249" s="68" t="s">
        <v>6</v>
      </c>
      <c r="R249" s="68" t="s">
        <v>54</v>
      </c>
      <c r="S249" s="69"/>
      <c r="T249" s="68" t="s">
        <v>53</v>
      </c>
      <c r="U249" s="68" t="s">
        <v>55</v>
      </c>
      <c r="V249" s="68" t="s">
        <v>20</v>
      </c>
      <c r="W249" s="68" t="s">
        <v>19</v>
      </c>
      <c r="X249" s="68" t="s">
        <v>21</v>
      </c>
      <c r="Y249" s="68" t="s">
        <v>59</v>
      </c>
      <c r="Z249" s="70"/>
    </row>
    <row r="250" spans="1:26" s="29" customFormat="1" ht="2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f>22000+2000+2000</f>
        <v>26000</v>
      </c>
      <c r="L250" s="38"/>
      <c r="N250" s="71"/>
      <c r="O250" s="72" t="s">
        <v>45</v>
      </c>
      <c r="P250" s="72">
        <v>13</v>
      </c>
      <c r="Q250" s="72">
        <v>18</v>
      </c>
      <c r="R250" s="72">
        <v>0</v>
      </c>
      <c r="S250" s="73"/>
      <c r="T250" s="72" t="s">
        <v>45</v>
      </c>
      <c r="U250" s="74">
        <v>4000</v>
      </c>
      <c r="V250" s="74">
        <f>2000+7000</f>
        <v>9000</v>
      </c>
      <c r="W250" s="74">
        <f>V250+U250</f>
        <v>13000</v>
      </c>
      <c r="X250" s="74">
        <v>9000</v>
      </c>
      <c r="Y250" s="74">
        <f>W250-X250</f>
        <v>4000</v>
      </c>
      <c r="Z250" s="70"/>
    </row>
    <row r="251" spans="1:26" s="29" customFormat="1" ht="21" customHeight="1" x14ac:dyDescent="0.2">
      <c r="A251" s="30"/>
      <c r="B251" s="29" t="s">
        <v>0</v>
      </c>
      <c r="C251" s="40" t="s">
        <v>84</v>
      </c>
      <c r="H251" s="41"/>
      <c r="I251" s="35"/>
      <c r="L251" s="42"/>
      <c r="M251" s="28"/>
      <c r="N251" s="75"/>
      <c r="O251" s="72" t="s">
        <v>71</v>
      </c>
      <c r="P251" s="72">
        <v>28</v>
      </c>
      <c r="Q251" s="72">
        <v>0</v>
      </c>
      <c r="R251" s="72">
        <f t="shared" ref="R251:R260" si="50">IF(Q251="","",R250-Q251)</f>
        <v>0</v>
      </c>
      <c r="S251" s="63"/>
      <c r="T251" s="72" t="s">
        <v>71</v>
      </c>
      <c r="U251" s="105">
        <f>Y250</f>
        <v>4000</v>
      </c>
      <c r="V251" s="74">
        <f>5000+3000+2000</f>
        <v>10000</v>
      </c>
      <c r="W251" s="105">
        <f>IF(U251="","",U251+V251)</f>
        <v>14000</v>
      </c>
      <c r="X251" s="74">
        <v>10000</v>
      </c>
      <c r="Y251" s="105">
        <f>IF(W251="","",W251-X251)</f>
        <v>4000</v>
      </c>
      <c r="Z251" s="76"/>
    </row>
    <row r="252" spans="1:26" s="29" customFormat="1" ht="21" customHeight="1" x14ac:dyDescent="0.2">
      <c r="A252" s="30"/>
      <c r="B252" s="44" t="s">
        <v>41</v>
      </c>
      <c r="C252" s="40"/>
      <c r="F252" s="411" t="s">
        <v>43</v>
      </c>
      <c r="G252" s="411"/>
      <c r="I252" s="411" t="s">
        <v>44</v>
      </c>
      <c r="J252" s="411"/>
      <c r="K252" s="411"/>
      <c r="L252" s="46"/>
      <c r="N252" s="71"/>
      <c r="O252" s="72" t="s">
        <v>46</v>
      </c>
      <c r="P252" s="72">
        <v>24</v>
      </c>
      <c r="Q252" s="72">
        <v>7</v>
      </c>
      <c r="R252" s="72">
        <v>0</v>
      </c>
      <c r="S252" s="63"/>
      <c r="T252" s="72" t="s">
        <v>46</v>
      </c>
      <c r="U252" s="105">
        <f>Y251</f>
        <v>4000</v>
      </c>
      <c r="V252" s="74">
        <f>3000+3000</f>
        <v>6000</v>
      </c>
      <c r="W252" s="105">
        <f t="shared" ref="W252:W261" si="51">IF(U252="","",U252+V252)</f>
        <v>10000</v>
      </c>
      <c r="X252" s="74">
        <v>7000</v>
      </c>
      <c r="Y252" s="105">
        <f t="shared" ref="Y252:Y261" si="52">IF(W252="","",W252-X252)</f>
        <v>3000</v>
      </c>
      <c r="Z252" s="76"/>
    </row>
    <row r="253" spans="1:26" s="29" customFormat="1" ht="21" customHeight="1" x14ac:dyDescent="0.2">
      <c r="A253" s="30"/>
      <c r="H253" s="47"/>
      <c r="L253" s="34"/>
      <c r="N253" s="71"/>
      <c r="O253" s="72" t="s">
        <v>47</v>
      </c>
      <c r="P253" s="72">
        <v>28</v>
      </c>
      <c r="Q253" s="72">
        <v>2</v>
      </c>
      <c r="R253" s="72">
        <v>0</v>
      </c>
      <c r="S253" s="63"/>
      <c r="T253" s="72" t="s">
        <v>47</v>
      </c>
      <c r="U253" s="105">
        <f>Y252</f>
        <v>3000</v>
      </c>
      <c r="V253" s="74">
        <f>1000+10000+1000+500</f>
        <v>12500</v>
      </c>
      <c r="W253" s="105">
        <f t="shared" si="51"/>
        <v>15500</v>
      </c>
      <c r="X253" s="74">
        <v>7000</v>
      </c>
      <c r="Y253" s="105">
        <f t="shared" si="52"/>
        <v>8500</v>
      </c>
      <c r="Z253" s="76"/>
    </row>
    <row r="254" spans="1:26" s="29" customFormat="1" ht="21" customHeight="1" x14ac:dyDescent="0.2">
      <c r="A254" s="30"/>
      <c r="B254" s="389" t="s">
        <v>42</v>
      </c>
      <c r="C254" s="390"/>
      <c r="F254" s="48" t="s">
        <v>64</v>
      </c>
      <c r="G254" s="9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8500</v>
      </c>
      <c r="H254" s="47"/>
      <c r="I254" s="49">
        <f>IF(C258&gt;0,$K$2,C256)</f>
        <v>24</v>
      </c>
      <c r="J254" s="50" t="s">
        <v>61</v>
      </c>
      <c r="K254" s="51">
        <f>K250/$K$2*I254</f>
        <v>20129.032258064515</v>
      </c>
      <c r="L254" s="52"/>
      <c r="N254" s="71"/>
      <c r="O254" s="72" t="s">
        <v>48</v>
      </c>
      <c r="P254" s="72">
        <v>24</v>
      </c>
      <c r="Q254" s="72">
        <v>7</v>
      </c>
      <c r="R254" s="72">
        <v>0</v>
      </c>
      <c r="S254" s="63"/>
      <c r="T254" s="72" t="s">
        <v>48</v>
      </c>
      <c r="U254" s="105">
        <f>Y253</f>
        <v>8500</v>
      </c>
      <c r="V254" s="74">
        <f>7000+2000+1000+1000+2000</f>
        <v>13000</v>
      </c>
      <c r="W254" s="105">
        <f t="shared" si="51"/>
        <v>21500</v>
      </c>
      <c r="X254" s="74">
        <v>10000</v>
      </c>
      <c r="Y254" s="105">
        <f t="shared" si="52"/>
        <v>11500</v>
      </c>
      <c r="Z254" s="76"/>
    </row>
    <row r="255" spans="1:26" s="29" customFormat="1" ht="21" customHeight="1" x14ac:dyDescent="0.2">
      <c r="A255" s="30"/>
      <c r="B255" s="39"/>
      <c r="C255" s="39"/>
      <c r="F255" s="48" t="s">
        <v>20</v>
      </c>
      <c r="G255" s="9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13000</v>
      </c>
      <c r="H255" s="47"/>
      <c r="I255" s="84">
        <v>44</v>
      </c>
      <c r="J255" s="50" t="s">
        <v>62</v>
      </c>
      <c r="K255" s="53">
        <f>K250/$K$2/8*I255</f>
        <v>4612.9032258064517</v>
      </c>
      <c r="L255" s="54"/>
      <c r="N255" s="71"/>
      <c r="O255" s="72" t="s">
        <v>49</v>
      </c>
      <c r="P255" s="72"/>
      <c r="Q255" s="72"/>
      <c r="R255" s="72">
        <v>0</v>
      </c>
      <c r="S255" s="63"/>
      <c r="T255" s="72" t="s">
        <v>49</v>
      </c>
      <c r="U255" s="105"/>
      <c r="V255" s="74"/>
      <c r="W255" s="105" t="str">
        <f t="shared" si="51"/>
        <v/>
      </c>
      <c r="X255" s="74"/>
      <c r="Y255" s="105" t="str">
        <f t="shared" si="52"/>
        <v/>
      </c>
      <c r="Z255" s="76"/>
    </row>
    <row r="256" spans="1:26" s="29" customFormat="1" ht="2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24</v>
      </c>
      <c r="F256" s="48" t="s">
        <v>65</v>
      </c>
      <c r="G256" s="9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21500</v>
      </c>
      <c r="H256" s="47"/>
      <c r="I256" s="402" t="s">
        <v>69</v>
      </c>
      <c r="J256" s="403"/>
      <c r="K256" s="53">
        <f>K254+K255</f>
        <v>24741.935483870966</v>
      </c>
      <c r="L256" s="54"/>
      <c r="N256" s="71"/>
      <c r="O256" s="72" t="s">
        <v>50</v>
      </c>
      <c r="P256" s="72"/>
      <c r="Q256" s="72"/>
      <c r="R256" s="72">
        <v>0</v>
      </c>
      <c r="S256" s="63"/>
      <c r="T256" s="72" t="s">
        <v>50</v>
      </c>
      <c r="U256" s="105"/>
      <c r="V256" s="74"/>
      <c r="W256" s="105" t="str">
        <f t="shared" si="51"/>
        <v/>
      </c>
      <c r="X256" s="74"/>
      <c r="Y256" s="105" t="str">
        <f t="shared" si="52"/>
        <v/>
      </c>
      <c r="Z256" s="76"/>
    </row>
    <row r="257" spans="1:26" s="29" customFormat="1" ht="2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7</v>
      </c>
      <c r="F257" s="48" t="s">
        <v>21</v>
      </c>
      <c r="G257" s="9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10000</v>
      </c>
      <c r="H257" s="47"/>
      <c r="I257" s="402" t="s">
        <v>70</v>
      </c>
      <c r="J257" s="403"/>
      <c r="K257" s="43">
        <f>G257</f>
        <v>10000</v>
      </c>
      <c r="L257" s="55"/>
      <c r="N257" s="71"/>
      <c r="O257" s="72" t="s">
        <v>51</v>
      </c>
      <c r="P257" s="72"/>
      <c r="Q257" s="72"/>
      <c r="R257" s="72">
        <v>0</v>
      </c>
      <c r="S257" s="63"/>
      <c r="T257" s="72" t="s">
        <v>51</v>
      </c>
      <c r="U257" s="105"/>
      <c r="V257" s="74"/>
      <c r="W257" s="105" t="str">
        <f t="shared" si="51"/>
        <v/>
      </c>
      <c r="X257" s="74"/>
      <c r="Y257" s="105" t="str">
        <f t="shared" si="52"/>
        <v/>
      </c>
      <c r="Z257" s="76"/>
    </row>
    <row r="258" spans="1:26" s="29" customFormat="1" ht="21" customHeight="1" x14ac:dyDescent="0.2">
      <c r="A258" s="30"/>
      <c r="B258" s="56" t="s">
        <v>68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67</v>
      </c>
      <c r="G258" s="9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11500</v>
      </c>
      <c r="I258" s="391" t="s">
        <v>63</v>
      </c>
      <c r="J258" s="393"/>
      <c r="K258" s="57">
        <f>K256-K257</f>
        <v>14741.935483870966</v>
      </c>
      <c r="L258" s="58"/>
      <c r="N258" s="71"/>
      <c r="O258" s="72" t="s">
        <v>56</v>
      </c>
      <c r="P258" s="72"/>
      <c r="Q258" s="72"/>
      <c r="R258" s="72">
        <v>0</v>
      </c>
      <c r="S258" s="63"/>
      <c r="T258" s="72" t="s">
        <v>56</v>
      </c>
      <c r="U258" s="105"/>
      <c r="V258" s="74"/>
      <c r="W258" s="105" t="str">
        <f t="shared" si="51"/>
        <v/>
      </c>
      <c r="X258" s="74"/>
      <c r="Y258" s="105" t="str">
        <f t="shared" si="52"/>
        <v/>
      </c>
      <c r="Z258" s="76"/>
    </row>
    <row r="259" spans="1:26" s="29" customFormat="1" ht="21" customHeight="1" x14ac:dyDescent="0.2">
      <c r="A259" s="30"/>
      <c r="K259" s="107"/>
      <c r="L259" s="46"/>
      <c r="N259" s="71"/>
      <c r="O259" s="72" t="s">
        <v>52</v>
      </c>
      <c r="P259" s="72"/>
      <c r="Q259" s="72"/>
      <c r="R259" s="72">
        <v>0</v>
      </c>
      <c r="S259" s="63"/>
      <c r="T259" s="72" t="s">
        <v>52</v>
      </c>
      <c r="U259" s="105"/>
      <c r="V259" s="74"/>
      <c r="W259" s="105" t="str">
        <f t="shared" si="51"/>
        <v/>
      </c>
      <c r="X259" s="74"/>
      <c r="Y259" s="105" t="str">
        <f t="shared" si="52"/>
        <v/>
      </c>
      <c r="Z259" s="76"/>
    </row>
    <row r="260" spans="1:26" s="29" customFormat="1" ht="21" customHeight="1" x14ac:dyDescent="0.2">
      <c r="A260" s="30"/>
      <c r="B260" s="404" t="s">
        <v>85</v>
      </c>
      <c r="C260" s="404"/>
      <c r="D260" s="404"/>
      <c r="E260" s="404"/>
      <c r="F260" s="404"/>
      <c r="G260" s="404"/>
      <c r="H260" s="404"/>
      <c r="I260" s="404"/>
      <c r="J260" s="404"/>
      <c r="K260" s="404"/>
      <c r="L260" s="46"/>
      <c r="N260" s="71"/>
      <c r="O260" s="72" t="s">
        <v>57</v>
      </c>
      <c r="P260" s="72"/>
      <c r="Q260" s="72"/>
      <c r="R260" s="72" t="str">
        <f t="shared" si="50"/>
        <v/>
      </c>
      <c r="S260" s="63"/>
      <c r="T260" s="72" t="s">
        <v>57</v>
      </c>
      <c r="U260" s="105"/>
      <c r="V260" s="74"/>
      <c r="W260" s="105" t="str">
        <f t="shared" si="51"/>
        <v/>
      </c>
      <c r="X260" s="74"/>
      <c r="Y260" s="105" t="str">
        <f t="shared" si="52"/>
        <v/>
      </c>
      <c r="Z260" s="76"/>
    </row>
    <row r="261" spans="1:26" s="29" customFormat="1" ht="21" customHeight="1" x14ac:dyDescent="0.2">
      <c r="A261" s="30"/>
      <c r="B261" s="404"/>
      <c r="C261" s="404"/>
      <c r="D261" s="404"/>
      <c r="E261" s="404"/>
      <c r="F261" s="404"/>
      <c r="G261" s="404"/>
      <c r="H261" s="404"/>
      <c r="I261" s="404"/>
      <c r="J261" s="404"/>
      <c r="K261" s="404"/>
      <c r="L261" s="46"/>
      <c r="N261" s="71"/>
      <c r="O261" s="72" t="s">
        <v>58</v>
      </c>
      <c r="P261" s="72"/>
      <c r="Q261" s="72"/>
      <c r="R261" s="72">
        <v>0</v>
      </c>
      <c r="S261" s="63"/>
      <c r="T261" s="72" t="s">
        <v>58</v>
      </c>
      <c r="U261" s="105"/>
      <c r="V261" s="74"/>
      <c r="W261" s="105" t="str">
        <f t="shared" si="51"/>
        <v/>
      </c>
      <c r="X261" s="74"/>
      <c r="Y261" s="105" t="str">
        <f t="shared" si="52"/>
        <v/>
      </c>
      <c r="Z261" s="76"/>
    </row>
    <row r="262" spans="1:26" s="29" customFormat="1" ht="2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6" ht="15.75" thickBot="1" x14ac:dyDescent="0.3"/>
    <row r="264" spans="1:26" s="29" customFormat="1" ht="21" customHeight="1" x14ac:dyDescent="0.2">
      <c r="A264" s="417" t="s">
        <v>40</v>
      </c>
      <c r="B264" s="418"/>
      <c r="C264" s="418"/>
      <c r="D264" s="418"/>
      <c r="E264" s="418"/>
      <c r="F264" s="418"/>
      <c r="G264" s="418"/>
      <c r="H264" s="418"/>
      <c r="I264" s="418"/>
      <c r="J264" s="418"/>
      <c r="K264" s="418"/>
      <c r="L264" s="419"/>
      <c r="M264" s="28"/>
      <c r="N264" s="64"/>
      <c r="O264" s="405" t="s">
        <v>42</v>
      </c>
      <c r="P264" s="406"/>
      <c r="Q264" s="406"/>
      <c r="R264" s="407"/>
      <c r="S264" s="65"/>
      <c r="T264" s="405" t="s">
        <v>43</v>
      </c>
      <c r="U264" s="406"/>
      <c r="V264" s="406"/>
      <c r="W264" s="406"/>
      <c r="X264" s="406"/>
      <c r="Y264" s="407"/>
      <c r="Z264" s="66"/>
    </row>
    <row r="265" spans="1:26" s="29" customFormat="1" ht="21" customHeight="1" x14ac:dyDescent="0.2">
      <c r="A265" s="30"/>
      <c r="C265" s="395" t="s">
        <v>83</v>
      </c>
      <c r="D265" s="395"/>
      <c r="E265" s="395"/>
      <c r="F265" s="395"/>
      <c r="G265" s="31" t="str">
        <f>$J$1</f>
        <v>May</v>
      </c>
      <c r="H265" s="394">
        <f>$K$1</f>
        <v>2023</v>
      </c>
      <c r="I265" s="394"/>
      <c r="K265" s="32"/>
      <c r="L265" s="33"/>
      <c r="M265" s="32"/>
      <c r="N265" s="67"/>
      <c r="O265" s="68" t="s">
        <v>53</v>
      </c>
      <c r="P265" s="68" t="s">
        <v>7</v>
      </c>
      <c r="Q265" s="68" t="s">
        <v>6</v>
      </c>
      <c r="R265" s="68" t="s">
        <v>54</v>
      </c>
      <c r="S265" s="69"/>
      <c r="T265" s="68" t="s">
        <v>53</v>
      </c>
      <c r="U265" s="68" t="s">
        <v>55</v>
      </c>
      <c r="V265" s="68" t="s">
        <v>20</v>
      </c>
      <c r="W265" s="68" t="s">
        <v>19</v>
      </c>
      <c r="X265" s="68" t="s">
        <v>21</v>
      </c>
      <c r="Y265" s="68" t="s">
        <v>59</v>
      </c>
      <c r="Z265" s="70"/>
    </row>
    <row r="266" spans="1:26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f>17000+2000+4000</f>
        <v>23000</v>
      </c>
      <c r="L266" s="38"/>
      <c r="N266" s="71"/>
      <c r="O266" s="72" t="s">
        <v>45</v>
      </c>
      <c r="P266" s="72">
        <v>31</v>
      </c>
      <c r="Q266" s="72">
        <v>0</v>
      </c>
      <c r="R266" s="72">
        <f>9-Q266</f>
        <v>9</v>
      </c>
      <c r="S266" s="73"/>
      <c r="T266" s="72" t="s">
        <v>45</v>
      </c>
      <c r="U266" s="74"/>
      <c r="V266" s="74"/>
      <c r="W266" s="74">
        <f>V266+U266</f>
        <v>0</v>
      </c>
      <c r="X266" s="74"/>
      <c r="Y266" s="74">
        <f>W266-X266</f>
        <v>0</v>
      </c>
      <c r="Z266" s="70"/>
    </row>
    <row r="267" spans="1:26" s="29" customFormat="1" ht="21" customHeight="1" x14ac:dyDescent="0.2">
      <c r="A267" s="30"/>
      <c r="B267" s="29" t="s">
        <v>0</v>
      </c>
      <c r="C267" s="40" t="s">
        <v>153</v>
      </c>
      <c r="H267" s="41"/>
      <c r="I267" s="35"/>
      <c r="L267" s="42"/>
      <c r="M267" s="28"/>
      <c r="N267" s="75"/>
      <c r="O267" s="72" t="s">
        <v>71</v>
      </c>
      <c r="P267" s="72">
        <v>25</v>
      </c>
      <c r="Q267" s="72">
        <v>3</v>
      </c>
      <c r="R267" s="72">
        <f t="shared" ref="R267:R277" si="53">IF(Q267="","",R266-Q267)</f>
        <v>6</v>
      </c>
      <c r="S267" s="63"/>
      <c r="T267" s="72" t="s">
        <v>71</v>
      </c>
      <c r="U267" s="105">
        <f>Y266</f>
        <v>0</v>
      </c>
      <c r="V267" s="74"/>
      <c r="W267" s="105">
        <f>IF(U267="","",U267+V267)</f>
        <v>0</v>
      </c>
      <c r="X267" s="74"/>
      <c r="Y267" s="105">
        <f>IF(W267="","",W267-X267)</f>
        <v>0</v>
      </c>
      <c r="Z267" s="76"/>
    </row>
    <row r="268" spans="1:26" s="29" customFormat="1" ht="21" customHeight="1" x14ac:dyDescent="0.2">
      <c r="A268" s="30"/>
      <c r="B268" s="44" t="s">
        <v>41</v>
      </c>
      <c r="C268" s="40"/>
      <c r="F268" s="411" t="s">
        <v>43</v>
      </c>
      <c r="G268" s="411"/>
      <c r="I268" s="411" t="s">
        <v>44</v>
      </c>
      <c r="J268" s="411"/>
      <c r="K268" s="411"/>
      <c r="L268" s="46"/>
      <c r="N268" s="71"/>
      <c r="O268" s="72" t="s">
        <v>46</v>
      </c>
      <c r="P268" s="72">
        <v>30</v>
      </c>
      <c r="Q268" s="72">
        <v>1</v>
      </c>
      <c r="R268" s="72">
        <f t="shared" si="53"/>
        <v>5</v>
      </c>
      <c r="S268" s="63"/>
      <c r="T268" s="72" t="s">
        <v>46</v>
      </c>
      <c r="U268" s="105">
        <f>IF($J$1="April",Y267,Y267)</f>
        <v>0</v>
      </c>
      <c r="V268" s="74"/>
      <c r="W268" s="105">
        <f t="shared" ref="W268:W277" si="54">IF(U268="","",U268+V268)</f>
        <v>0</v>
      </c>
      <c r="X268" s="74"/>
      <c r="Y268" s="105">
        <f t="shared" ref="Y268:Y277" si="55">IF(W268="","",W268-X268)</f>
        <v>0</v>
      </c>
      <c r="Z268" s="76"/>
    </row>
    <row r="269" spans="1:26" s="29" customFormat="1" ht="21" customHeight="1" x14ac:dyDescent="0.2">
      <c r="A269" s="30"/>
      <c r="H269" s="47"/>
      <c r="L269" s="34"/>
      <c r="N269" s="71"/>
      <c r="O269" s="72" t="s">
        <v>47</v>
      </c>
      <c r="P269" s="72">
        <v>28</v>
      </c>
      <c r="Q269" s="72">
        <v>2</v>
      </c>
      <c r="R269" s="72">
        <f t="shared" si="53"/>
        <v>3</v>
      </c>
      <c r="S269" s="63"/>
      <c r="T269" s="72" t="s">
        <v>47</v>
      </c>
      <c r="U269" s="105"/>
      <c r="V269" s="74"/>
      <c r="W269" s="105" t="str">
        <f t="shared" si="54"/>
        <v/>
      </c>
      <c r="X269" s="74"/>
      <c r="Y269" s="105" t="str">
        <f t="shared" si="55"/>
        <v/>
      </c>
      <c r="Z269" s="76"/>
    </row>
    <row r="270" spans="1:26" s="29" customFormat="1" ht="21" customHeight="1" x14ac:dyDescent="0.2">
      <c r="A270" s="30"/>
      <c r="B270" s="389" t="s">
        <v>42</v>
      </c>
      <c r="C270" s="390"/>
      <c r="F270" s="48" t="s">
        <v>64</v>
      </c>
      <c r="G270" s="43" t="str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/>
      </c>
      <c r="H270" s="47"/>
      <c r="I270" s="49">
        <f>IF(C274&gt;0,$K$2,C272)</f>
        <v>31</v>
      </c>
      <c r="J270" s="50" t="s">
        <v>61</v>
      </c>
      <c r="K270" s="51">
        <f>K266/$K$2*I270</f>
        <v>23000</v>
      </c>
      <c r="L270" s="52"/>
      <c r="N270" s="71"/>
      <c r="O270" s="72" t="s">
        <v>48</v>
      </c>
      <c r="P270" s="72">
        <v>30</v>
      </c>
      <c r="Q270" s="72">
        <v>1</v>
      </c>
      <c r="R270" s="72">
        <f t="shared" si="53"/>
        <v>2</v>
      </c>
      <c r="S270" s="63"/>
      <c r="T270" s="72" t="s">
        <v>48</v>
      </c>
      <c r="U270" s="105" t="str">
        <f>IF($J$1="May",Y269,Y269)</f>
        <v/>
      </c>
      <c r="V270" s="74"/>
      <c r="W270" s="105" t="str">
        <f t="shared" si="54"/>
        <v/>
      </c>
      <c r="X270" s="74"/>
      <c r="Y270" s="105" t="str">
        <f t="shared" si="55"/>
        <v/>
      </c>
      <c r="Z270" s="76"/>
    </row>
    <row r="271" spans="1:26" s="29" customFormat="1" ht="21" customHeight="1" x14ac:dyDescent="0.2">
      <c r="A271" s="30"/>
      <c r="B271" s="39"/>
      <c r="C271" s="39"/>
      <c r="F271" s="48" t="s">
        <v>20</v>
      </c>
      <c r="G271" s="43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7"/>
      <c r="I271" s="84">
        <v>17</v>
      </c>
      <c r="J271" s="50" t="s">
        <v>62</v>
      </c>
      <c r="K271" s="53">
        <f>K266/$K$2/8*I271</f>
        <v>1576.6129032258063</v>
      </c>
      <c r="L271" s="54"/>
      <c r="N271" s="71"/>
      <c r="O271" s="72" t="s">
        <v>49</v>
      </c>
      <c r="P271" s="72"/>
      <c r="Q271" s="72"/>
      <c r="R271" s="72" t="str">
        <f t="shared" si="53"/>
        <v/>
      </c>
      <c r="S271" s="63"/>
      <c r="T271" s="72" t="s">
        <v>49</v>
      </c>
      <c r="U271" s="105" t="str">
        <f>IF($J$1="May",Y270,Y270)</f>
        <v/>
      </c>
      <c r="V271" s="74"/>
      <c r="W271" s="105" t="str">
        <f t="shared" si="54"/>
        <v/>
      </c>
      <c r="X271" s="74"/>
      <c r="Y271" s="105" t="str">
        <f t="shared" si="55"/>
        <v/>
      </c>
      <c r="Z271" s="76"/>
    </row>
    <row r="272" spans="1:26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30</v>
      </c>
      <c r="F272" s="48" t="s">
        <v>65</v>
      </c>
      <c r="G272" s="43" t="str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/>
      </c>
      <c r="H272" s="47"/>
      <c r="I272" s="402" t="s">
        <v>69</v>
      </c>
      <c r="J272" s="403"/>
      <c r="K272" s="53">
        <f>K270+K271</f>
        <v>24576.612903225807</v>
      </c>
      <c r="L272" s="54"/>
      <c r="N272" s="71"/>
      <c r="O272" s="72" t="s">
        <v>50</v>
      </c>
      <c r="P272" s="72"/>
      <c r="Q272" s="72"/>
      <c r="R272" s="72" t="str">
        <f t="shared" si="53"/>
        <v/>
      </c>
      <c r="S272" s="63"/>
      <c r="T272" s="72" t="s">
        <v>50</v>
      </c>
      <c r="U272" s="105" t="str">
        <f t="shared" ref="U272:U277" si="56">Y271</f>
        <v/>
      </c>
      <c r="V272" s="74"/>
      <c r="W272" s="105" t="str">
        <f t="shared" si="54"/>
        <v/>
      </c>
      <c r="X272" s="74"/>
      <c r="Y272" s="105" t="str">
        <f t="shared" si="55"/>
        <v/>
      </c>
      <c r="Z272" s="76"/>
    </row>
    <row r="273" spans="1:27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F273" s="48" t="s">
        <v>21</v>
      </c>
      <c r="G273" s="43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7"/>
      <c r="I273" s="402" t="s">
        <v>70</v>
      </c>
      <c r="J273" s="403"/>
      <c r="K273" s="43">
        <f>G273</f>
        <v>0</v>
      </c>
      <c r="L273" s="55"/>
      <c r="N273" s="71"/>
      <c r="O273" s="72" t="s">
        <v>51</v>
      </c>
      <c r="P273" s="72"/>
      <c r="Q273" s="72"/>
      <c r="R273" s="72" t="str">
        <f t="shared" si="53"/>
        <v/>
      </c>
      <c r="S273" s="63"/>
      <c r="T273" s="72" t="s">
        <v>51</v>
      </c>
      <c r="U273" s="105" t="str">
        <f t="shared" si="56"/>
        <v/>
      </c>
      <c r="V273" s="74"/>
      <c r="W273" s="105" t="str">
        <f t="shared" si="54"/>
        <v/>
      </c>
      <c r="X273" s="74"/>
      <c r="Y273" s="105" t="str">
        <f t="shared" si="55"/>
        <v/>
      </c>
      <c r="Z273" s="76"/>
    </row>
    <row r="274" spans="1:27" s="29" customFormat="1" ht="21" customHeight="1" x14ac:dyDescent="0.2">
      <c r="A274" s="30"/>
      <c r="B274" s="56" t="s">
        <v>68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</v>
      </c>
      <c r="F274" s="48" t="s">
        <v>140</v>
      </c>
      <c r="G274" s="43" t="str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/>
      </c>
      <c r="I274" s="391" t="s">
        <v>63</v>
      </c>
      <c r="J274" s="393"/>
      <c r="K274" s="57">
        <f>K272-K273</f>
        <v>24576.612903225807</v>
      </c>
      <c r="L274" s="58"/>
      <c r="N274" s="71"/>
      <c r="O274" s="72" t="s">
        <v>56</v>
      </c>
      <c r="P274" s="72"/>
      <c r="Q274" s="72"/>
      <c r="R274" s="72" t="str">
        <f t="shared" si="53"/>
        <v/>
      </c>
      <c r="S274" s="63"/>
      <c r="T274" s="72" t="s">
        <v>56</v>
      </c>
      <c r="U274" s="105" t="str">
        <f t="shared" si="56"/>
        <v/>
      </c>
      <c r="V274" s="74"/>
      <c r="W274" s="105" t="str">
        <f t="shared" si="54"/>
        <v/>
      </c>
      <c r="X274" s="74"/>
      <c r="Y274" s="105" t="str">
        <f t="shared" si="55"/>
        <v/>
      </c>
      <c r="Z274" s="76"/>
    </row>
    <row r="275" spans="1:27" s="29" customFormat="1" ht="21" customHeight="1" x14ac:dyDescent="0.2">
      <c r="A275" s="30"/>
      <c r="K275" s="107"/>
      <c r="L275" s="46"/>
      <c r="N275" s="71"/>
      <c r="O275" s="72" t="s">
        <v>52</v>
      </c>
      <c r="P275" s="72"/>
      <c r="Q275" s="72"/>
      <c r="R275" s="72" t="str">
        <f t="shared" si="53"/>
        <v/>
      </c>
      <c r="S275" s="63"/>
      <c r="T275" s="72" t="s">
        <v>52</v>
      </c>
      <c r="U275" s="105" t="str">
        <f t="shared" si="56"/>
        <v/>
      </c>
      <c r="V275" s="74"/>
      <c r="W275" s="105" t="str">
        <f t="shared" si="54"/>
        <v/>
      </c>
      <c r="X275" s="74"/>
      <c r="Y275" s="105" t="str">
        <f t="shared" si="55"/>
        <v/>
      </c>
      <c r="Z275" s="76"/>
    </row>
    <row r="276" spans="1:27" s="29" customFormat="1" ht="21" customHeight="1" x14ac:dyDescent="0.2">
      <c r="A276" s="30"/>
      <c r="B276" s="404" t="s">
        <v>85</v>
      </c>
      <c r="C276" s="404"/>
      <c r="D276" s="404"/>
      <c r="E276" s="404"/>
      <c r="F276" s="404"/>
      <c r="G276" s="404"/>
      <c r="H276" s="404"/>
      <c r="I276" s="404"/>
      <c r="J276" s="404"/>
      <c r="K276" s="404"/>
      <c r="L276" s="46"/>
      <c r="N276" s="71"/>
      <c r="O276" s="72" t="s">
        <v>57</v>
      </c>
      <c r="P276" s="72"/>
      <c r="Q276" s="72"/>
      <c r="R276" s="72" t="str">
        <f t="shared" si="53"/>
        <v/>
      </c>
      <c r="S276" s="63"/>
      <c r="T276" s="72" t="s">
        <v>57</v>
      </c>
      <c r="U276" s="105" t="str">
        <f t="shared" si="56"/>
        <v/>
      </c>
      <c r="V276" s="74"/>
      <c r="W276" s="105" t="str">
        <f t="shared" si="54"/>
        <v/>
      </c>
      <c r="X276" s="74"/>
      <c r="Y276" s="105" t="str">
        <f t="shared" si="55"/>
        <v/>
      </c>
      <c r="Z276" s="76"/>
    </row>
    <row r="277" spans="1:27" s="29" customFormat="1" ht="21" customHeight="1" x14ac:dyDescent="0.2">
      <c r="A277" s="30"/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6"/>
      <c r="N277" s="71"/>
      <c r="O277" s="72" t="s">
        <v>58</v>
      </c>
      <c r="P277" s="72"/>
      <c r="Q277" s="72"/>
      <c r="R277" s="72" t="str">
        <f t="shared" si="53"/>
        <v/>
      </c>
      <c r="S277" s="63"/>
      <c r="T277" s="72" t="s">
        <v>58</v>
      </c>
      <c r="U277" s="105" t="str">
        <f t="shared" si="56"/>
        <v/>
      </c>
      <c r="V277" s="74"/>
      <c r="W277" s="105" t="str">
        <f t="shared" si="54"/>
        <v/>
      </c>
      <c r="X277" s="74"/>
      <c r="Y277" s="105" t="str">
        <f t="shared" si="55"/>
        <v/>
      </c>
      <c r="Z277" s="76"/>
    </row>
    <row r="278" spans="1:27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7" ht="15.75" thickBot="1" x14ac:dyDescent="0.3"/>
    <row r="280" spans="1:27" s="29" customFormat="1" ht="21" customHeight="1" x14ac:dyDescent="0.2">
      <c r="A280" s="434" t="s">
        <v>40</v>
      </c>
      <c r="B280" s="435"/>
      <c r="C280" s="435"/>
      <c r="D280" s="435"/>
      <c r="E280" s="435"/>
      <c r="F280" s="435"/>
      <c r="G280" s="435"/>
      <c r="H280" s="435"/>
      <c r="I280" s="435"/>
      <c r="J280" s="435"/>
      <c r="K280" s="435"/>
      <c r="L280" s="436"/>
      <c r="M280" s="28"/>
      <c r="N280" s="64"/>
      <c r="O280" s="405" t="s">
        <v>42</v>
      </c>
      <c r="P280" s="406"/>
      <c r="Q280" s="406"/>
      <c r="R280" s="407"/>
      <c r="S280" s="65"/>
      <c r="T280" s="405" t="s">
        <v>43</v>
      </c>
      <c r="U280" s="406"/>
      <c r="V280" s="406"/>
      <c r="W280" s="406"/>
      <c r="X280" s="406"/>
      <c r="Y280" s="407"/>
      <c r="Z280" s="66"/>
      <c r="AA280" s="28"/>
    </row>
    <row r="281" spans="1:27" s="29" customFormat="1" ht="21" customHeight="1" x14ac:dyDescent="0.2">
      <c r="A281" s="30"/>
      <c r="C281" s="395" t="s">
        <v>83</v>
      </c>
      <c r="D281" s="395"/>
      <c r="E281" s="395"/>
      <c r="F281" s="395"/>
      <c r="G281" s="31" t="str">
        <f>$J$1</f>
        <v>May</v>
      </c>
      <c r="H281" s="394">
        <f>$K$1</f>
        <v>2023</v>
      </c>
      <c r="I281" s="394"/>
      <c r="K281" s="32"/>
      <c r="L281" s="33"/>
      <c r="M281" s="32"/>
      <c r="N281" s="67"/>
      <c r="O281" s="68" t="s">
        <v>53</v>
      </c>
      <c r="P281" s="68" t="s">
        <v>7</v>
      </c>
      <c r="Q281" s="68" t="s">
        <v>6</v>
      </c>
      <c r="R281" s="68" t="s">
        <v>54</v>
      </c>
      <c r="S281" s="69"/>
      <c r="T281" s="68" t="s">
        <v>53</v>
      </c>
      <c r="U281" s="68" t="s">
        <v>55</v>
      </c>
      <c r="V281" s="68" t="s">
        <v>20</v>
      </c>
      <c r="W281" s="68" t="s">
        <v>19</v>
      </c>
      <c r="X281" s="68" t="s">
        <v>21</v>
      </c>
      <c r="Y281" s="68" t="s">
        <v>59</v>
      </c>
      <c r="Z281" s="70"/>
      <c r="AA281" s="32"/>
    </row>
    <row r="282" spans="1:27" s="29" customFormat="1" ht="2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>
        <v>1200</v>
      </c>
      <c r="L282" s="38"/>
      <c r="N282" s="71"/>
      <c r="O282" s="72" t="s">
        <v>45</v>
      </c>
      <c r="P282" s="72"/>
      <c r="Q282" s="72"/>
      <c r="R282" s="72"/>
      <c r="S282" s="73"/>
      <c r="T282" s="72" t="s">
        <v>45</v>
      </c>
      <c r="U282" s="74">
        <v>25870</v>
      </c>
      <c r="V282" s="74"/>
      <c r="W282" s="74">
        <f>V282+U282</f>
        <v>25870</v>
      </c>
      <c r="X282" s="74">
        <v>5000</v>
      </c>
      <c r="Y282" s="74">
        <f>W282-X282</f>
        <v>20870</v>
      </c>
      <c r="Z282" s="70"/>
    </row>
    <row r="283" spans="1:27" s="29" customFormat="1" ht="21" customHeight="1" x14ac:dyDescent="0.2">
      <c r="A283" s="30"/>
      <c r="B283" s="29" t="s">
        <v>0</v>
      </c>
      <c r="C283" s="40" t="s">
        <v>167</v>
      </c>
      <c r="H283" s="41"/>
      <c r="I283" s="35"/>
      <c r="L283" s="42"/>
      <c r="M283" s="28"/>
      <c r="N283" s="75"/>
      <c r="O283" s="72" t="s">
        <v>71</v>
      </c>
      <c r="P283" s="72"/>
      <c r="Q283" s="72"/>
      <c r="R283" s="72">
        <v>0</v>
      </c>
      <c r="S283" s="63"/>
      <c r="T283" s="72" t="s">
        <v>71</v>
      </c>
      <c r="U283" s="105">
        <f>IF($J$1="January","",Y282)</f>
        <v>20870</v>
      </c>
      <c r="V283" s="74">
        <v>2000</v>
      </c>
      <c r="W283" s="105">
        <f>IF(U283="","",U283+V283)</f>
        <v>22870</v>
      </c>
      <c r="X283" s="74">
        <v>5000</v>
      </c>
      <c r="Y283" s="105">
        <f>IF(W283="","",W283-X283)</f>
        <v>17870</v>
      </c>
      <c r="Z283" s="76"/>
      <c r="AA283" s="28"/>
    </row>
    <row r="284" spans="1:27" s="29" customFormat="1" ht="21" customHeight="1" x14ac:dyDescent="0.2">
      <c r="A284" s="30"/>
      <c r="B284" s="44" t="s">
        <v>41</v>
      </c>
      <c r="C284" s="45"/>
      <c r="F284" s="411" t="s">
        <v>43</v>
      </c>
      <c r="G284" s="411"/>
      <c r="I284" s="411" t="s">
        <v>44</v>
      </c>
      <c r="J284" s="411"/>
      <c r="K284" s="411"/>
      <c r="L284" s="46"/>
      <c r="N284" s="71"/>
      <c r="O284" s="72" t="s">
        <v>46</v>
      </c>
      <c r="P284" s="72"/>
      <c r="Q284" s="72"/>
      <c r="R284" s="72">
        <v>0</v>
      </c>
      <c r="S284" s="63"/>
      <c r="T284" s="72" t="s">
        <v>46</v>
      </c>
      <c r="U284" s="105">
        <f>Y283</f>
        <v>17870</v>
      </c>
      <c r="V284" s="74">
        <f>2000+2000</f>
        <v>4000</v>
      </c>
      <c r="W284" s="105">
        <f t="shared" ref="W284:W289" si="57">IF(U284="","",U284+V284)</f>
        <v>21870</v>
      </c>
      <c r="X284" s="74">
        <v>5000</v>
      </c>
      <c r="Y284" s="105">
        <f t="shared" ref="Y284:Y289" si="58">IF(W284="","",W284-X284)</f>
        <v>16870</v>
      </c>
      <c r="Z284" s="76"/>
    </row>
    <row r="285" spans="1:27" s="29" customFormat="1" ht="21" customHeight="1" x14ac:dyDescent="0.2">
      <c r="A285" s="30"/>
      <c r="H285" s="47"/>
      <c r="L285" s="34"/>
      <c r="N285" s="71"/>
      <c r="O285" s="72" t="s">
        <v>47</v>
      </c>
      <c r="P285" s="72"/>
      <c r="Q285" s="72"/>
      <c r="R285" s="72">
        <v>0</v>
      </c>
      <c r="S285" s="63"/>
      <c r="T285" s="72" t="s">
        <v>47</v>
      </c>
      <c r="U285" s="105">
        <f>Y284</f>
        <v>16870</v>
      </c>
      <c r="V285" s="74">
        <v>5000</v>
      </c>
      <c r="W285" s="105">
        <f t="shared" si="57"/>
        <v>21870</v>
      </c>
      <c r="X285" s="74">
        <v>5000</v>
      </c>
      <c r="Y285" s="105">
        <f t="shared" si="58"/>
        <v>16870</v>
      </c>
      <c r="Z285" s="76"/>
    </row>
    <row r="286" spans="1:27" s="29" customFormat="1" ht="21" customHeight="1" x14ac:dyDescent="0.2">
      <c r="A286" s="30"/>
      <c r="B286" s="389" t="s">
        <v>42</v>
      </c>
      <c r="C286" s="390"/>
      <c r="F286" s="48" t="s">
        <v>64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16870</v>
      </c>
      <c r="H286" s="47"/>
      <c r="I286" s="49">
        <v>29</v>
      </c>
      <c r="J286" s="50" t="s">
        <v>61</v>
      </c>
      <c r="K286" s="51">
        <f>K282*I286</f>
        <v>34800</v>
      </c>
      <c r="L286" s="52"/>
      <c r="N286" s="71"/>
      <c r="O286" s="72" t="s">
        <v>48</v>
      </c>
      <c r="P286" s="72"/>
      <c r="Q286" s="72"/>
      <c r="R286" s="72">
        <v>0</v>
      </c>
      <c r="S286" s="63"/>
      <c r="T286" s="72" t="s">
        <v>48</v>
      </c>
      <c r="U286" s="105">
        <f>Y285</f>
        <v>16870</v>
      </c>
      <c r="V286" s="74">
        <v>3000</v>
      </c>
      <c r="W286" s="105">
        <f t="shared" si="57"/>
        <v>19870</v>
      </c>
      <c r="X286" s="74">
        <v>5000</v>
      </c>
      <c r="Y286" s="105">
        <f t="shared" si="58"/>
        <v>14870</v>
      </c>
      <c r="Z286" s="76"/>
    </row>
    <row r="287" spans="1:27" s="29" customFormat="1" ht="21" customHeight="1" x14ac:dyDescent="0.2">
      <c r="A287" s="30"/>
      <c r="B287" s="39"/>
      <c r="C287" s="39"/>
      <c r="F287" s="48" t="s">
        <v>20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3000</v>
      </c>
      <c r="H287" s="47"/>
      <c r="I287" s="84">
        <v>48</v>
      </c>
      <c r="J287" s="50" t="s">
        <v>62</v>
      </c>
      <c r="K287" s="53">
        <f>K282/8*I287</f>
        <v>7200</v>
      </c>
      <c r="L287" s="54"/>
      <c r="N287" s="71"/>
      <c r="O287" s="72" t="s">
        <v>49</v>
      </c>
      <c r="P287" s="72"/>
      <c r="Q287" s="72"/>
      <c r="R287" s="72">
        <v>0</v>
      </c>
      <c r="S287" s="63"/>
      <c r="T287" s="72" t="s">
        <v>49</v>
      </c>
      <c r="U287" s="105"/>
      <c r="V287" s="74"/>
      <c r="W287" s="105" t="str">
        <f t="shared" si="57"/>
        <v/>
      </c>
      <c r="X287" s="74"/>
      <c r="Y287" s="105" t="str">
        <f t="shared" si="58"/>
        <v/>
      </c>
      <c r="Z287" s="76"/>
    </row>
    <row r="288" spans="1:27" s="29" customFormat="1" ht="2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F288" s="48" t="s">
        <v>65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19870</v>
      </c>
      <c r="H288" s="47"/>
      <c r="I288" s="402" t="s">
        <v>69</v>
      </c>
      <c r="J288" s="403"/>
      <c r="K288" s="53">
        <f>K286+K287</f>
        <v>42000</v>
      </c>
      <c r="L288" s="54"/>
      <c r="N288" s="71"/>
      <c r="O288" s="72" t="s">
        <v>50</v>
      </c>
      <c r="P288" s="72"/>
      <c r="Q288" s="72"/>
      <c r="R288" s="72"/>
      <c r="S288" s="63"/>
      <c r="T288" s="72" t="s">
        <v>50</v>
      </c>
      <c r="U288" s="105"/>
      <c r="V288" s="74"/>
      <c r="W288" s="105" t="str">
        <f t="shared" si="57"/>
        <v/>
      </c>
      <c r="X288" s="74"/>
      <c r="Y288" s="105" t="str">
        <f t="shared" si="58"/>
        <v/>
      </c>
      <c r="Z288" s="76"/>
    </row>
    <row r="289" spans="1:27" s="29" customFormat="1" ht="2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F289" s="48" t="s">
        <v>21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5000</v>
      </c>
      <c r="H289" s="47"/>
      <c r="I289" s="402" t="s">
        <v>70</v>
      </c>
      <c r="J289" s="403"/>
      <c r="K289" s="43">
        <f>G289</f>
        <v>5000</v>
      </c>
      <c r="L289" s="55"/>
      <c r="N289" s="71"/>
      <c r="O289" s="72" t="s">
        <v>51</v>
      </c>
      <c r="P289" s="72"/>
      <c r="Q289" s="72"/>
      <c r="R289" s="72">
        <v>0</v>
      </c>
      <c r="S289" s="63"/>
      <c r="T289" s="72" t="s">
        <v>51</v>
      </c>
      <c r="U289" s="105"/>
      <c r="V289" s="74"/>
      <c r="W289" s="105" t="str">
        <f t="shared" si="57"/>
        <v/>
      </c>
      <c r="X289" s="74"/>
      <c r="Y289" s="105" t="str">
        <f t="shared" si="58"/>
        <v/>
      </c>
      <c r="Z289" s="76"/>
    </row>
    <row r="290" spans="1:27" s="29" customFormat="1" ht="21" customHeight="1" x14ac:dyDescent="0.2">
      <c r="A290" s="30"/>
      <c r="B290" s="56" t="s">
        <v>68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67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14870</v>
      </c>
      <c r="I290" s="391" t="s">
        <v>63</v>
      </c>
      <c r="J290" s="393"/>
      <c r="K290" s="57">
        <f>K288-K289</f>
        <v>37000</v>
      </c>
      <c r="L290" s="58"/>
      <c r="N290" s="71"/>
      <c r="O290" s="72" t="s">
        <v>56</v>
      </c>
      <c r="P290" s="72"/>
      <c r="Q290" s="72"/>
      <c r="R290" s="72">
        <v>0</v>
      </c>
      <c r="S290" s="63"/>
      <c r="T290" s="72" t="s">
        <v>56</v>
      </c>
      <c r="U290" s="105"/>
      <c r="V290" s="74"/>
      <c r="W290" s="105" t="str">
        <f t="shared" ref="W290:W293" si="59">IF(U290="","",U290+V290)</f>
        <v/>
      </c>
      <c r="X290" s="74"/>
      <c r="Y290" s="105" t="str">
        <f t="shared" ref="Y290:Y293" si="60">IF(W290="","",W290-X290)</f>
        <v/>
      </c>
      <c r="Z290" s="76"/>
    </row>
    <row r="291" spans="1:27" s="29" customFormat="1" ht="21" customHeight="1" x14ac:dyDescent="0.2">
      <c r="A291" s="30"/>
      <c r="K291" s="107"/>
      <c r="L291" s="46"/>
      <c r="N291" s="71"/>
      <c r="O291" s="72" t="s">
        <v>52</v>
      </c>
      <c r="P291" s="72"/>
      <c r="Q291" s="72"/>
      <c r="R291" s="72">
        <v>0</v>
      </c>
      <c r="S291" s="63"/>
      <c r="T291" s="72" t="s">
        <v>52</v>
      </c>
      <c r="U291" s="105"/>
      <c r="V291" s="74"/>
      <c r="W291" s="105" t="str">
        <f t="shared" si="59"/>
        <v/>
      </c>
      <c r="X291" s="74"/>
      <c r="Y291" s="105" t="str">
        <f t="shared" si="60"/>
        <v/>
      </c>
      <c r="Z291" s="76"/>
    </row>
    <row r="292" spans="1:27" s="29" customFormat="1" ht="21" customHeight="1" x14ac:dyDescent="0.2">
      <c r="A292" s="30"/>
      <c r="B292" s="404" t="s">
        <v>85</v>
      </c>
      <c r="C292" s="404"/>
      <c r="D292" s="404"/>
      <c r="E292" s="404"/>
      <c r="F292" s="404"/>
      <c r="G292" s="404"/>
      <c r="H292" s="404"/>
      <c r="I292" s="404"/>
      <c r="J292" s="404"/>
      <c r="K292" s="404"/>
      <c r="L292" s="46"/>
      <c r="N292" s="71"/>
      <c r="O292" s="72" t="s">
        <v>57</v>
      </c>
      <c r="P292" s="72"/>
      <c r="Q292" s="72"/>
      <c r="R292" s="72">
        <v>0</v>
      </c>
      <c r="S292" s="63"/>
      <c r="T292" s="72" t="s">
        <v>57</v>
      </c>
      <c r="U292" s="105"/>
      <c r="V292" s="74"/>
      <c r="W292" s="105" t="str">
        <f t="shared" si="59"/>
        <v/>
      </c>
      <c r="X292" s="74"/>
      <c r="Y292" s="105" t="str">
        <f t="shared" si="60"/>
        <v/>
      </c>
      <c r="Z292" s="76"/>
    </row>
    <row r="293" spans="1:27" s="29" customFormat="1" ht="21" customHeight="1" x14ac:dyDescent="0.2">
      <c r="A293" s="30"/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6"/>
      <c r="N293" s="71"/>
      <c r="O293" s="72" t="s">
        <v>58</v>
      </c>
      <c r="P293" s="72"/>
      <c r="Q293" s="72"/>
      <c r="R293" s="72">
        <v>0</v>
      </c>
      <c r="S293" s="63"/>
      <c r="T293" s="72" t="s">
        <v>58</v>
      </c>
      <c r="U293" s="105"/>
      <c r="V293" s="74"/>
      <c r="W293" s="105" t="str">
        <f t="shared" si="59"/>
        <v/>
      </c>
      <c r="X293" s="74"/>
      <c r="Y293" s="105" t="str">
        <f t="shared" si="60"/>
        <v/>
      </c>
      <c r="Z293" s="76"/>
    </row>
    <row r="294" spans="1:27" s="29" customFormat="1" ht="2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7" s="29" customFormat="1" ht="21" customHeight="1" thickBot="1" x14ac:dyDescent="0.25">
      <c r="A295" s="30"/>
      <c r="L295" s="46"/>
      <c r="N295" s="71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85"/>
    </row>
    <row r="296" spans="1:27" s="29" customFormat="1" ht="21.4" customHeight="1" x14ac:dyDescent="0.2">
      <c r="A296" s="417" t="s">
        <v>40</v>
      </c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9"/>
      <c r="M296" s="28"/>
      <c r="N296" s="64"/>
      <c r="O296" s="405" t="s">
        <v>42</v>
      </c>
      <c r="P296" s="406"/>
      <c r="Q296" s="406"/>
      <c r="R296" s="407"/>
      <c r="S296" s="65"/>
      <c r="T296" s="405" t="s">
        <v>43</v>
      </c>
      <c r="U296" s="406"/>
      <c r="V296" s="406"/>
      <c r="W296" s="406"/>
      <c r="X296" s="406"/>
      <c r="Y296" s="407"/>
      <c r="Z296" s="66"/>
      <c r="AA296" s="28"/>
    </row>
    <row r="297" spans="1:27" s="29" customFormat="1" ht="21.4" customHeight="1" x14ac:dyDescent="0.2">
      <c r="A297" s="30"/>
      <c r="C297" s="395" t="s">
        <v>83</v>
      </c>
      <c r="D297" s="395"/>
      <c r="E297" s="395"/>
      <c r="F297" s="395"/>
      <c r="G297" s="31" t="str">
        <f>$J$1</f>
        <v>May</v>
      </c>
      <c r="H297" s="394">
        <f>$K$1</f>
        <v>2023</v>
      </c>
      <c r="I297" s="394"/>
      <c r="K297" s="32"/>
      <c r="L297" s="33"/>
      <c r="M297" s="32"/>
      <c r="N297" s="67"/>
      <c r="O297" s="68" t="s">
        <v>53</v>
      </c>
      <c r="P297" s="68" t="s">
        <v>7</v>
      </c>
      <c r="Q297" s="68" t="s">
        <v>6</v>
      </c>
      <c r="R297" s="68" t="s">
        <v>54</v>
      </c>
      <c r="S297" s="69"/>
      <c r="T297" s="68" t="s">
        <v>53</v>
      </c>
      <c r="U297" s="68" t="s">
        <v>55</v>
      </c>
      <c r="V297" s="68" t="s">
        <v>20</v>
      </c>
      <c r="W297" s="68" t="s">
        <v>19</v>
      </c>
      <c r="X297" s="68" t="s">
        <v>21</v>
      </c>
      <c r="Y297" s="68" t="s">
        <v>59</v>
      </c>
      <c r="Z297" s="70"/>
      <c r="AA297" s="32"/>
    </row>
    <row r="298" spans="1:27" s="29" customFormat="1" ht="21.4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>
        <v>45000</v>
      </c>
      <c r="L298" s="38"/>
      <c r="N298" s="71"/>
      <c r="O298" s="72" t="s">
        <v>45</v>
      </c>
      <c r="P298" s="72">
        <v>31</v>
      </c>
      <c r="Q298" s="72">
        <v>0</v>
      </c>
      <c r="R298" s="72">
        <f>15-Q298</f>
        <v>15</v>
      </c>
      <c r="S298" s="73"/>
      <c r="T298" s="72" t="s">
        <v>45</v>
      </c>
      <c r="U298" s="74">
        <v>17000</v>
      </c>
      <c r="V298" s="74"/>
      <c r="W298" s="74">
        <f>V298+U298</f>
        <v>17000</v>
      </c>
      <c r="X298" s="74">
        <v>5000</v>
      </c>
      <c r="Y298" s="74">
        <f>W298-X298</f>
        <v>12000</v>
      </c>
      <c r="Z298" s="70"/>
    </row>
    <row r="299" spans="1:27" s="29" customFormat="1" ht="21.4" customHeight="1" x14ac:dyDescent="0.2">
      <c r="A299" s="30"/>
      <c r="B299" s="29" t="s">
        <v>0</v>
      </c>
      <c r="C299" s="40" t="s">
        <v>182</v>
      </c>
      <c r="H299" s="41"/>
      <c r="I299" s="35"/>
      <c r="L299" s="42"/>
      <c r="M299" s="28"/>
      <c r="N299" s="75"/>
      <c r="O299" s="72" t="s">
        <v>71</v>
      </c>
      <c r="P299" s="72">
        <v>28</v>
      </c>
      <c r="Q299" s="72">
        <v>0</v>
      </c>
      <c r="R299" s="72">
        <f>R298-Q299</f>
        <v>15</v>
      </c>
      <c r="S299" s="63"/>
      <c r="T299" s="72" t="s">
        <v>71</v>
      </c>
      <c r="U299" s="105">
        <f>IF($J$1="January","",Y298)</f>
        <v>12000</v>
      </c>
      <c r="V299" s="74">
        <v>2000</v>
      </c>
      <c r="W299" s="74">
        <f>V299+U299</f>
        <v>14000</v>
      </c>
      <c r="X299" s="74">
        <v>3000</v>
      </c>
      <c r="Y299" s="105">
        <f>IF(W299="","",W299-X299)</f>
        <v>11000</v>
      </c>
      <c r="Z299" s="76"/>
      <c r="AA299" s="28"/>
    </row>
    <row r="300" spans="1:27" s="29" customFormat="1" ht="21.4" customHeight="1" x14ac:dyDescent="0.2">
      <c r="A300" s="30"/>
      <c r="B300" s="44" t="s">
        <v>41</v>
      </c>
      <c r="C300" s="45"/>
      <c r="F300" s="411" t="s">
        <v>43</v>
      </c>
      <c r="G300" s="411"/>
      <c r="I300" s="411" t="s">
        <v>44</v>
      </c>
      <c r="J300" s="411"/>
      <c r="K300" s="411"/>
      <c r="L300" s="46"/>
      <c r="N300" s="71"/>
      <c r="O300" s="72" t="s">
        <v>46</v>
      </c>
      <c r="P300" s="72">
        <v>31</v>
      </c>
      <c r="Q300" s="72">
        <v>0</v>
      </c>
      <c r="R300" s="72">
        <f t="shared" ref="R300:R309" si="61">R299-Q300</f>
        <v>15</v>
      </c>
      <c r="S300" s="63"/>
      <c r="T300" s="72" t="s">
        <v>46</v>
      </c>
      <c r="U300" s="105">
        <f>Y299</f>
        <v>11000</v>
      </c>
      <c r="V300" s="74">
        <v>2000</v>
      </c>
      <c r="W300" s="74">
        <f>V300+U300</f>
        <v>13000</v>
      </c>
      <c r="X300" s="74"/>
      <c r="Y300" s="105">
        <f t="shared" ref="Y300:Y309" si="62">IF(W300="","",W300-X300)</f>
        <v>13000</v>
      </c>
      <c r="Z300" s="76"/>
    </row>
    <row r="301" spans="1:27" s="29" customFormat="1" ht="21.4" customHeight="1" x14ac:dyDescent="0.2">
      <c r="A301" s="30"/>
      <c r="H301" s="47"/>
      <c r="L301" s="34"/>
      <c r="N301" s="71"/>
      <c r="O301" s="72" t="s">
        <v>47</v>
      </c>
      <c r="P301" s="72">
        <v>30</v>
      </c>
      <c r="Q301" s="72">
        <v>0</v>
      </c>
      <c r="R301" s="72">
        <f t="shared" si="61"/>
        <v>15</v>
      </c>
      <c r="S301" s="63"/>
      <c r="T301" s="72" t="s">
        <v>47</v>
      </c>
      <c r="U301" s="105">
        <f>Y300</f>
        <v>13000</v>
      </c>
      <c r="V301" s="74"/>
      <c r="W301" s="105">
        <f t="shared" ref="W301:W309" si="63">IF(U301="","",U301+V301)</f>
        <v>13000</v>
      </c>
      <c r="X301" s="74">
        <v>3000</v>
      </c>
      <c r="Y301" s="105">
        <f t="shared" si="62"/>
        <v>10000</v>
      </c>
      <c r="Z301" s="76"/>
    </row>
    <row r="302" spans="1:27" s="29" customFormat="1" ht="21.4" customHeight="1" x14ac:dyDescent="0.2">
      <c r="A302" s="30"/>
      <c r="B302" s="389" t="s">
        <v>42</v>
      </c>
      <c r="C302" s="390"/>
      <c r="F302" s="48" t="s">
        <v>64</v>
      </c>
      <c r="G302" s="43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10000</v>
      </c>
      <c r="H302" s="47"/>
      <c r="I302" s="155">
        <f>IF(C306&gt;0,$K$2,C304)</f>
        <v>31</v>
      </c>
      <c r="J302" s="50" t="s">
        <v>61</v>
      </c>
      <c r="K302" s="51">
        <f>K298/$K$2*I302</f>
        <v>45000</v>
      </c>
      <c r="L302" s="52"/>
      <c r="N302" s="71"/>
      <c r="O302" s="72" t="s">
        <v>48</v>
      </c>
      <c r="P302" s="72">
        <v>29</v>
      </c>
      <c r="Q302" s="72">
        <v>2</v>
      </c>
      <c r="R302" s="72">
        <f t="shared" si="61"/>
        <v>13</v>
      </c>
      <c r="S302" s="63"/>
      <c r="T302" s="72" t="s">
        <v>48</v>
      </c>
      <c r="U302" s="105">
        <f>Y301</f>
        <v>10000</v>
      </c>
      <c r="V302" s="74">
        <v>3000</v>
      </c>
      <c r="W302" s="105">
        <f>IF(U302="","",U302+V302)</f>
        <v>13000</v>
      </c>
      <c r="X302" s="74">
        <v>3000</v>
      </c>
      <c r="Y302" s="105">
        <f t="shared" si="62"/>
        <v>10000</v>
      </c>
      <c r="Z302" s="76"/>
    </row>
    <row r="303" spans="1:27" s="29" customFormat="1" ht="21.4" customHeight="1" x14ac:dyDescent="0.2">
      <c r="A303" s="30"/>
      <c r="B303" s="39"/>
      <c r="C303" s="39"/>
      <c r="F303" s="48" t="s">
        <v>20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3000</v>
      </c>
      <c r="H303" s="47"/>
      <c r="I303" s="84">
        <v>14</v>
      </c>
      <c r="J303" s="50" t="s">
        <v>62</v>
      </c>
      <c r="K303" s="53">
        <f>K298/$K$2/8*I303</f>
        <v>2540.322580645161</v>
      </c>
      <c r="L303" s="54"/>
      <c r="N303" s="71"/>
      <c r="O303" s="72" t="s">
        <v>49</v>
      </c>
      <c r="P303" s="72"/>
      <c r="Q303" s="72"/>
      <c r="R303" s="72">
        <f t="shared" si="61"/>
        <v>13</v>
      </c>
      <c r="S303" s="63"/>
      <c r="T303" s="72" t="s">
        <v>49</v>
      </c>
      <c r="U303" s="105"/>
      <c r="V303" s="74"/>
      <c r="W303" s="74">
        <f>V303</f>
        <v>0</v>
      </c>
      <c r="X303" s="74"/>
      <c r="Y303" s="105">
        <f t="shared" si="62"/>
        <v>0</v>
      </c>
      <c r="Z303" s="76"/>
    </row>
    <row r="304" spans="1:27" s="29" customFormat="1" ht="21.4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29</v>
      </c>
      <c r="F304" s="48" t="s">
        <v>65</v>
      </c>
      <c r="G304" s="109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13000</v>
      </c>
      <c r="H304" s="47"/>
      <c r="I304" s="402" t="s">
        <v>69</v>
      </c>
      <c r="J304" s="403"/>
      <c r="K304" s="53">
        <f>K302+K303</f>
        <v>47540.322580645159</v>
      </c>
      <c r="L304" s="54"/>
      <c r="N304" s="71"/>
      <c r="O304" s="72" t="s">
        <v>50</v>
      </c>
      <c r="P304" s="72"/>
      <c r="Q304" s="72"/>
      <c r="R304" s="72">
        <f t="shared" si="61"/>
        <v>13</v>
      </c>
      <c r="S304" s="63"/>
      <c r="T304" s="72" t="s">
        <v>50</v>
      </c>
      <c r="U304" s="105"/>
      <c r="V304" s="74"/>
      <c r="W304" s="105" t="str">
        <f t="shared" si="63"/>
        <v/>
      </c>
      <c r="X304" s="74"/>
      <c r="Y304" s="105" t="str">
        <f t="shared" si="62"/>
        <v/>
      </c>
      <c r="Z304" s="76"/>
    </row>
    <row r="305" spans="1:27" s="29" customFormat="1" ht="21.4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2</v>
      </c>
      <c r="F305" s="48" t="s">
        <v>21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3000</v>
      </c>
      <c r="H305" s="47"/>
      <c r="I305" s="402" t="s">
        <v>70</v>
      </c>
      <c r="J305" s="403"/>
      <c r="K305" s="43">
        <f>G305</f>
        <v>3000</v>
      </c>
      <c r="L305" s="55"/>
      <c r="N305" s="71"/>
      <c r="O305" s="72" t="s">
        <v>51</v>
      </c>
      <c r="P305" s="72"/>
      <c r="Q305" s="72"/>
      <c r="R305" s="72">
        <f t="shared" si="61"/>
        <v>13</v>
      </c>
      <c r="S305" s="63"/>
      <c r="T305" s="72" t="s">
        <v>51</v>
      </c>
      <c r="U305" s="105">
        <v>0</v>
      </c>
      <c r="V305" s="74"/>
      <c r="W305" s="105"/>
      <c r="X305" s="74"/>
      <c r="Y305" s="105" t="str">
        <f t="shared" si="62"/>
        <v/>
      </c>
      <c r="Z305" s="76"/>
    </row>
    <row r="306" spans="1:27" s="29" customFormat="1" ht="21.4" customHeight="1" x14ac:dyDescent="0.2">
      <c r="A306" s="30"/>
      <c r="B306" s="56" t="s">
        <v>68</v>
      </c>
      <c r="C306" s="39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>13</v>
      </c>
      <c r="F306" s="48" t="s">
        <v>67</v>
      </c>
      <c r="G306" s="43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10000</v>
      </c>
      <c r="I306" s="391" t="s">
        <v>63</v>
      </c>
      <c r="J306" s="393"/>
      <c r="K306" s="57">
        <f>K304-K305</f>
        <v>44540.322580645159</v>
      </c>
      <c r="L306" s="58"/>
      <c r="N306" s="71"/>
      <c r="O306" s="72" t="s">
        <v>56</v>
      </c>
      <c r="P306" s="72"/>
      <c r="Q306" s="72"/>
      <c r="R306" s="72">
        <f t="shared" si="61"/>
        <v>13</v>
      </c>
      <c r="S306" s="63"/>
      <c r="T306" s="72" t="s">
        <v>56</v>
      </c>
      <c r="U306" s="105"/>
      <c r="V306" s="74"/>
      <c r="W306" s="105"/>
      <c r="X306" s="74"/>
      <c r="Y306" s="105" t="str">
        <f t="shared" si="62"/>
        <v/>
      </c>
      <c r="Z306" s="76"/>
    </row>
    <row r="307" spans="1:27" s="29" customFormat="1" ht="21.4" customHeight="1" x14ac:dyDescent="0.2">
      <c r="A307" s="30"/>
      <c r="L307" s="46"/>
      <c r="N307" s="71"/>
      <c r="O307" s="72" t="s">
        <v>52</v>
      </c>
      <c r="P307" s="72"/>
      <c r="Q307" s="72"/>
      <c r="R307" s="72">
        <f t="shared" si="61"/>
        <v>13</v>
      </c>
      <c r="S307" s="63"/>
      <c r="T307" s="72" t="s">
        <v>52</v>
      </c>
      <c r="U307" s="105"/>
      <c r="V307" s="74"/>
      <c r="W307" s="105" t="str">
        <f t="shared" si="63"/>
        <v/>
      </c>
      <c r="X307" s="74"/>
      <c r="Y307" s="105" t="str">
        <f t="shared" si="62"/>
        <v/>
      </c>
      <c r="Z307" s="76"/>
    </row>
    <row r="308" spans="1:27" s="29" customFormat="1" ht="21.4" customHeight="1" x14ac:dyDescent="0.2">
      <c r="A308" s="30"/>
      <c r="B308" s="404" t="s">
        <v>85</v>
      </c>
      <c r="C308" s="404"/>
      <c r="D308" s="404"/>
      <c r="E308" s="404"/>
      <c r="F308" s="404"/>
      <c r="G308" s="404"/>
      <c r="H308" s="404"/>
      <c r="I308" s="404"/>
      <c r="J308" s="404"/>
      <c r="K308" s="404"/>
      <c r="L308" s="46"/>
      <c r="N308" s="71"/>
      <c r="O308" s="72" t="s">
        <v>57</v>
      </c>
      <c r="P308" s="72"/>
      <c r="Q308" s="72"/>
      <c r="R308" s="72">
        <f t="shared" si="61"/>
        <v>13</v>
      </c>
      <c r="S308" s="63"/>
      <c r="T308" s="72" t="s">
        <v>57</v>
      </c>
      <c r="U308" s="105"/>
      <c r="V308" s="74"/>
      <c r="W308" s="105" t="str">
        <f t="shared" si="63"/>
        <v/>
      </c>
      <c r="X308" s="74"/>
      <c r="Y308" s="105" t="str">
        <f t="shared" si="62"/>
        <v/>
      </c>
      <c r="Z308" s="76"/>
    </row>
    <row r="309" spans="1:27" s="29" customFormat="1" ht="21.4" customHeight="1" x14ac:dyDescent="0.2">
      <c r="A309" s="30"/>
      <c r="B309" s="404"/>
      <c r="C309" s="404"/>
      <c r="D309" s="404"/>
      <c r="E309" s="404"/>
      <c r="F309" s="404"/>
      <c r="G309" s="404"/>
      <c r="H309" s="404"/>
      <c r="I309" s="404"/>
      <c r="J309" s="404"/>
      <c r="K309" s="404"/>
      <c r="L309" s="46"/>
      <c r="N309" s="71"/>
      <c r="O309" s="72" t="s">
        <v>58</v>
      </c>
      <c r="P309" s="72"/>
      <c r="Q309" s="72"/>
      <c r="R309" s="72">
        <f t="shared" si="61"/>
        <v>13</v>
      </c>
      <c r="S309" s="63"/>
      <c r="T309" s="72" t="s">
        <v>58</v>
      </c>
      <c r="U309" s="105"/>
      <c r="V309" s="74"/>
      <c r="W309" s="105" t="str">
        <f t="shared" si="63"/>
        <v/>
      </c>
      <c r="X309" s="74"/>
      <c r="Y309" s="105" t="str">
        <f t="shared" si="62"/>
        <v/>
      </c>
      <c r="Z309" s="76"/>
    </row>
    <row r="310" spans="1:27" s="29" customFormat="1" ht="21.4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9"/>
    </row>
    <row r="311" spans="1:27" s="29" customFormat="1" ht="21" customHeight="1" thickBot="1" x14ac:dyDescent="0.25"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7" s="29" customFormat="1" ht="21.4" customHeight="1" x14ac:dyDescent="0.2">
      <c r="A312" s="408" t="s">
        <v>40</v>
      </c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10"/>
      <c r="M312" s="28"/>
      <c r="N312" s="64"/>
      <c r="O312" s="405" t="s">
        <v>42</v>
      </c>
      <c r="P312" s="406"/>
      <c r="Q312" s="406"/>
      <c r="R312" s="407"/>
      <c r="S312" s="65"/>
      <c r="T312" s="405" t="s">
        <v>43</v>
      </c>
      <c r="U312" s="406"/>
      <c r="V312" s="406"/>
      <c r="W312" s="406"/>
      <c r="X312" s="406"/>
      <c r="Y312" s="407"/>
      <c r="Z312" s="66"/>
      <c r="AA312" s="28"/>
    </row>
    <row r="313" spans="1:27" s="29" customFormat="1" ht="21.4" customHeight="1" x14ac:dyDescent="0.2">
      <c r="A313" s="30"/>
      <c r="C313" s="395" t="s">
        <v>83</v>
      </c>
      <c r="D313" s="395"/>
      <c r="E313" s="395"/>
      <c r="F313" s="395"/>
      <c r="G313" s="31" t="str">
        <f>$J$1</f>
        <v>May</v>
      </c>
      <c r="H313" s="394">
        <f>$K$1</f>
        <v>2023</v>
      </c>
      <c r="I313" s="394"/>
      <c r="K313" s="32"/>
      <c r="L313" s="33"/>
      <c r="M313" s="32"/>
      <c r="N313" s="67"/>
      <c r="O313" s="68" t="s">
        <v>53</v>
      </c>
      <c r="P313" s="68" t="s">
        <v>7</v>
      </c>
      <c r="Q313" s="68" t="s">
        <v>6</v>
      </c>
      <c r="R313" s="68" t="s">
        <v>54</v>
      </c>
      <c r="S313" s="69"/>
      <c r="T313" s="68" t="s">
        <v>53</v>
      </c>
      <c r="U313" s="68" t="s">
        <v>55</v>
      </c>
      <c r="V313" s="68" t="s">
        <v>20</v>
      </c>
      <c r="W313" s="68" t="s">
        <v>19</v>
      </c>
      <c r="X313" s="68" t="s">
        <v>21</v>
      </c>
      <c r="Y313" s="68" t="s">
        <v>59</v>
      </c>
      <c r="Z313" s="70"/>
      <c r="AA313" s="32"/>
    </row>
    <row r="314" spans="1:27" s="29" customFormat="1" ht="21.4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v>22000</v>
      </c>
      <c r="L314" s="38"/>
      <c r="N314" s="71"/>
      <c r="O314" s="72" t="s">
        <v>45</v>
      </c>
      <c r="P314" s="72">
        <v>30</v>
      </c>
      <c r="Q314" s="72">
        <v>1</v>
      </c>
      <c r="R314" s="72">
        <f>15-Q314</f>
        <v>14</v>
      </c>
      <c r="S314" s="73"/>
      <c r="T314" s="72" t="s">
        <v>45</v>
      </c>
      <c r="U314" s="74">
        <v>5760</v>
      </c>
      <c r="V314" s="74"/>
      <c r="W314" s="74">
        <f>V314+U314</f>
        <v>5760</v>
      </c>
      <c r="X314" s="74"/>
      <c r="Y314" s="74">
        <f>W314-X314</f>
        <v>5760</v>
      </c>
      <c r="Z314" s="70"/>
    </row>
    <row r="315" spans="1:27" s="29" customFormat="1" ht="21.4" customHeight="1" x14ac:dyDescent="0.2">
      <c r="A315" s="30"/>
      <c r="B315" s="29" t="s">
        <v>0</v>
      </c>
      <c r="C315" s="40" t="s">
        <v>181</v>
      </c>
      <c r="H315" s="41"/>
      <c r="I315" s="35"/>
      <c r="L315" s="42"/>
      <c r="M315" s="28"/>
      <c r="N315" s="75"/>
      <c r="O315" s="72" t="s">
        <v>71</v>
      </c>
      <c r="P315" s="72">
        <v>26</v>
      </c>
      <c r="Q315" s="72">
        <v>2</v>
      </c>
      <c r="R315" s="72">
        <f>R314-Q315</f>
        <v>12</v>
      </c>
      <c r="S315" s="63"/>
      <c r="T315" s="72" t="s">
        <v>71</v>
      </c>
      <c r="U315" s="105">
        <f>IF($J$1="January","",Y314)</f>
        <v>5760</v>
      </c>
      <c r="V315" s="74">
        <v>3000</v>
      </c>
      <c r="W315" s="105">
        <f>IF(U315="","",U315+V315)</f>
        <v>8760</v>
      </c>
      <c r="X315" s="74">
        <v>4000</v>
      </c>
      <c r="Y315" s="105">
        <f>IF(W315="","",W315-X315)</f>
        <v>4760</v>
      </c>
      <c r="Z315" s="76"/>
      <c r="AA315" s="28"/>
    </row>
    <row r="316" spans="1:27" s="29" customFormat="1" ht="21.4" customHeight="1" x14ac:dyDescent="0.2">
      <c r="A316" s="30"/>
      <c r="B316" s="44" t="s">
        <v>41</v>
      </c>
      <c r="C316" s="45"/>
      <c r="F316" s="411" t="s">
        <v>43</v>
      </c>
      <c r="G316" s="411"/>
      <c r="I316" s="411" t="s">
        <v>44</v>
      </c>
      <c r="J316" s="411"/>
      <c r="K316" s="411"/>
      <c r="L316" s="46"/>
      <c r="N316" s="71"/>
      <c r="O316" s="72" t="s">
        <v>46</v>
      </c>
      <c r="P316" s="72">
        <v>30</v>
      </c>
      <c r="Q316" s="72">
        <v>1</v>
      </c>
      <c r="R316" s="72">
        <f t="shared" ref="R316:R325" si="64">R315-Q316</f>
        <v>11</v>
      </c>
      <c r="S316" s="63"/>
      <c r="T316" s="72" t="s">
        <v>46</v>
      </c>
      <c r="U316" s="105">
        <f>Y315</f>
        <v>4760</v>
      </c>
      <c r="V316" s="74">
        <v>2000</v>
      </c>
      <c r="W316" s="105">
        <f t="shared" ref="W316:W325" si="65">IF(U316="","",U316+V316)</f>
        <v>6760</v>
      </c>
      <c r="X316" s="74">
        <v>4000</v>
      </c>
      <c r="Y316" s="105">
        <f t="shared" ref="Y316:Y325" si="66">IF(W316="","",W316-X316)</f>
        <v>2760</v>
      </c>
      <c r="Z316" s="76"/>
    </row>
    <row r="317" spans="1:27" s="29" customFormat="1" ht="21.4" customHeight="1" x14ac:dyDescent="0.2">
      <c r="A317" s="30"/>
      <c r="H317" s="47"/>
      <c r="L317" s="34"/>
      <c r="N317" s="71"/>
      <c r="O317" s="72" t="s">
        <v>47</v>
      </c>
      <c r="P317" s="72">
        <v>30</v>
      </c>
      <c r="Q317" s="72">
        <v>0</v>
      </c>
      <c r="R317" s="72">
        <f t="shared" si="64"/>
        <v>11</v>
      </c>
      <c r="S317" s="63"/>
      <c r="T317" s="72" t="s">
        <v>47</v>
      </c>
      <c r="U317" s="105">
        <f>IF($J$1="March","",Y316)</f>
        <v>2760</v>
      </c>
      <c r="V317" s="74">
        <v>4000</v>
      </c>
      <c r="W317" s="105">
        <f t="shared" si="65"/>
        <v>6760</v>
      </c>
      <c r="X317" s="74">
        <v>4000</v>
      </c>
      <c r="Y317" s="105">
        <f t="shared" si="66"/>
        <v>2760</v>
      </c>
      <c r="Z317" s="76"/>
    </row>
    <row r="318" spans="1:27" s="29" customFormat="1" ht="21.4" customHeight="1" x14ac:dyDescent="0.2">
      <c r="A318" s="30"/>
      <c r="B318" s="389" t="s">
        <v>42</v>
      </c>
      <c r="C318" s="390"/>
      <c r="F318" s="48" t="s">
        <v>64</v>
      </c>
      <c r="G318" s="110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2760</v>
      </c>
      <c r="H318" s="47"/>
      <c r="I318" s="49">
        <f>IF(C322&gt;0,$K$2,C320)</f>
        <v>31</v>
      </c>
      <c r="J318" s="50" t="s">
        <v>61</v>
      </c>
      <c r="K318" s="51">
        <f>K314/$K$2*I318</f>
        <v>22000</v>
      </c>
      <c r="L318" s="52"/>
      <c r="N318" s="71"/>
      <c r="O318" s="72" t="s">
        <v>48</v>
      </c>
      <c r="P318" s="72">
        <v>30</v>
      </c>
      <c r="Q318" s="72">
        <v>1</v>
      </c>
      <c r="R318" s="72">
        <f t="shared" si="64"/>
        <v>10</v>
      </c>
      <c r="S318" s="63"/>
      <c r="T318" s="72" t="s">
        <v>48</v>
      </c>
      <c r="U318" s="105">
        <f>Y317</f>
        <v>2760</v>
      </c>
      <c r="V318" s="74">
        <v>2000</v>
      </c>
      <c r="W318" s="105">
        <f t="shared" si="65"/>
        <v>4760</v>
      </c>
      <c r="X318" s="74">
        <v>3000</v>
      </c>
      <c r="Y318" s="105">
        <f t="shared" si="66"/>
        <v>1760</v>
      </c>
      <c r="Z318" s="76"/>
    </row>
    <row r="319" spans="1:27" s="29" customFormat="1" ht="21.4" customHeight="1" x14ac:dyDescent="0.2">
      <c r="A319" s="30"/>
      <c r="B319" s="39"/>
      <c r="C319" s="39"/>
      <c r="F319" s="48" t="s">
        <v>20</v>
      </c>
      <c r="G319" s="110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2000</v>
      </c>
      <c r="H319" s="47"/>
      <c r="I319" s="84">
        <v>18</v>
      </c>
      <c r="J319" s="50" t="s">
        <v>62</v>
      </c>
      <c r="K319" s="53">
        <f>K314/$K$2/8*I319</f>
        <v>1596.7741935483871</v>
      </c>
      <c r="L319" s="54"/>
      <c r="N319" s="71"/>
      <c r="O319" s="72" t="s">
        <v>49</v>
      </c>
      <c r="P319" s="72"/>
      <c r="Q319" s="72"/>
      <c r="R319" s="72">
        <f t="shared" si="64"/>
        <v>10</v>
      </c>
      <c r="S319" s="63"/>
      <c r="T319" s="72" t="s">
        <v>49</v>
      </c>
      <c r="U319" s="105"/>
      <c r="V319" s="74"/>
      <c r="W319" s="105" t="str">
        <f t="shared" si="65"/>
        <v/>
      </c>
      <c r="X319" s="74"/>
      <c r="Y319" s="105" t="str">
        <f t="shared" si="66"/>
        <v/>
      </c>
      <c r="Z319" s="76"/>
    </row>
    <row r="320" spans="1:27" s="29" customFormat="1" ht="21.4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F320" s="48" t="s">
        <v>65</v>
      </c>
      <c r="G320" s="110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4760</v>
      </c>
      <c r="H320" s="47"/>
      <c r="I320" s="402" t="s">
        <v>69</v>
      </c>
      <c r="J320" s="403"/>
      <c r="K320" s="53">
        <f>K318+K319</f>
        <v>23596.774193548386</v>
      </c>
      <c r="L320" s="54"/>
      <c r="N320" s="71"/>
      <c r="O320" s="72" t="s">
        <v>50</v>
      </c>
      <c r="P320" s="72"/>
      <c r="Q320" s="72"/>
      <c r="R320" s="72">
        <f t="shared" si="64"/>
        <v>10</v>
      </c>
      <c r="S320" s="63"/>
      <c r="T320" s="72" t="s">
        <v>50</v>
      </c>
      <c r="U320" s="105" t="str">
        <f>Y319</f>
        <v/>
      </c>
      <c r="V320" s="74"/>
      <c r="W320" s="105" t="str">
        <f t="shared" si="65"/>
        <v/>
      </c>
      <c r="X320" s="74"/>
      <c r="Y320" s="105" t="str">
        <f t="shared" si="66"/>
        <v/>
      </c>
      <c r="Z320" s="76"/>
    </row>
    <row r="321" spans="1:27" s="29" customFormat="1" ht="21.4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1</v>
      </c>
      <c r="F321" s="48" t="s">
        <v>21</v>
      </c>
      <c r="G321" s="110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3000</v>
      </c>
      <c r="H321" s="47"/>
      <c r="I321" s="402" t="s">
        <v>70</v>
      </c>
      <c r="J321" s="403"/>
      <c r="K321" s="43">
        <f>G321</f>
        <v>3000</v>
      </c>
      <c r="L321" s="55"/>
      <c r="N321" s="71"/>
      <c r="O321" s="72" t="s">
        <v>51</v>
      </c>
      <c r="P321" s="72"/>
      <c r="Q321" s="72"/>
      <c r="R321" s="72">
        <f t="shared" si="64"/>
        <v>10</v>
      </c>
      <c r="S321" s="63"/>
      <c r="T321" s="72" t="s">
        <v>51</v>
      </c>
      <c r="U321" s="105" t="str">
        <f>Y320</f>
        <v/>
      </c>
      <c r="V321" s="74"/>
      <c r="W321" s="105" t="str">
        <f t="shared" si="65"/>
        <v/>
      </c>
      <c r="X321" s="74"/>
      <c r="Y321" s="105" t="str">
        <f t="shared" si="66"/>
        <v/>
      </c>
      <c r="Z321" s="76"/>
    </row>
    <row r="322" spans="1:27" s="29" customFormat="1" ht="21.4" customHeight="1" x14ac:dyDescent="0.2">
      <c r="A322" s="30"/>
      <c r="B322" s="56" t="s">
        <v>68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F322" s="48" t="s">
        <v>67</v>
      </c>
      <c r="G322" s="110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1760</v>
      </c>
      <c r="I322" s="391" t="s">
        <v>63</v>
      </c>
      <c r="J322" s="393"/>
      <c r="K322" s="57">
        <f>K320-K321</f>
        <v>20596.774193548386</v>
      </c>
      <c r="L322" s="58"/>
      <c r="N322" s="71"/>
      <c r="O322" s="72" t="s">
        <v>56</v>
      </c>
      <c r="P322" s="72"/>
      <c r="Q322" s="72"/>
      <c r="R322" s="72">
        <f t="shared" si="64"/>
        <v>10</v>
      </c>
      <c r="S322" s="63"/>
      <c r="T322" s="72" t="s">
        <v>56</v>
      </c>
      <c r="U322" s="105" t="str">
        <f>Y321</f>
        <v/>
      </c>
      <c r="V322" s="74"/>
      <c r="W322" s="105" t="str">
        <f t="shared" si="65"/>
        <v/>
      </c>
      <c r="X322" s="74"/>
      <c r="Y322" s="105" t="str">
        <f t="shared" si="66"/>
        <v/>
      </c>
      <c r="Z322" s="76"/>
    </row>
    <row r="323" spans="1:27" s="29" customFormat="1" ht="21.4" customHeight="1" x14ac:dyDescent="0.2">
      <c r="A323" s="30"/>
      <c r="L323" s="46"/>
      <c r="N323" s="71"/>
      <c r="O323" s="72" t="s">
        <v>52</v>
      </c>
      <c r="P323" s="72"/>
      <c r="Q323" s="72"/>
      <c r="R323" s="72">
        <f t="shared" si="64"/>
        <v>10</v>
      </c>
      <c r="S323" s="63"/>
      <c r="T323" s="72" t="s">
        <v>52</v>
      </c>
      <c r="U323" s="105" t="str">
        <f>IF($J$1="September","",Y322)</f>
        <v/>
      </c>
      <c r="V323" s="74"/>
      <c r="W323" s="105" t="str">
        <f t="shared" si="65"/>
        <v/>
      </c>
      <c r="X323" s="74"/>
      <c r="Y323" s="105" t="str">
        <f t="shared" si="66"/>
        <v/>
      </c>
      <c r="Z323" s="76"/>
    </row>
    <row r="324" spans="1:27" s="29" customFormat="1" ht="21.4" customHeight="1" x14ac:dyDescent="0.2">
      <c r="A324" s="30"/>
      <c r="B324" s="404" t="s">
        <v>85</v>
      </c>
      <c r="C324" s="404"/>
      <c r="D324" s="404"/>
      <c r="E324" s="404"/>
      <c r="F324" s="404"/>
      <c r="G324" s="404"/>
      <c r="H324" s="404"/>
      <c r="I324" s="404"/>
      <c r="J324" s="404"/>
      <c r="K324" s="404"/>
      <c r="L324" s="46"/>
      <c r="N324" s="71"/>
      <c r="O324" s="72" t="s">
        <v>57</v>
      </c>
      <c r="P324" s="72"/>
      <c r="Q324" s="72"/>
      <c r="R324" s="72">
        <f t="shared" si="64"/>
        <v>10</v>
      </c>
      <c r="S324" s="63"/>
      <c r="T324" s="72" t="s">
        <v>57</v>
      </c>
      <c r="U324" s="105" t="str">
        <f>IF($J$1="October","",Y323)</f>
        <v/>
      </c>
      <c r="V324" s="74"/>
      <c r="W324" s="105" t="str">
        <f t="shared" si="65"/>
        <v/>
      </c>
      <c r="X324" s="74"/>
      <c r="Y324" s="105" t="str">
        <f t="shared" si="66"/>
        <v/>
      </c>
      <c r="Z324" s="76"/>
    </row>
    <row r="325" spans="1:27" s="29" customFormat="1" ht="21.4" customHeight="1" x14ac:dyDescent="0.2">
      <c r="A325" s="30"/>
      <c r="B325" s="404"/>
      <c r="C325" s="404"/>
      <c r="D325" s="404"/>
      <c r="E325" s="404"/>
      <c r="F325" s="404"/>
      <c r="G325" s="404"/>
      <c r="H325" s="404"/>
      <c r="I325" s="404"/>
      <c r="J325" s="404"/>
      <c r="K325" s="404"/>
      <c r="L325" s="46"/>
      <c r="N325" s="71"/>
      <c r="O325" s="72" t="s">
        <v>58</v>
      </c>
      <c r="P325" s="72"/>
      <c r="Q325" s="72"/>
      <c r="R325" s="72">
        <f t="shared" si="64"/>
        <v>10</v>
      </c>
      <c r="S325" s="63"/>
      <c r="T325" s="72" t="s">
        <v>58</v>
      </c>
      <c r="U325" s="105" t="str">
        <f>IF($J$1="November","",Y324)</f>
        <v/>
      </c>
      <c r="V325" s="74"/>
      <c r="W325" s="105" t="str">
        <f t="shared" si="65"/>
        <v/>
      </c>
      <c r="X325" s="74"/>
      <c r="Y325" s="105" t="str">
        <f t="shared" si="66"/>
        <v/>
      </c>
      <c r="Z325" s="76"/>
    </row>
    <row r="326" spans="1:27" s="29" customFormat="1" ht="21.4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.4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08" t="s">
        <v>40</v>
      </c>
      <c r="B328" s="409"/>
      <c r="C328" s="409"/>
      <c r="D328" s="409"/>
      <c r="E328" s="409"/>
      <c r="F328" s="409"/>
      <c r="G328" s="409"/>
      <c r="H328" s="409"/>
      <c r="I328" s="409"/>
      <c r="J328" s="409"/>
      <c r="K328" s="409"/>
      <c r="L328" s="410"/>
      <c r="M328" s="28"/>
      <c r="N328" s="64"/>
      <c r="O328" s="405" t="s">
        <v>42</v>
      </c>
      <c r="P328" s="406"/>
      <c r="Q328" s="406"/>
      <c r="R328" s="407"/>
      <c r="S328" s="65"/>
      <c r="T328" s="405" t="s">
        <v>43</v>
      </c>
      <c r="U328" s="406"/>
      <c r="V328" s="406"/>
      <c r="W328" s="406"/>
      <c r="X328" s="406"/>
      <c r="Y328" s="407"/>
      <c r="Z328" s="66"/>
      <c r="AA328" s="28"/>
    </row>
    <row r="329" spans="1:27" s="29" customFormat="1" ht="21" customHeight="1" x14ac:dyDescent="0.2">
      <c r="A329" s="30"/>
      <c r="C329" s="395" t="s">
        <v>83</v>
      </c>
      <c r="D329" s="395"/>
      <c r="E329" s="395"/>
      <c r="F329" s="395"/>
      <c r="G329" s="31" t="str">
        <f>$J$1</f>
        <v>May</v>
      </c>
      <c r="H329" s="394">
        <f>$K$1</f>
        <v>2023</v>
      </c>
      <c r="I329" s="394"/>
      <c r="K329" s="32"/>
      <c r="L329" s="33"/>
      <c r="M329" s="32"/>
      <c r="N329" s="67"/>
      <c r="O329" s="68" t="s">
        <v>53</v>
      </c>
      <c r="P329" s="68" t="s">
        <v>7</v>
      </c>
      <c r="Q329" s="68" t="s">
        <v>6</v>
      </c>
      <c r="R329" s="68" t="s">
        <v>54</v>
      </c>
      <c r="S329" s="69"/>
      <c r="T329" s="68" t="s">
        <v>53</v>
      </c>
      <c r="U329" s="68" t="s">
        <v>55</v>
      </c>
      <c r="V329" s="68" t="s">
        <v>20</v>
      </c>
      <c r="W329" s="68" t="s">
        <v>19</v>
      </c>
      <c r="X329" s="68" t="s">
        <v>21</v>
      </c>
      <c r="Y329" s="68" t="s">
        <v>59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19000+3000</f>
        <v>22000</v>
      </c>
      <c r="L330" s="38"/>
      <c r="N330" s="71"/>
      <c r="O330" s="72" t="s">
        <v>45</v>
      </c>
      <c r="P330" s="72">
        <v>31</v>
      </c>
      <c r="Q330" s="72">
        <v>0</v>
      </c>
      <c r="R330" s="72">
        <f>15-Q330</f>
        <v>15</v>
      </c>
      <c r="S330" s="73"/>
      <c r="T330" s="72" t="s">
        <v>45</v>
      </c>
      <c r="U330" s="74"/>
      <c r="V330" s="74"/>
      <c r="W330" s="74">
        <f>V330+U330</f>
        <v>0</v>
      </c>
      <c r="X330" s="74"/>
      <c r="Y330" s="74">
        <f>W330-X330</f>
        <v>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144</v>
      </c>
      <c r="H331" s="41"/>
      <c r="I331" s="35"/>
      <c r="L331" s="42"/>
      <c r="M331" s="28"/>
      <c r="N331" s="75"/>
      <c r="O331" s="72" t="s">
        <v>71</v>
      </c>
      <c r="P331" s="72">
        <v>27</v>
      </c>
      <c r="Q331" s="72">
        <v>1</v>
      </c>
      <c r="R331" s="72">
        <f t="shared" ref="R331:R341" si="67">IF(Q331="","",R330-Q331)</f>
        <v>14</v>
      </c>
      <c r="S331" s="63"/>
      <c r="T331" s="72" t="s">
        <v>71</v>
      </c>
      <c r="U331" s="105">
        <f>IF($J$1="January","",Y330)</f>
        <v>0</v>
      </c>
      <c r="V331" s="74"/>
      <c r="W331" s="105">
        <f>IF(U331="","",U331+V331)</f>
        <v>0</v>
      </c>
      <c r="X331" s="74"/>
      <c r="Y331" s="105">
        <f>IF(W331="","",W331-X331)</f>
        <v>0</v>
      </c>
      <c r="Z331" s="76"/>
      <c r="AA331" s="28"/>
    </row>
    <row r="332" spans="1:27" s="29" customFormat="1" ht="21" customHeight="1" x14ac:dyDescent="0.2">
      <c r="A332" s="30"/>
      <c r="B332" s="44" t="s">
        <v>41</v>
      </c>
      <c r="C332" s="45"/>
      <c r="F332" s="411" t="s">
        <v>43</v>
      </c>
      <c r="G332" s="411"/>
      <c r="I332" s="411" t="s">
        <v>44</v>
      </c>
      <c r="J332" s="411"/>
      <c r="K332" s="411"/>
      <c r="L332" s="46"/>
      <c r="N332" s="71"/>
      <c r="O332" s="72" t="s">
        <v>46</v>
      </c>
      <c r="P332" s="72">
        <v>30</v>
      </c>
      <c r="Q332" s="72">
        <v>1</v>
      </c>
      <c r="R332" s="72">
        <f t="shared" si="67"/>
        <v>13</v>
      </c>
      <c r="S332" s="63"/>
      <c r="T332" s="72" t="s">
        <v>46</v>
      </c>
      <c r="U332" s="105">
        <f>IF($J$1="February","",Y331)</f>
        <v>0</v>
      </c>
      <c r="V332" s="74"/>
      <c r="W332" s="105">
        <f t="shared" ref="W332:W341" si="68">IF(U332="","",U332+V332)</f>
        <v>0</v>
      </c>
      <c r="X332" s="74"/>
      <c r="Y332" s="105">
        <f t="shared" ref="Y332:Y341" si="69">IF(W332="","",W332-X332)</f>
        <v>0</v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47</v>
      </c>
      <c r="P333" s="72">
        <v>30</v>
      </c>
      <c r="Q333" s="72">
        <v>0</v>
      </c>
      <c r="R333" s="72">
        <f t="shared" si="67"/>
        <v>13</v>
      </c>
      <c r="S333" s="63"/>
      <c r="T333" s="72" t="s">
        <v>47</v>
      </c>
      <c r="U333" s="105">
        <f>IF($J$1="March","",Y332)</f>
        <v>0</v>
      </c>
      <c r="V333" s="74"/>
      <c r="W333" s="105">
        <f t="shared" si="68"/>
        <v>0</v>
      </c>
      <c r="X333" s="74"/>
      <c r="Y333" s="105">
        <f t="shared" si="69"/>
        <v>0</v>
      </c>
      <c r="Z333" s="76"/>
    </row>
    <row r="334" spans="1:27" s="29" customFormat="1" ht="21" customHeight="1" x14ac:dyDescent="0.2">
      <c r="A334" s="30"/>
      <c r="B334" s="389" t="s">
        <v>42</v>
      </c>
      <c r="C334" s="390"/>
      <c r="F334" s="48" t="s">
        <v>64</v>
      </c>
      <c r="G334" s="43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0</v>
      </c>
      <c r="H334" s="47"/>
      <c r="I334" s="49">
        <f>IF(C338&gt;0,$K$2,C336)</f>
        <v>31</v>
      </c>
      <c r="J334" s="50" t="s">
        <v>61</v>
      </c>
      <c r="K334" s="51">
        <f>K330/$K$2*I334</f>
        <v>22000</v>
      </c>
      <c r="L334" s="52"/>
      <c r="N334" s="71"/>
      <c r="O334" s="72" t="s">
        <v>48</v>
      </c>
      <c r="P334" s="72">
        <v>31</v>
      </c>
      <c r="Q334" s="72">
        <v>0</v>
      </c>
      <c r="R334" s="72">
        <f t="shared" si="67"/>
        <v>13</v>
      </c>
      <c r="S334" s="63"/>
      <c r="T334" s="72" t="s">
        <v>48</v>
      </c>
      <c r="U334" s="105">
        <f>IF($J$1="April","",Y333)</f>
        <v>0</v>
      </c>
      <c r="V334" s="74"/>
      <c r="W334" s="105">
        <f t="shared" si="68"/>
        <v>0</v>
      </c>
      <c r="X334" s="74"/>
      <c r="Y334" s="105">
        <f t="shared" si="69"/>
        <v>0</v>
      </c>
      <c r="Z334" s="76"/>
    </row>
    <row r="335" spans="1:27" s="29" customFormat="1" ht="21" customHeight="1" x14ac:dyDescent="0.2">
      <c r="A335" s="30"/>
      <c r="B335" s="39"/>
      <c r="C335" s="39"/>
      <c r="F335" s="48" t="s">
        <v>20</v>
      </c>
      <c r="G335" s="43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84">
        <v>139</v>
      </c>
      <c r="J335" s="50" t="s">
        <v>62</v>
      </c>
      <c r="K335" s="53">
        <f>K330/$K$2/8*I335</f>
        <v>12330.645161290322</v>
      </c>
      <c r="L335" s="54"/>
      <c r="N335" s="71"/>
      <c r="O335" s="72" t="s">
        <v>49</v>
      </c>
      <c r="P335" s="72"/>
      <c r="Q335" s="72"/>
      <c r="R335" s="72" t="str">
        <f t="shared" si="67"/>
        <v/>
      </c>
      <c r="S335" s="63"/>
      <c r="T335" s="72" t="s">
        <v>49</v>
      </c>
      <c r="U335" s="105">
        <f>Y334</f>
        <v>0</v>
      </c>
      <c r="V335" s="74"/>
      <c r="W335" s="105">
        <f t="shared" si="68"/>
        <v>0</v>
      </c>
      <c r="X335" s="74"/>
      <c r="Y335" s="105">
        <f t="shared" si="69"/>
        <v>0</v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31</v>
      </c>
      <c r="F336" s="48" t="s">
        <v>65</v>
      </c>
      <c r="G336" s="43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0</v>
      </c>
      <c r="H336" s="47"/>
      <c r="I336" s="402" t="s">
        <v>69</v>
      </c>
      <c r="J336" s="403"/>
      <c r="K336" s="53">
        <f>K334+K335</f>
        <v>34330.645161290318</v>
      </c>
      <c r="L336" s="54"/>
      <c r="N336" s="71"/>
      <c r="O336" s="72" t="s">
        <v>50</v>
      </c>
      <c r="P336" s="72"/>
      <c r="Q336" s="72"/>
      <c r="R336" s="72" t="str">
        <f t="shared" si="67"/>
        <v/>
      </c>
      <c r="S336" s="63"/>
      <c r="T336" s="72" t="s">
        <v>50</v>
      </c>
      <c r="U336" s="105">
        <f t="shared" ref="U336:U338" si="70">Y335</f>
        <v>0</v>
      </c>
      <c r="V336" s="74"/>
      <c r="W336" s="105">
        <f t="shared" ref="W336:W338" si="71">IF(U336="","",U336+V336)</f>
        <v>0</v>
      </c>
      <c r="X336" s="74"/>
      <c r="Y336" s="105">
        <f t="shared" ref="Y336:Y338" si="72">IF(W336="","",W336-X336)</f>
        <v>0</v>
      </c>
      <c r="Z336" s="76"/>
    </row>
    <row r="337" spans="1:26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F337" s="48" t="s">
        <v>21</v>
      </c>
      <c r="G337" s="43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0</v>
      </c>
      <c r="H337" s="47"/>
      <c r="I337" s="402" t="s">
        <v>70</v>
      </c>
      <c r="J337" s="403"/>
      <c r="K337" s="43">
        <f>G337</f>
        <v>0</v>
      </c>
      <c r="L337" s="55"/>
      <c r="N337" s="71"/>
      <c r="O337" s="72" t="s">
        <v>51</v>
      </c>
      <c r="P337" s="72"/>
      <c r="Q337" s="72"/>
      <c r="R337" s="72" t="str">
        <f t="shared" si="67"/>
        <v/>
      </c>
      <c r="S337" s="63"/>
      <c r="T337" s="72" t="s">
        <v>51</v>
      </c>
      <c r="U337" s="105">
        <f t="shared" si="70"/>
        <v>0</v>
      </c>
      <c r="V337" s="74"/>
      <c r="W337" s="105">
        <f t="shared" si="71"/>
        <v>0</v>
      </c>
      <c r="X337" s="74"/>
      <c r="Y337" s="105">
        <f t="shared" si="72"/>
        <v>0</v>
      </c>
      <c r="Z337" s="76"/>
    </row>
    <row r="338" spans="1:26" s="29" customFormat="1" ht="21" customHeight="1" x14ac:dyDescent="0.2">
      <c r="A338" s="30"/>
      <c r="B338" s="56" t="s">
        <v>68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13</v>
      </c>
      <c r="F338" s="48" t="s">
        <v>67</v>
      </c>
      <c r="G338" s="43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0</v>
      </c>
      <c r="I338" s="391" t="s">
        <v>63</v>
      </c>
      <c r="J338" s="393"/>
      <c r="K338" s="57">
        <f>K336-K337</f>
        <v>34330.645161290318</v>
      </c>
      <c r="L338" s="58"/>
      <c r="N338" s="71"/>
      <c r="O338" s="72" t="s">
        <v>56</v>
      </c>
      <c r="P338" s="72"/>
      <c r="Q338" s="72"/>
      <c r="R338" s="72" t="str">
        <f t="shared" si="67"/>
        <v/>
      </c>
      <c r="S338" s="63"/>
      <c r="T338" s="72" t="s">
        <v>56</v>
      </c>
      <c r="U338" s="105">
        <f t="shared" si="70"/>
        <v>0</v>
      </c>
      <c r="V338" s="74"/>
      <c r="W338" s="105">
        <f t="shared" si="71"/>
        <v>0</v>
      </c>
      <c r="X338" s="74"/>
      <c r="Y338" s="105">
        <f t="shared" si="72"/>
        <v>0</v>
      </c>
      <c r="Z338" s="76"/>
    </row>
    <row r="339" spans="1:26" s="29" customFormat="1" ht="21" customHeight="1" x14ac:dyDescent="0.2">
      <c r="A339" s="30"/>
      <c r="K339" s="107"/>
      <c r="L339" s="46"/>
      <c r="N339" s="71"/>
      <c r="O339" s="72" t="s">
        <v>52</v>
      </c>
      <c r="P339" s="72"/>
      <c r="Q339" s="72"/>
      <c r="R339" s="72" t="str">
        <f t="shared" si="67"/>
        <v/>
      </c>
      <c r="S339" s="63"/>
      <c r="T339" s="72" t="s">
        <v>52</v>
      </c>
      <c r="U339" s="105"/>
      <c r="V339" s="74"/>
      <c r="W339" s="105" t="str">
        <f t="shared" si="68"/>
        <v/>
      </c>
      <c r="X339" s="74"/>
      <c r="Y339" s="105" t="str">
        <f t="shared" si="69"/>
        <v/>
      </c>
      <c r="Z339" s="76"/>
    </row>
    <row r="340" spans="1:26" s="29" customFormat="1" ht="21" customHeight="1" x14ac:dyDescent="0.2">
      <c r="A340" s="30"/>
      <c r="B340" s="404" t="s">
        <v>85</v>
      </c>
      <c r="C340" s="404"/>
      <c r="D340" s="404"/>
      <c r="E340" s="404"/>
      <c r="F340" s="404"/>
      <c r="G340" s="404"/>
      <c r="H340" s="404"/>
      <c r="I340" s="404"/>
      <c r="J340" s="404"/>
      <c r="K340" s="404"/>
      <c r="L340" s="46"/>
      <c r="N340" s="71"/>
      <c r="O340" s="72" t="s">
        <v>57</v>
      </c>
      <c r="P340" s="72"/>
      <c r="Q340" s="72"/>
      <c r="R340" s="72" t="str">
        <f t="shared" si="67"/>
        <v/>
      </c>
      <c r="S340" s="63"/>
      <c r="T340" s="72" t="s">
        <v>57</v>
      </c>
      <c r="U340" s="105" t="str">
        <f>IF($J$1="October","",Y339)</f>
        <v/>
      </c>
      <c r="V340" s="74"/>
      <c r="W340" s="105" t="str">
        <f t="shared" si="68"/>
        <v/>
      </c>
      <c r="X340" s="74"/>
      <c r="Y340" s="105" t="str">
        <f t="shared" si="69"/>
        <v/>
      </c>
      <c r="Z340" s="76"/>
    </row>
    <row r="341" spans="1:26" s="29" customFormat="1" ht="21" customHeight="1" x14ac:dyDescent="0.2">
      <c r="A341" s="30"/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6"/>
      <c r="N341" s="71"/>
      <c r="O341" s="72" t="s">
        <v>58</v>
      </c>
      <c r="P341" s="72"/>
      <c r="Q341" s="72"/>
      <c r="R341" s="72" t="str">
        <f t="shared" si="67"/>
        <v/>
      </c>
      <c r="S341" s="63"/>
      <c r="T341" s="72" t="s">
        <v>58</v>
      </c>
      <c r="U341" s="105" t="str">
        <f>IF($J$1="November","",Y340)</f>
        <v/>
      </c>
      <c r="V341" s="74"/>
      <c r="W341" s="105" t="str">
        <f t="shared" si="68"/>
        <v/>
      </c>
      <c r="X341" s="74"/>
      <c r="Y341" s="105" t="str">
        <f t="shared" si="69"/>
        <v/>
      </c>
      <c r="Z341" s="76"/>
    </row>
    <row r="342" spans="1:26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6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s="29" customFormat="1" ht="21" customHeight="1" x14ac:dyDescent="0.2">
      <c r="A344" s="421" t="s">
        <v>40</v>
      </c>
      <c r="B344" s="422"/>
      <c r="C344" s="422"/>
      <c r="D344" s="422"/>
      <c r="E344" s="422"/>
      <c r="F344" s="422"/>
      <c r="G344" s="422"/>
      <c r="H344" s="422"/>
      <c r="I344" s="422"/>
      <c r="J344" s="422"/>
      <c r="K344" s="422"/>
      <c r="L344" s="423"/>
      <c r="M344" s="28"/>
      <c r="N344" s="64"/>
      <c r="O344" s="405" t="s">
        <v>42</v>
      </c>
      <c r="P344" s="406"/>
      <c r="Q344" s="406"/>
      <c r="R344" s="407"/>
      <c r="S344" s="65"/>
      <c r="T344" s="405" t="s">
        <v>43</v>
      </c>
      <c r="U344" s="406"/>
      <c r="V344" s="406"/>
      <c r="W344" s="406"/>
      <c r="X344" s="406"/>
      <c r="Y344" s="407"/>
      <c r="Z344" s="66"/>
    </row>
    <row r="345" spans="1:26" s="29" customFormat="1" ht="21" customHeight="1" x14ac:dyDescent="0.2">
      <c r="A345" s="30"/>
      <c r="C345" s="395" t="s">
        <v>83</v>
      </c>
      <c r="D345" s="395"/>
      <c r="E345" s="395"/>
      <c r="F345" s="395"/>
      <c r="G345" s="31" t="str">
        <f>$J$1</f>
        <v>May</v>
      </c>
      <c r="H345" s="394">
        <f>$K$1</f>
        <v>2023</v>
      </c>
      <c r="I345" s="394"/>
      <c r="K345" s="32"/>
      <c r="L345" s="33"/>
      <c r="M345" s="32"/>
      <c r="N345" s="67"/>
      <c r="O345" s="68" t="s">
        <v>53</v>
      </c>
      <c r="P345" s="68" t="s">
        <v>7</v>
      </c>
      <c r="Q345" s="68" t="s">
        <v>6</v>
      </c>
      <c r="R345" s="68" t="s">
        <v>54</v>
      </c>
      <c r="S345" s="69"/>
      <c r="T345" s="68" t="s">
        <v>53</v>
      </c>
      <c r="U345" s="68" t="s">
        <v>55</v>
      </c>
      <c r="V345" s="68" t="s">
        <v>20</v>
      </c>
      <c r="W345" s="68" t="s">
        <v>19</v>
      </c>
      <c r="X345" s="68" t="s">
        <v>21</v>
      </c>
      <c r="Y345" s="68" t="s">
        <v>59</v>
      </c>
      <c r="Z345" s="70"/>
    </row>
    <row r="346" spans="1:26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v>27000</v>
      </c>
      <c r="L346" s="38"/>
      <c r="N346" s="71"/>
      <c r="O346" s="72" t="s">
        <v>45</v>
      </c>
      <c r="P346" s="72">
        <v>31</v>
      </c>
      <c r="Q346" s="72">
        <v>0</v>
      </c>
      <c r="R346" s="72">
        <f>9-Q346</f>
        <v>9</v>
      </c>
      <c r="S346" s="73"/>
      <c r="T346" s="72" t="s">
        <v>45</v>
      </c>
      <c r="U346" s="74"/>
      <c r="V346" s="74"/>
      <c r="W346" s="74">
        <f>V346+U346</f>
        <v>0</v>
      </c>
      <c r="X346" s="74"/>
      <c r="Y346" s="74">
        <f>W346-X346</f>
        <v>0</v>
      </c>
      <c r="Z346" s="70"/>
    </row>
    <row r="347" spans="1:26" s="29" customFormat="1" ht="21" customHeight="1" x14ac:dyDescent="0.2">
      <c r="A347" s="30"/>
      <c r="B347" s="29" t="s">
        <v>0</v>
      </c>
      <c r="C347" s="40" t="s">
        <v>171</v>
      </c>
      <c r="H347" s="41"/>
      <c r="I347" s="35"/>
      <c r="L347" s="42"/>
      <c r="M347" s="28"/>
      <c r="N347" s="75"/>
      <c r="O347" s="72" t="s">
        <v>71</v>
      </c>
      <c r="P347" s="72">
        <v>28</v>
      </c>
      <c r="Q347" s="72">
        <v>0</v>
      </c>
      <c r="R347" s="72">
        <f t="shared" ref="R347:R357" si="73">IF(Q347="","",R346-Q347)</f>
        <v>9</v>
      </c>
      <c r="S347" s="63"/>
      <c r="T347" s="72" t="s">
        <v>71</v>
      </c>
      <c r="U347" s="105">
        <f>Y346</f>
        <v>0</v>
      </c>
      <c r="V347" s="74"/>
      <c r="W347" s="105">
        <f>IF(U347="","",U347+V347)</f>
        <v>0</v>
      </c>
      <c r="X347" s="74"/>
      <c r="Y347" s="105">
        <f>IF(W347="","",W347-X347)</f>
        <v>0</v>
      </c>
      <c r="Z347" s="76"/>
    </row>
    <row r="348" spans="1:26" s="29" customFormat="1" ht="21" customHeight="1" x14ac:dyDescent="0.2">
      <c r="A348" s="30"/>
      <c r="B348" s="44" t="s">
        <v>41</v>
      </c>
      <c r="C348" s="40"/>
      <c r="F348" s="411" t="s">
        <v>43</v>
      </c>
      <c r="G348" s="411"/>
      <c r="I348" s="411" t="s">
        <v>44</v>
      </c>
      <c r="J348" s="411"/>
      <c r="K348" s="411"/>
      <c r="L348" s="46"/>
      <c r="N348" s="71"/>
      <c r="O348" s="72" t="s">
        <v>46</v>
      </c>
      <c r="P348" s="72">
        <v>31</v>
      </c>
      <c r="Q348" s="72">
        <v>0</v>
      </c>
      <c r="R348" s="72">
        <f t="shared" si="73"/>
        <v>9</v>
      </c>
      <c r="S348" s="63"/>
      <c r="T348" s="72" t="s">
        <v>46</v>
      </c>
      <c r="U348" s="105"/>
      <c r="V348" s="74"/>
      <c r="W348" s="105" t="str">
        <f t="shared" ref="W348:W357" si="74">IF(U348="","",U348+V348)</f>
        <v/>
      </c>
      <c r="X348" s="74"/>
      <c r="Y348" s="105" t="str">
        <f t="shared" ref="Y348:Y357" si="75">IF(W348="","",W348-X348)</f>
        <v/>
      </c>
      <c r="Z348" s="76"/>
    </row>
    <row r="349" spans="1:26" s="29" customFormat="1" ht="21" customHeight="1" x14ac:dyDescent="0.2">
      <c r="A349" s="30"/>
      <c r="H349" s="47"/>
      <c r="L349" s="34"/>
      <c r="N349" s="71"/>
      <c r="O349" s="72" t="s">
        <v>47</v>
      </c>
      <c r="P349" s="72">
        <v>30</v>
      </c>
      <c r="Q349" s="72">
        <v>0</v>
      </c>
      <c r="R349" s="72">
        <f t="shared" si="73"/>
        <v>9</v>
      </c>
      <c r="S349" s="63"/>
      <c r="T349" s="72" t="s">
        <v>47</v>
      </c>
      <c r="U349" s="105" t="str">
        <f>IF($J$1="March","",Y348)</f>
        <v/>
      </c>
      <c r="V349" s="74"/>
      <c r="W349" s="105" t="str">
        <f t="shared" si="74"/>
        <v/>
      </c>
      <c r="X349" s="74"/>
      <c r="Y349" s="105" t="str">
        <f t="shared" si="75"/>
        <v/>
      </c>
      <c r="Z349" s="76"/>
    </row>
    <row r="350" spans="1:26" s="29" customFormat="1" ht="21" customHeight="1" x14ac:dyDescent="0.2">
      <c r="A350" s="30"/>
      <c r="B350" s="389" t="s">
        <v>42</v>
      </c>
      <c r="C350" s="390"/>
      <c r="F350" s="48" t="s">
        <v>64</v>
      </c>
      <c r="G350" s="43" t="str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/>
      </c>
      <c r="H350" s="47"/>
      <c r="I350" s="49">
        <f>IF(C354&gt;0,$K$2,C352)</f>
        <v>31</v>
      </c>
      <c r="J350" s="50" t="s">
        <v>61</v>
      </c>
      <c r="K350" s="51">
        <f>K346/$K$2*I350</f>
        <v>27000</v>
      </c>
      <c r="L350" s="52"/>
      <c r="N350" s="71"/>
      <c r="O350" s="72" t="s">
        <v>48</v>
      </c>
      <c r="P350" s="72">
        <v>30</v>
      </c>
      <c r="Q350" s="72">
        <v>1</v>
      </c>
      <c r="R350" s="72">
        <f t="shared" si="73"/>
        <v>8</v>
      </c>
      <c r="S350" s="63"/>
      <c r="T350" s="72" t="s">
        <v>48</v>
      </c>
      <c r="U350" s="105" t="str">
        <f>IF($J$1="April","",Y349)</f>
        <v/>
      </c>
      <c r="V350" s="74"/>
      <c r="W350" s="105" t="str">
        <f t="shared" si="74"/>
        <v/>
      </c>
      <c r="X350" s="74"/>
      <c r="Y350" s="105" t="str">
        <f t="shared" si="75"/>
        <v/>
      </c>
      <c r="Z350" s="76"/>
    </row>
    <row r="351" spans="1:26" s="29" customFormat="1" ht="21" customHeight="1" x14ac:dyDescent="0.2">
      <c r="A351" s="30"/>
      <c r="B351" s="39"/>
      <c r="C351" s="39"/>
      <c r="F351" s="48" t="s">
        <v>20</v>
      </c>
      <c r="G351" s="43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7"/>
      <c r="I351" s="49">
        <v>20</v>
      </c>
      <c r="J351" s="50" t="s">
        <v>62</v>
      </c>
      <c r="K351" s="53">
        <f>K346/$K$2/8*I351</f>
        <v>2177.4193548387098</v>
      </c>
      <c r="L351" s="54"/>
      <c r="N351" s="71"/>
      <c r="O351" s="72" t="s">
        <v>49</v>
      </c>
      <c r="P351" s="72"/>
      <c r="Q351" s="72"/>
      <c r="R351" s="72" t="str">
        <f t="shared" si="73"/>
        <v/>
      </c>
      <c r="S351" s="63"/>
      <c r="T351" s="72" t="s">
        <v>49</v>
      </c>
      <c r="U351" s="105" t="str">
        <f>IF($J$1="May","",Y350)</f>
        <v/>
      </c>
      <c r="V351" s="74"/>
      <c r="W351" s="105" t="str">
        <f t="shared" si="74"/>
        <v/>
      </c>
      <c r="X351" s="74"/>
      <c r="Y351" s="105" t="str">
        <f t="shared" si="75"/>
        <v/>
      </c>
      <c r="Z351" s="76"/>
    </row>
    <row r="352" spans="1:26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30</v>
      </c>
      <c r="F352" s="48" t="s">
        <v>65</v>
      </c>
      <c r="G352" s="43" t="str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/>
      </c>
      <c r="H352" s="47"/>
      <c r="I352" s="402" t="s">
        <v>69</v>
      </c>
      <c r="J352" s="403"/>
      <c r="K352" s="53">
        <f>K350+K351</f>
        <v>29177.419354838708</v>
      </c>
      <c r="L352" s="54"/>
      <c r="N352" s="71"/>
      <c r="O352" s="72" t="s">
        <v>50</v>
      </c>
      <c r="P352" s="72"/>
      <c r="Q352" s="72"/>
      <c r="R352" s="72" t="str">
        <f t="shared" si="73"/>
        <v/>
      </c>
      <c r="S352" s="63"/>
      <c r="T352" s="72" t="s">
        <v>50</v>
      </c>
      <c r="U352" s="105" t="str">
        <f>IF($J$1="June","",Y351)</f>
        <v/>
      </c>
      <c r="V352" s="74"/>
      <c r="W352" s="105" t="str">
        <f t="shared" si="74"/>
        <v/>
      </c>
      <c r="X352" s="74"/>
      <c r="Y352" s="105" t="str">
        <f t="shared" si="75"/>
        <v/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F353" s="48" t="s">
        <v>21</v>
      </c>
      <c r="G353" s="43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0</v>
      </c>
      <c r="H353" s="47"/>
      <c r="I353" s="402" t="s">
        <v>70</v>
      </c>
      <c r="J353" s="403"/>
      <c r="K353" s="43">
        <f>G353</f>
        <v>0</v>
      </c>
      <c r="L353" s="55"/>
      <c r="N353" s="71"/>
      <c r="O353" s="72" t="s">
        <v>51</v>
      </c>
      <c r="P353" s="72"/>
      <c r="Q353" s="72"/>
      <c r="R353" s="72" t="str">
        <f t="shared" si="73"/>
        <v/>
      </c>
      <c r="S353" s="63"/>
      <c r="T353" s="72" t="s">
        <v>51</v>
      </c>
      <c r="U353" s="105" t="str">
        <f>IF($J$1="July","",Y352)</f>
        <v/>
      </c>
      <c r="V353" s="74"/>
      <c r="W353" s="105" t="str">
        <f t="shared" si="74"/>
        <v/>
      </c>
      <c r="X353" s="74"/>
      <c r="Y353" s="105" t="str">
        <f t="shared" si="75"/>
        <v/>
      </c>
      <c r="Z353" s="76"/>
    </row>
    <row r="354" spans="1:26" s="29" customFormat="1" ht="21" customHeight="1" x14ac:dyDescent="0.2">
      <c r="A354" s="30"/>
      <c r="B354" s="56" t="s">
        <v>68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8</v>
      </c>
      <c r="F354" s="48" t="s">
        <v>67</v>
      </c>
      <c r="G354" s="43" t="str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/>
      </c>
      <c r="I354" s="391" t="s">
        <v>63</v>
      </c>
      <c r="J354" s="393"/>
      <c r="K354" s="57">
        <f>K352-K353</f>
        <v>29177.419354838708</v>
      </c>
      <c r="L354" s="58"/>
      <c r="N354" s="71"/>
      <c r="O354" s="72" t="s">
        <v>56</v>
      </c>
      <c r="P354" s="72"/>
      <c r="Q354" s="72"/>
      <c r="R354" s="72" t="str">
        <f t="shared" si="73"/>
        <v/>
      </c>
      <c r="S354" s="63"/>
      <c r="T354" s="72" t="s">
        <v>56</v>
      </c>
      <c r="U354" s="105" t="str">
        <f>IF($J$1="August","",Y353)</f>
        <v/>
      </c>
      <c r="V354" s="74"/>
      <c r="W354" s="105" t="str">
        <f t="shared" si="74"/>
        <v/>
      </c>
      <c r="X354" s="74"/>
      <c r="Y354" s="105" t="str">
        <f t="shared" si="75"/>
        <v/>
      </c>
      <c r="Z354" s="76"/>
    </row>
    <row r="355" spans="1:26" s="29" customFormat="1" ht="21" customHeight="1" x14ac:dyDescent="0.2">
      <c r="A355" s="30"/>
      <c r="L355" s="46"/>
      <c r="N355" s="71"/>
      <c r="O355" s="72" t="s">
        <v>52</v>
      </c>
      <c r="P355" s="72"/>
      <c r="Q355" s="72"/>
      <c r="R355" s="72" t="str">
        <f t="shared" si="73"/>
        <v/>
      </c>
      <c r="S355" s="63"/>
      <c r="T355" s="72" t="s">
        <v>52</v>
      </c>
      <c r="U355" s="105" t="str">
        <f>IF($J$1="September","",Y354)</f>
        <v/>
      </c>
      <c r="V355" s="74"/>
      <c r="W355" s="105" t="str">
        <f t="shared" si="74"/>
        <v/>
      </c>
      <c r="X355" s="74"/>
      <c r="Y355" s="105" t="str">
        <f t="shared" si="75"/>
        <v/>
      </c>
      <c r="Z355" s="76"/>
    </row>
    <row r="356" spans="1:26" s="29" customFormat="1" ht="21" customHeight="1" x14ac:dyDescent="0.2">
      <c r="A356" s="30"/>
      <c r="B356" s="404" t="s">
        <v>85</v>
      </c>
      <c r="C356" s="404"/>
      <c r="D356" s="404"/>
      <c r="E356" s="404"/>
      <c r="F356" s="404"/>
      <c r="G356" s="404"/>
      <c r="H356" s="404"/>
      <c r="I356" s="404"/>
      <c r="J356" s="404"/>
      <c r="K356" s="404"/>
      <c r="L356" s="46"/>
      <c r="N356" s="71"/>
      <c r="O356" s="72" t="s">
        <v>57</v>
      </c>
      <c r="P356" s="72"/>
      <c r="Q356" s="72"/>
      <c r="R356" s="72" t="str">
        <f t="shared" si="73"/>
        <v/>
      </c>
      <c r="S356" s="63"/>
      <c r="T356" s="72" t="s">
        <v>57</v>
      </c>
      <c r="U356" s="105" t="str">
        <f>IF($J$1="October","",Y355)</f>
        <v/>
      </c>
      <c r="V356" s="74"/>
      <c r="W356" s="105" t="str">
        <f t="shared" si="74"/>
        <v/>
      </c>
      <c r="X356" s="74"/>
      <c r="Y356" s="105" t="str">
        <f t="shared" si="75"/>
        <v/>
      </c>
      <c r="Z356" s="76"/>
    </row>
    <row r="357" spans="1:26" s="29" customFormat="1" ht="21" customHeight="1" x14ac:dyDescent="0.2">
      <c r="A357" s="30"/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6"/>
      <c r="N357" s="71"/>
      <c r="O357" s="72" t="s">
        <v>58</v>
      </c>
      <c r="P357" s="72"/>
      <c r="Q357" s="72"/>
      <c r="R357" s="72" t="str">
        <f t="shared" si="73"/>
        <v/>
      </c>
      <c r="S357" s="63"/>
      <c r="T357" s="72" t="s">
        <v>58</v>
      </c>
      <c r="U357" s="105" t="str">
        <f>IF($J$1="November","",Y356)</f>
        <v/>
      </c>
      <c r="V357" s="74"/>
      <c r="W357" s="105" t="str">
        <f t="shared" si="74"/>
        <v/>
      </c>
      <c r="X357" s="74"/>
      <c r="Y357" s="105" t="str">
        <f t="shared" si="75"/>
        <v/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customHeight="1" x14ac:dyDescent="0.2">
      <c r="A360" s="408" t="s">
        <v>40</v>
      </c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10"/>
      <c r="M360" s="28"/>
      <c r="N360" s="64"/>
      <c r="O360" s="405" t="s">
        <v>42</v>
      </c>
      <c r="P360" s="406"/>
      <c r="Q360" s="406"/>
      <c r="R360" s="407"/>
      <c r="S360" s="65"/>
      <c r="T360" s="405" t="s">
        <v>43</v>
      </c>
      <c r="U360" s="406"/>
      <c r="V360" s="406"/>
      <c r="W360" s="406"/>
      <c r="X360" s="406"/>
      <c r="Y360" s="407"/>
      <c r="Z360" s="66"/>
    </row>
    <row r="361" spans="1:26" s="29" customFormat="1" ht="21" customHeight="1" x14ac:dyDescent="0.2">
      <c r="A361" s="30"/>
      <c r="C361" s="395" t="s">
        <v>83</v>
      </c>
      <c r="D361" s="395"/>
      <c r="E361" s="395"/>
      <c r="F361" s="395"/>
      <c r="G361" s="31" t="str">
        <f>$J$1</f>
        <v>May</v>
      </c>
      <c r="H361" s="394">
        <f>$K$1</f>
        <v>2023</v>
      </c>
      <c r="I361" s="394"/>
      <c r="K361" s="32"/>
      <c r="L361" s="33"/>
      <c r="M361" s="32"/>
      <c r="N361" s="67"/>
      <c r="O361" s="68" t="s">
        <v>53</v>
      </c>
      <c r="P361" s="68" t="s">
        <v>7</v>
      </c>
      <c r="Q361" s="68" t="s">
        <v>6</v>
      </c>
      <c r="R361" s="68" t="s">
        <v>54</v>
      </c>
      <c r="S361" s="69"/>
      <c r="T361" s="68" t="s">
        <v>53</v>
      </c>
      <c r="U361" s="68" t="s">
        <v>55</v>
      </c>
      <c r="V361" s="68" t="s">
        <v>20</v>
      </c>
      <c r="W361" s="68" t="s">
        <v>19</v>
      </c>
      <c r="X361" s="68" t="s">
        <v>21</v>
      </c>
      <c r="Y361" s="68" t="s">
        <v>59</v>
      </c>
      <c r="Z361" s="70"/>
    </row>
    <row r="362" spans="1:26" s="29" customFormat="1" ht="2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21000</v>
      </c>
      <c r="L362" s="38"/>
      <c r="N362" s="71"/>
      <c r="O362" s="72" t="s">
        <v>45</v>
      </c>
      <c r="P362" s="72">
        <v>31</v>
      </c>
      <c r="Q362" s="72">
        <v>0</v>
      </c>
      <c r="R362" s="72">
        <f>15-Q362</f>
        <v>15</v>
      </c>
      <c r="S362" s="73"/>
      <c r="T362" s="72" t="s">
        <v>45</v>
      </c>
      <c r="U362" s="74"/>
      <c r="V362" s="74"/>
      <c r="W362" s="74">
        <f>V362+U362</f>
        <v>0</v>
      </c>
      <c r="X362" s="74"/>
      <c r="Y362" s="74">
        <f>W362-X362</f>
        <v>0</v>
      </c>
      <c r="Z362" s="70"/>
    </row>
    <row r="363" spans="1:26" s="29" customFormat="1" ht="21" customHeight="1" x14ac:dyDescent="0.2">
      <c r="A363" s="30"/>
      <c r="B363" s="29" t="s">
        <v>0</v>
      </c>
      <c r="C363" s="40" t="s">
        <v>105</v>
      </c>
      <c r="H363" s="41"/>
      <c r="I363" s="35"/>
      <c r="L363" s="42"/>
      <c r="M363" s="28"/>
      <c r="N363" s="75"/>
      <c r="O363" s="72" t="s">
        <v>71</v>
      </c>
      <c r="P363" s="72">
        <v>26</v>
      </c>
      <c r="Q363" s="72">
        <v>2</v>
      </c>
      <c r="R363" s="72">
        <f t="shared" ref="R363:R373" si="76">IF(Q363="","",R362-Q363)</f>
        <v>13</v>
      </c>
      <c r="S363" s="63"/>
      <c r="T363" s="72" t="s">
        <v>71</v>
      </c>
      <c r="U363" s="105"/>
      <c r="V363" s="74"/>
      <c r="W363" s="105" t="str">
        <f>IF(U363="","",U363+V363)</f>
        <v/>
      </c>
      <c r="X363" s="74"/>
      <c r="Y363" s="105" t="str">
        <f>IF(W363="","",W363-X363)</f>
        <v/>
      </c>
      <c r="Z363" s="76"/>
    </row>
    <row r="364" spans="1:26" s="29" customFormat="1" ht="21" customHeight="1" x14ac:dyDescent="0.2">
      <c r="A364" s="30"/>
      <c r="B364" s="44" t="s">
        <v>41</v>
      </c>
      <c r="C364" s="40"/>
      <c r="F364" s="411" t="s">
        <v>43</v>
      </c>
      <c r="G364" s="411"/>
      <c r="I364" s="411" t="s">
        <v>44</v>
      </c>
      <c r="J364" s="411"/>
      <c r="K364" s="411"/>
      <c r="L364" s="46"/>
      <c r="N364" s="71"/>
      <c r="O364" s="72" t="s">
        <v>46</v>
      </c>
      <c r="P364" s="72">
        <v>29</v>
      </c>
      <c r="Q364" s="72">
        <v>2</v>
      </c>
      <c r="R364" s="72">
        <f t="shared" si="76"/>
        <v>11</v>
      </c>
      <c r="S364" s="63"/>
      <c r="T364" s="72" t="s">
        <v>46</v>
      </c>
      <c r="U364" s="105"/>
      <c r="V364" s="74"/>
      <c r="W364" s="105" t="str">
        <f t="shared" ref="W364:W373" si="77">IF(U364="","",U364+V364)</f>
        <v/>
      </c>
      <c r="X364" s="74"/>
      <c r="Y364" s="105" t="str">
        <f t="shared" ref="Y364:Y373" si="78">IF(W364="","",W364-X364)</f>
        <v/>
      </c>
      <c r="Z364" s="76"/>
    </row>
    <row r="365" spans="1:26" s="29" customFormat="1" ht="21" customHeight="1" x14ac:dyDescent="0.2">
      <c r="A365" s="30"/>
      <c r="H365" s="47"/>
      <c r="L365" s="34"/>
      <c r="N365" s="71"/>
      <c r="O365" s="72" t="s">
        <v>47</v>
      </c>
      <c r="P365" s="72">
        <v>30</v>
      </c>
      <c r="Q365" s="72">
        <v>0</v>
      </c>
      <c r="R365" s="72">
        <f t="shared" si="76"/>
        <v>11</v>
      </c>
      <c r="S365" s="63"/>
      <c r="T365" s="72" t="s">
        <v>47</v>
      </c>
      <c r="U365" s="105" t="str">
        <f>Y364</f>
        <v/>
      </c>
      <c r="V365" s="74"/>
      <c r="W365" s="105" t="str">
        <f t="shared" si="77"/>
        <v/>
      </c>
      <c r="X365" s="74"/>
      <c r="Y365" s="105" t="str">
        <f t="shared" si="78"/>
        <v/>
      </c>
      <c r="Z365" s="76"/>
    </row>
    <row r="366" spans="1:26" s="29" customFormat="1" ht="21" customHeight="1" x14ac:dyDescent="0.2">
      <c r="A366" s="30"/>
      <c r="B366" s="389" t="s">
        <v>42</v>
      </c>
      <c r="C366" s="390"/>
      <c r="F366" s="48" t="s">
        <v>64</v>
      </c>
      <c r="G366" s="43" t="str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/>
      </c>
      <c r="H366" s="47"/>
      <c r="I366" s="49">
        <f>IF(C370&gt;0,$K$2,C368)</f>
        <v>31</v>
      </c>
      <c r="J366" s="50" t="s">
        <v>61</v>
      </c>
      <c r="K366" s="51">
        <f>K362/$K$2*I366</f>
        <v>21000</v>
      </c>
      <c r="L366" s="52"/>
      <c r="N366" s="71"/>
      <c r="O366" s="72" t="s">
        <v>48</v>
      </c>
      <c r="P366" s="72">
        <v>31</v>
      </c>
      <c r="Q366" s="72">
        <v>0</v>
      </c>
      <c r="R366" s="72">
        <f t="shared" si="76"/>
        <v>11</v>
      </c>
      <c r="S366" s="63"/>
      <c r="T366" s="72" t="s">
        <v>48</v>
      </c>
      <c r="U366" s="105" t="str">
        <f t="shared" ref="U366:U370" si="79">Y365</f>
        <v/>
      </c>
      <c r="V366" s="74"/>
      <c r="W366" s="105" t="str">
        <f t="shared" ref="W366:W370" si="80">IF(U366="","",U366+V366)</f>
        <v/>
      </c>
      <c r="X366" s="74"/>
      <c r="Y366" s="105" t="str">
        <f t="shared" ref="Y366:Y370" si="81">IF(W366="","",W366-X366)</f>
        <v/>
      </c>
      <c r="Z366" s="76"/>
    </row>
    <row r="367" spans="1:26" s="29" customFormat="1" ht="21" customHeight="1" x14ac:dyDescent="0.2">
      <c r="A367" s="30"/>
      <c r="B367" s="39"/>
      <c r="C367" s="39"/>
      <c r="F367" s="48" t="s">
        <v>20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>
        <v>6</v>
      </c>
      <c r="J367" s="50" t="s">
        <v>62</v>
      </c>
      <c r="K367" s="53">
        <f>K362/$K$2/8*I367</f>
        <v>508.0645161290322</v>
      </c>
      <c r="L367" s="54"/>
      <c r="N367" s="71"/>
      <c r="O367" s="72" t="s">
        <v>49</v>
      </c>
      <c r="P367" s="72"/>
      <c r="Q367" s="72"/>
      <c r="R367" s="72" t="str">
        <f t="shared" si="76"/>
        <v/>
      </c>
      <c r="S367" s="63"/>
      <c r="T367" s="72" t="s">
        <v>49</v>
      </c>
      <c r="U367" s="105" t="str">
        <f t="shared" si="79"/>
        <v/>
      </c>
      <c r="V367" s="74"/>
      <c r="W367" s="105" t="str">
        <f t="shared" si="80"/>
        <v/>
      </c>
      <c r="X367" s="74"/>
      <c r="Y367" s="105" t="str">
        <f t="shared" si="81"/>
        <v/>
      </c>
      <c r="Z367" s="76"/>
    </row>
    <row r="368" spans="1:26" s="29" customFormat="1" ht="2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31</v>
      </c>
      <c r="F368" s="48" t="s">
        <v>65</v>
      </c>
      <c r="G368" s="43" t="str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/>
      </c>
      <c r="H368" s="47"/>
      <c r="I368" s="402" t="s">
        <v>69</v>
      </c>
      <c r="J368" s="403"/>
      <c r="K368" s="53">
        <f>K366+K367</f>
        <v>21508.06451612903</v>
      </c>
      <c r="L368" s="54"/>
      <c r="N368" s="71"/>
      <c r="O368" s="72" t="s">
        <v>50</v>
      </c>
      <c r="P368" s="72"/>
      <c r="Q368" s="72"/>
      <c r="R368" s="72" t="str">
        <f t="shared" si="76"/>
        <v/>
      </c>
      <c r="S368" s="63"/>
      <c r="T368" s="72" t="s">
        <v>50</v>
      </c>
      <c r="U368" s="105" t="str">
        <f t="shared" si="79"/>
        <v/>
      </c>
      <c r="V368" s="74"/>
      <c r="W368" s="105" t="str">
        <f t="shared" si="80"/>
        <v/>
      </c>
      <c r="X368" s="74"/>
      <c r="Y368" s="105" t="str">
        <f t="shared" si="81"/>
        <v/>
      </c>
      <c r="Z368" s="76"/>
    </row>
    <row r="369" spans="1:26" s="29" customFormat="1" ht="2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21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02" t="s">
        <v>70</v>
      </c>
      <c r="J369" s="403"/>
      <c r="K369" s="43">
        <f>G369</f>
        <v>0</v>
      </c>
      <c r="L369" s="55"/>
      <c r="N369" s="71"/>
      <c r="O369" s="72" t="s">
        <v>51</v>
      </c>
      <c r="P369" s="72"/>
      <c r="Q369" s="72"/>
      <c r="R369" s="72" t="str">
        <f t="shared" si="76"/>
        <v/>
      </c>
      <c r="S369" s="63"/>
      <c r="T369" s="72" t="s">
        <v>51</v>
      </c>
      <c r="U369" s="105" t="str">
        <f t="shared" si="79"/>
        <v/>
      </c>
      <c r="V369" s="74"/>
      <c r="W369" s="105" t="str">
        <f t="shared" si="80"/>
        <v/>
      </c>
      <c r="X369" s="74"/>
      <c r="Y369" s="105" t="str">
        <f t="shared" si="81"/>
        <v/>
      </c>
      <c r="Z369" s="76"/>
    </row>
    <row r="370" spans="1:26" s="29" customFormat="1" ht="21" customHeight="1" x14ac:dyDescent="0.2">
      <c r="A370" s="30"/>
      <c r="B370" s="56" t="s">
        <v>68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11</v>
      </c>
      <c r="F370" s="48" t="s">
        <v>67</v>
      </c>
      <c r="G370" s="43" t="str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/>
      </c>
      <c r="I370" s="391" t="s">
        <v>63</v>
      </c>
      <c r="J370" s="393"/>
      <c r="K370" s="57">
        <f>K368-K369</f>
        <v>21508.06451612903</v>
      </c>
      <c r="L370" s="58"/>
      <c r="N370" s="71"/>
      <c r="O370" s="72" t="s">
        <v>56</v>
      </c>
      <c r="P370" s="72"/>
      <c r="Q370" s="72"/>
      <c r="R370" s="72" t="str">
        <f t="shared" si="76"/>
        <v/>
      </c>
      <c r="S370" s="63"/>
      <c r="T370" s="72" t="s">
        <v>56</v>
      </c>
      <c r="U370" s="105" t="str">
        <f t="shared" si="79"/>
        <v/>
      </c>
      <c r="V370" s="74"/>
      <c r="W370" s="105" t="str">
        <f t="shared" si="80"/>
        <v/>
      </c>
      <c r="X370" s="74"/>
      <c r="Y370" s="105" t="str">
        <f t="shared" si="81"/>
        <v/>
      </c>
      <c r="Z370" s="76"/>
    </row>
    <row r="371" spans="1:26" s="29" customFormat="1" ht="21" customHeight="1" x14ac:dyDescent="0.2">
      <c r="A371" s="30"/>
      <c r="K371" s="107"/>
      <c r="L371" s="46"/>
      <c r="N371" s="71"/>
      <c r="O371" s="72" t="s">
        <v>52</v>
      </c>
      <c r="P371" s="72"/>
      <c r="Q371" s="72"/>
      <c r="R371" s="72" t="str">
        <f t="shared" si="76"/>
        <v/>
      </c>
      <c r="S371" s="63"/>
      <c r="T371" s="72" t="s">
        <v>52</v>
      </c>
      <c r="U371" s="105" t="str">
        <f>Y370</f>
        <v/>
      </c>
      <c r="V371" s="74"/>
      <c r="W371" s="105" t="str">
        <f t="shared" si="77"/>
        <v/>
      </c>
      <c r="X371" s="74"/>
      <c r="Y371" s="105" t="str">
        <f t="shared" si="78"/>
        <v/>
      </c>
      <c r="Z371" s="76"/>
    </row>
    <row r="372" spans="1:26" s="29" customFormat="1" ht="21" customHeight="1" x14ac:dyDescent="0.2">
      <c r="A372" s="30"/>
      <c r="B372" s="404" t="s">
        <v>85</v>
      </c>
      <c r="C372" s="404"/>
      <c r="D372" s="404"/>
      <c r="E372" s="404"/>
      <c r="F372" s="404"/>
      <c r="G372" s="404"/>
      <c r="H372" s="404"/>
      <c r="I372" s="404"/>
      <c r="J372" s="404"/>
      <c r="K372" s="404"/>
      <c r="L372" s="46"/>
      <c r="N372" s="71"/>
      <c r="O372" s="72" t="s">
        <v>57</v>
      </c>
      <c r="P372" s="72"/>
      <c r="Q372" s="72"/>
      <c r="R372" s="72" t="str">
        <f t="shared" si="76"/>
        <v/>
      </c>
      <c r="S372" s="63"/>
      <c r="T372" s="72" t="s">
        <v>57</v>
      </c>
      <c r="U372" s="105"/>
      <c r="V372" s="74"/>
      <c r="W372" s="105" t="str">
        <f t="shared" si="77"/>
        <v/>
      </c>
      <c r="X372" s="74"/>
      <c r="Y372" s="105" t="str">
        <f t="shared" si="78"/>
        <v/>
      </c>
      <c r="Z372" s="76"/>
    </row>
    <row r="373" spans="1:26" s="29" customFormat="1" ht="21" customHeight="1" x14ac:dyDescent="0.2">
      <c r="A373" s="30"/>
      <c r="B373" s="404"/>
      <c r="C373" s="404"/>
      <c r="D373" s="404"/>
      <c r="E373" s="404"/>
      <c r="F373" s="404"/>
      <c r="G373" s="404"/>
      <c r="H373" s="404"/>
      <c r="I373" s="404"/>
      <c r="J373" s="404"/>
      <c r="K373" s="404"/>
      <c r="L373" s="46"/>
      <c r="N373" s="71"/>
      <c r="O373" s="72" t="s">
        <v>58</v>
      </c>
      <c r="P373" s="72"/>
      <c r="Q373" s="72"/>
      <c r="R373" s="72" t="str">
        <f t="shared" si="76"/>
        <v/>
      </c>
      <c r="S373" s="63"/>
      <c r="T373" s="72" t="s">
        <v>58</v>
      </c>
      <c r="U373" s="105"/>
      <c r="V373" s="74"/>
      <c r="W373" s="105" t="str">
        <f t="shared" si="77"/>
        <v/>
      </c>
      <c r="X373" s="74"/>
      <c r="Y373" s="105" t="str">
        <f t="shared" si="78"/>
        <v/>
      </c>
      <c r="Z373" s="76"/>
    </row>
    <row r="374" spans="1:26" s="29" customFormat="1" ht="2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s="29" customFormat="1" ht="21" customHeight="1" thickBot="1" x14ac:dyDescent="0.25"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s="29" customFormat="1" ht="21" customHeight="1" x14ac:dyDescent="0.2">
      <c r="A376" s="447" t="s">
        <v>40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9"/>
      <c r="M376" s="28"/>
      <c r="N376" s="64"/>
      <c r="O376" s="405" t="s">
        <v>42</v>
      </c>
      <c r="P376" s="406"/>
      <c r="Q376" s="406"/>
      <c r="R376" s="407"/>
      <c r="S376" s="65"/>
      <c r="T376" s="405" t="s">
        <v>43</v>
      </c>
      <c r="U376" s="406"/>
      <c r="V376" s="406"/>
      <c r="W376" s="406"/>
      <c r="X376" s="406"/>
      <c r="Y376" s="407"/>
      <c r="Z376" s="66"/>
    </row>
    <row r="377" spans="1:26" s="29" customFormat="1" ht="21" customHeight="1" x14ac:dyDescent="0.2">
      <c r="A377" s="30"/>
      <c r="C377" s="395" t="s">
        <v>83</v>
      </c>
      <c r="D377" s="395"/>
      <c r="E377" s="395"/>
      <c r="F377" s="395"/>
      <c r="G377" s="31" t="str">
        <f>$J$1</f>
        <v>May</v>
      </c>
      <c r="H377" s="394">
        <f>$K$1</f>
        <v>2023</v>
      </c>
      <c r="I377" s="394"/>
      <c r="K377" s="32"/>
      <c r="L377" s="33"/>
      <c r="M377" s="32"/>
      <c r="N377" s="67"/>
      <c r="O377" s="68" t="s">
        <v>53</v>
      </c>
      <c r="P377" s="68" t="s">
        <v>7</v>
      </c>
      <c r="Q377" s="68" t="s">
        <v>6</v>
      </c>
      <c r="R377" s="68" t="s">
        <v>54</v>
      </c>
      <c r="S377" s="69"/>
      <c r="T377" s="68" t="s">
        <v>53</v>
      </c>
      <c r="U377" s="68" t="s">
        <v>55</v>
      </c>
      <c r="V377" s="68" t="s">
        <v>20</v>
      </c>
      <c r="W377" s="68" t="s">
        <v>19</v>
      </c>
      <c r="X377" s="68" t="s">
        <v>21</v>
      </c>
      <c r="Y377" s="68" t="s">
        <v>59</v>
      </c>
      <c r="Z377" s="70"/>
    </row>
    <row r="378" spans="1:26" s="29" customFormat="1" ht="2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>
        <v>28000</v>
      </c>
      <c r="L378" s="38"/>
      <c r="N378" s="71"/>
      <c r="O378" s="72" t="s">
        <v>45</v>
      </c>
      <c r="P378" s="72">
        <v>31</v>
      </c>
      <c r="Q378" s="72">
        <v>0</v>
      </c>
      <c r="R378" s="72">
        <v>0</v>
      </c>
      <c r="S378" s="73"/>
      <c r="T378" s="72" t="s">
        <v>45</v>
      </c>
      <c r="U378" s="74"/>
      <c r="V378" s="74"/>
      <c r="W378" s="74">
        <f>V378+U378</f>
        <v>0</v>
      </c>
      <c r="X378" s="74"/>
      <c r="Y378" s="74">
        <f>W378-X378</f>
        <v>0</v>
      </c>
      <c r="Z378" s="70"/>
    </row>
    <row r="379" spans="1:26" s="29" customFormat="1" ht="21" customHeight="1" x14ac:dyDescent="0.2">
      <c r="A379" s="30"/>
      <c r="B379" s="29" t="s">
        <v>0</v>
      </c>
      <c r="C379" s="40" t="s">
        <v>185</v>
      </c>
      <c r="H379" s="41"/>
      <c r="I379" s="35"/>
      <c r="L379" s="42"/>
      <c r="M379" s="28"/>
      <c r="N379" s="75"/>
      <c r="O379" s="72" t="s">
        <v>71</v>
      </c>
      <c r="P379" s="72">
        <v>28</v>
      </c>
      <c r="Q379" s="72">
        <v>0</v>
      </c>
      <c r="R379" s="72">
        <v>0</v>
      </c>
      <c r="S379" s="63"/>
      <c r="T379" s="72" t="s">
        <v>71</v>
      </c>
      <c r="U379" s="105"/>
      <c r="V379" s="74"/>
      <c r="W379" s="74">
        <f>V379+U379</f>
        <v>0</v>
      </c>
      <c r="X379" s="74"/>
      <c r="Y379" s="105">
        <f>IF(W379="","",W379-X379)</f>
        <v>0</v>
      </c>
      <c r="Z379" s="76"/>
    </row>
    <row r="380" spans="1:26" s="29" customFormat="1" ht="21" customHeight="1" x14ac:dyDescent="0.2">
      <c r="A380" s="30"/>
      <c r="B380" s="44" t="s">
        <v>41</v>
      </c>
      <c r="C380" s="40"/>
      <c r="F380" s="411" t="s">
        <v>43</v>
      </c>
      <c r="G380" s="411"/>
      <c r="I380" s="411" t="s">
        <v>44</v>
      </c>
      <c r="J380" s="411"/>
      <c r="K380" s="411"/>
      <c r="L380" s="46"/>
      <c r="N380" s="71"/>
      <c r="O380" s="72" t="s">
        <v>46</v>
      </c>
      <c r="P380" s="72">
        <v>31</v>
      </c>
      <c r="Q380" s="72">
        <v>0</v>
      </c>
      <c r="R380" s="72">
        <v>0</v>
      </c>
      <c r="S380" s="63"/>
      <c r="T380" s="72" t="s">
        <v>46</v>
      </c>
      <c r="U380" s="105"/>
      <c r="V380" s="74"/>
      <c r="W380" s="105" t="str">
        <f t="shared" ref="W380:W389" si="82">IF(U380="","",U380+V380)</f>
        <v/>
      </c>
      <c r="X380" s="74"/>
      <c r="Y380" s="105" t="str">
        <f t="shared" ref="Y380:Y389" si="83">IF(W380="","",W380-X380)</f>
        <v/>
      </c>
      <c r="Z380" s="76"/>
    </row>
    <row r="381" spans="1:26" s="29" customFormat="1" ht="21" customHeight="1" x14ac:dyDescent="0.2">
      <c r="A381" s="30"/>
      <c r="H381" s="47"/>
      <c r="L381" s="34"/>
      <c r="N381" s="71"/>
      <c r="O381" s="72" t="s">
        <v>47</v>
      </c>
      <c r="P381" s="72">
        <v>30</v>
      </c>
      <c r="Q381" s="72">
        <v>0</v>
      </c>
      <c r="R381" s="72">
        <v>0</v>
      </c>
      <c r="S381" s="63"/>
      <c r="T381" s="72" t="s">
        <v>47</v>
      </c>
      <c r="U381" s="105"/>
      <c r="V381" s="74"/>
      <c r="W381" s="105" t="str">
        <f t="shared" si="82"/>
        <v/>
      </c>
      <c r="X381" s="74"/>
      <c r="Y381" s="105" t="str">
        <f t="shared" si="83"/>
        <v/>
      </c>
      <c r="Z381" s="76"/>
    </row>
    <row r="382" spans="1:26" s="29" customFormat="1" ht="21" customHeight="1" x14ac:dyDescent="0.2">
      <c r="A382" s="30"/>
      <c r="B382" s="389" t="s">
        <v>42</v>
      </c>
      <c r="C382" s="390"/>
      <c r="F382" s="48" t="s">
        <v>64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31</v>
      </c>
      <c r="J382" s="50" t="s">
        <v>61</v>
      </c>
      <c r="K382" s="51">
        <f>K378/$K$2*I382</f>
        <v>28000</v>
      </c>
      <c r="L382" s="52"/>
      <c r="N382" s="71"/>
      <c r="O382" s="72" t="s">
        <v>48</v>
      </c>
      <c r="P382" s="72">
        <v>31</v>
      </c>
      <c r="Q382" s="72">
        <v>0</v>
      </c>
      <c r="R382" s="72">
        <v>0</v>
      </c>
      <c r="S382" s="63"/>
      <c r="T382" s="72" t="s">
        <v>48</v>
      </c>
      <c r="U382" s="105"/>
      <c r="V382" s="74"/>
      <c r="W382" s="105" t="str">
        <f t="shared" si="82"/>
        <v/>
      </c>
      <c r="X382" s="74"/>
      <c r="Y382" s="105" t="str">
        <f t="shared" si="83"/>
        <v/>
      </c>
      <c r="Z382" s="76"/>
    </row>
    <row r="383" spans="1:26" s="29" customFormat="1" ht="21" customHeight="1" x14ac:dyDescent="0.2">
      <c r="A383" s="30"/>
      <c r="B383" s="39"/>
      <c r="C383" s="39"/>
      <c r="F383" s="48" t="s">
        <v>20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62</v>
      </c>
      <c r="K383" s="53">
        <f>K378/$K$2/8*I383</f>
        <v>0</v>
      </c>
      <c r="L383" s="54"/>
      <c r="N383" s="71"/>
      <c r="O383" s="72" t="s">
        <v>49</v>
      </c>
      <c r="P383" s="72"/>
      <c r="Q383" s="72"/>
      <c r="R383" s="72">
        <v>0</v>
      </c>
      <c r="S383" s="63"/>
      <c r="T383" s="72" t="s">
        <v>49</v>
      </c>
      <c r="U383" s="105"/>
      <c r="V383" s="74"/>
      <c r="W383" s="105" t="str">
        <f t="shared" si="82"/>
        <v/>
      </c>
      <c r="X383" s="74"/>
      <c r="Y383" s="105" t="str">
        <f t="shared" si="83"/>
        <v/>
      </c>
      <c r="Z383" s="76"/>
    </row>
    <row r="384" spans="1:26" s="29" customFormat="1" ht="2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31</v>
      </c>
      <c r="F384" s="48" t="s">
        <v>65</v>
      </c>
      <c r="G384" s="43" t="str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/>
      </c>
      <c r="H384" s="47"/>
      <c r="I384" s="402" t="s">
        <v>69</v>
      </c>
      <c r="J384" s="403"/>
      <c r="K384" s="53">
        <f>K382+K383</f>
        <v>28000</v>
      </c>
      <c r="L384" s="54"/>
      <c r="N384" s="71"/>
      <c r="O384" s="72" t="s">
        <v>50</v>
      </c>
      <c r="P384" s="72"/>
      <c r="Q384" s="72"/>
      <c r="R384" s="72">
        <v>0</v>
      </c>
      <c r="S384" s="63"/>
      <c r="T384" s="72" t="s">
        <v>50</v>
      </c>
      <c r="U384" s="105"/>
      <c r="V384" s="74"/>
      <c r="W384" s="105" t="str">
        <f t="shared" si="82"/>
        <v/>
      </c>
      <c r="X384" s="74"/>
      <c r="Y384" s="105" t="str">
        <f t="shared" si="83"/>
        <v/>
      </c>
      <c r="Z384" s="76"/>
    </row>
    <row r="385" spans="1:27" s="29" customFormat="1" ht="2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21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02" t="s">
        <v>70</v>
      </c>
      <c r="J385" s="403"/>
      <c r="K385" s="43">
        <f>G385</f>
        <v>0</v>
      </c>
      <c r="L385" s="55"/>
      <c r="N385" s="71"/>
      <c r="O385" s="72" t="s">
        <v>51</v>
      </c>
      <c r="P385" s="72"/>
      <c r="Q385" s="72"/>
      <c r="R385" s="72">
        <v>0</v>
      </c>
      <c r="S385" s="63"/>
      <c r="T385" s="72" t="s">
        <v>51</v>
      </c>
      <c r="U385" s="105"/>
      <c r="V385" s="74"/>
      <c r="W385" s="105" t="str">
        <f t="shared" si="82"/>
        <v/>
      </c>
      <c r="X385" s="74"/>
      <c r="Y385" s="105" t="str">
        <f t="shared" si="83"/>
        <v/>
      </c>
      <c r="Z385" s="76"/>
    </row>
    <row r="386" spans="1:27" s="29" customFormat="1" ht="21" customHeight="1" x14ac:dyDescent="0.2">
      <c r="A386" s="30"/>
      <c r="B386" s="56" t="s">
        <v>68</v>
      </c>
      <c r="C386" s="39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F386" s="48" t="s">
        <v>140</v>
      </c>
      <c r="G386" s="43" t="str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/>
      </c>
      <c r="I386" s="391" t="s">
        <v>63</v>
      </c>
      <c r="J386" s="393"/>
      <c r="K386" s="57">
        <f>K384-K385</f>
        <v>28000</v>
      </c>
      <c r="L386" s="58"/>
      <c r="N386" s="71"/>
      <c r="O386" s="72" t="s">
        <v>56</v>
      </c>
      <c r="P386" s="72"/>
      <c r="Q386" s="72"/>
      <c r="R386" s="72">
        <v>0</v>
      </c>
      <c r="S386" s="63"/>
      <c r="T386" s="72" t="s">
        <v>56</v>
      </c>
      <c r="U386" s="105"/>
      <c r="V386" s="74"/>
      <c r="W386" s="105" t="str">
        <f t="shared" si="82"/>
        <v/>
      </c>
      <c r="X386" s="74"/>
      <c r="Y386" s="105" t="str">
        <f t="shared" si="83"/>
        <v/>
      </c>
      <c r="Z386" s="76"/>
    </row>
    <row r="387" spans="1:27" s="29" customFormat="1" ht="21" customHeight="1" x14ac:dyDescent="0.2">
      <c r="A387" s="30"/>
      <c r="L387" s="46"/>
      <c r="N387" s="71"/>
      <c r="O387" s="72" t="s">
        <v>52</v>
      </c>
      <c r="P387" s="72"/>
      <c r="Q387" s="72"/>
      <c r="R387" s="72" t="str">
        <f>IF(Q387="","",R386-Q387)</f>
        <v/>
      </c>
      <c r="S387" s="63"/>
      <c r="T387" s="72" t="s">
        <v>52</v>
      </c>
      <c r="U387" s="105"/>
      <c r="V387" s="74"/>
      <c r="W387" s="105" t="str">
        <f t="shared" si="82"/>
        <v/>
      </c>
      <c r="X387" s="74"/>
      <c r="Y387" s="105" t="str">
        <f t="shared" si="83"/>
        <v/>
      </c>
      <c r="Z387" s="76"/>
    </row>
    <row r="388" spans="1:27" s="29" customFormat="1" ht="21" customHeight="1" x14ac:dyDescent="0.2">
      <c r="A388" s="30"/>
      <c r="B388" s="404" t="s">
        <v>85</v>
      </c>
      <c r="C388" s="404"/>
      <c r="D388" s="404"/>
      <c r="E388" s="404"/>
      <c r="F388" s="404"/>
      <c r="G388" s="404"/>
      <c r="H388" s="404"/>
      <c r="I388" s="404"/>
      <c r="J388" s="404"/>
      <c r="K388" s="404"/>
      <c r="L388" s="46"/>
      <c r="N388" s="71"/>
      <c r="O388" s="72" t="s">
        <v>57</v>
      </c>
      <c r="P388" s="72"/>
      <c r="Q388" s="72"/>
      <c r="R388" s="72">
        <v>0</v>
      </c>
      <c r="S388" s="63"/>
      <c r="T388" s="72" t="s">
        <v>57</v>
      </c>
      <c r="U388" s="105"/>
      <c r="V388" s="74"/>
      <c r="W388" s="105" t="str">
        <f t="shared" si="82"/>
        <v/>
      </c>
      <c r="X388" s="74"/>
      <c r="Y388" s="105" t="str">
        <f t="shared" si="83"/>
        <v/>
      </c>
      <c r="Z388" s="76"/>
    </row>
    <row r="389" spans="1:27" s="29" customFormat="1" ht="21" customHeight="1" x14ac:dyDescent="0.2">
      <c r="A389" s="30"/>
      <c r="B389" s="404"/>
      <c r="C389" s="404"/>
      <c r="D389" s="404"/>
      <c r="E389" s="404"/>
      <c r="F389" s="404"/>
      <c r="G389" s="404"/>
      <c r="H389" s="404"/>
      <c r="I389" s="404"/>
      <c r="J389" s="404"/>
      <c r="K389" s="404"/>
      <c r="L389" s="46"/>
      <c r="N389" s="71"/>
      <c r="O389" s="72" t="s">
        <v>58</v>
      </c>
      <c r="P389" s="72"/>
      <c r="Q389" s="72"/>
      <c r="R389" s="72" t="str">
        <f>IF(Q389="","",R388-Q389)</f>
        <v/>
      </c>
      <c r="S389" s="63"/>
      <c r="T389" s="72" t="s">
        <v>58</v>
      </c>
      <c r="U389" s="105" t="str">
        <f>IF($J$1="Dec",Y388,"")</f>
        <v/>
      </c>
      <c r="V389" s="74"/>
      <c r="W389" s="105" t="str">
        <f t="shared" si="82"/>
        <v/>
      </c>
      <c r="X389" s="74"/>
      <c r="Y389" s="105" t="str">
        <f t="shared" si="83"/>
        <v/>
      </c>
      <c r="Z389" s="76"/>
    </row>
    <row r="390" spans="1:27" s="29" customFormat="1" ht="22.15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9"/>
    </row>
    <row r="391" spans="1:27" s="29" customFormat="1" ht="2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7" s="29" customFormat="1" ht="21" customHeight="1" x14ac:dyDescent="0.2">
      <c r="A392" s="421" t="s">
        <v>40</v>
      </c>
      <c r="B392" s="422"/>
      <c r="C392" s="422"/>
      <c r="D392" s="422"/>
      <c r="E392" s="422"/>
      <c r="F392" s="422"/>
      <c r="G392" s="422"/>
      <c r="H392" s="422"/>
      <c r="I392" s="422"/>
      <c r="J392" s="422"/>
      <c r="K392" s="422"/>
      <c r="L392" s="423"/>
      <c r="M392" s="28"/>
      <c r="N392" s="64"/>
      <c r="O392" s="405" t="s">
        <v>42</v>
      </c>
      <c r="P392" s="406"/>
      <c r="Q392" s="406"/>
      <c r="R392" s="407"/>
      <c r="S392" s="65"/>
      <c r="T392" s="405" t="s">
        <v>43</v>
      </c>
      <c r="U392" s="406"/>
      <c r="V392" s="406"/>
      <c r="W392" s="406"/>
      <c r="X392" s="406"/>
      <c r="Y392" s="407"/>
      <c r="Z392" s="66"/>
      <c r="AA392" s="28"/>
    </row>
    <row r="393" spans="1:27" s="29" customFormat="1" ht="21" customHeight="1" x14ac:dyDescent="0.2">
      <c r="A393" s="30"/>
      <c r="C393" s="395" t="s">
        <v>83</v>
      </c>
      <c r="D393" s="395"/>
      <c r="E393" s="395"/>
      <c r="F393" s="395"/>
      <c r="G393" s="31" t="str">
        <f>$J$1</f>
        <v>May</v>
      </c>
      <c r="H393" s="394">
        <f>$K$1</f>
        <v>2023</v>
      </c>
      <c r="I393" s="394"/>
      <c r="K393" s="32"/>
      <c r="L393" s="33"/>
      <c r="M393" s="32"/>
      <c r="N393" s="67"/>
      <c r="O393" s="68" t="s">
        <v>53</v>
      </c>
      <c r="P393" s="68" t="s">
        <v>7</v>
      </c>
      <c r="Q393" s="68" t="s">
        <v>6</v>
      </c>
      <c r="R393" s="68" t="s">
        <v>54</v>
      </c>
      <c r="S393" s="69"/>
      <c r="T393" s="68" t="s">
        <v>53</v>
      </c>
      <c r="U393" s="68" t="s">
        <v>55</v>
      </c>
      <c r="V393" s="68" t="s">
        <v>20</v>
      </c>
      <c r="W393" s="68" t="s">
        <v>19</v>
      </c>
      <c r="X393" s="68" t="s">
        <v>21</v>
      </c>
      <c r="Y393" s="68" t="s">
        <v>59</v>
      </c>
      <c r="Z393" s="70"/>
      <c r="AA393" s="32"/>
    </row>
    <row r="394" spans="1:27" s="29" customFormat="1" ht="2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>
        <v>20000</v>
      </c>
      <c r="L394" s="38"/>
      <c r="N394" s="71"/>
      <c r="O394" s="72" t="s">
        <v>45</v>
      </c>
      <c r="P394" s="72">
        <v>31</v>
      </c>
      <c r="Q394" s="72">
        <v>0</v>
      </c>
      <c r="R394" s="72">
        <f>15-Q394</f>
        <v>15</v>
      </c>
      <c r="S394" s="73"/>
      <c r="T394" s="72" t="s">
        <v>45</v>
      </c>
      <c r="U394" s="74">
        <v>14000</v>
      </c>
      <c r="V394" s="74"/>
      <c r="W394" s="74">
        <f>V394+U394</f>
        <v>14000</v>
      </c>
      <c r="X394" s="74">
        <v>2000</v>
      </c>
      <c r="Y394" s="74">
        <f>W394-X394</f>
        <v>12000</v>
      </c>
      <c r="Z394" s="70"/>
    </row>
    <row r="395" spans="1:27" s="29" customFormat="1" ht="21" customHeight="1" x14ac:dyDescent="0.2">
      <c r="A395" s="30"/>
      <c r="B395" s="29" t="s">
        <v>0</v>
      </c>
      <c r="C395" s="40" t="s">
        <v>76</v>
      </c>
      <c r="H395" s="41"/>
      <c r="I395" s="35"/>
      <c r="L395" s="42"/>
      <c r="M395" s="28"/>
      <c r="N395" s="75"/>
      <c r="O395" s="72" t="s">
        <v>71</v>
      </c>
      <c r="P395" s="72">
        <v>28</v>
      </c>
      <c r="Q395" s="72">
        <v>0</v>
      </c>
      <c r="R395" s="72">
        <f t="shared" ref="R395:R405" si="84">IF(Q395="","",R394-Q395)</f>
        <v>15</v>
      </c>
      <c r="S395" s="63"/>
      <c r="T395" s="72" t="s">
        <v>71</v>
      </c>
      <c r="U395" s="105">
        <f>IF($J$1="January","",Y394)</f>
        <v>12000</v>
      </c>
      <c r="V395" s="74"/>
      <c r="W395" s="105">
        <f>IF(U395="","",U395+V395)</f>
        <v>12000</v>
      </c>
      <c r="X395" s="74">
        <v>2000</v>
      </c>
      <c r="Y395" s="74">
        <f>W395-X395</f>
        <v>10000</v>
      </c>
      <c r="Z395" s="76"/>
      <c r="AA395" s="28"/>
    </row>
    <row r="396" spans="1:27" s="29" customFormat="1" ht="21" customHeight="1" x14ac:dyDescent="0.2">
      <c r="A396" s="30"/>
      <c r="B396" s="44" t="s">
        <v>41</v>
      </c>
      <c r="C396" s="45"/>
      <c r="F396" s="411" t="s">
        <v>43</v>
      </c>
      <c r="G396" s="411"/>
      <c r="I396" s="411" t="s">
        <v>44</v>
      </c>
      <c r="J396" s="411"/>
      <c r="K396" s="411"/>
      <c r="L396" s="46"/>
      <c r="N396" s="71"/>
      <c r="O396" s="72" t="s">
        <v>46</v>
      </c>
      <c r="P396" s="72">
        <v>29</v>
      </c>
      <c r="Q396" s="72">
        <v>2</v>
      </c>
      <c r="R396" s="72">
        <f t="shared" si="84"/>
        <v>13</v>
      </c>
      <c r="S396" s="63"/>
      <c r="T396" s="72" t="s">
        <v>46</v>
      </c>
      <c r="U396" s="105">
        <f>Y395</f>
        <v>10000</v>
      </c>
      <c r="V396" s="74"/>
      <c r="W396" s="105">
        <f t="shared" ref="W396:W405" si="85">IF(U396="","",U396+V396)</f>
        <v>10000</v>
      </c>
      <c r="X396" s="74">
        <v>2000</v>
      </c>
      <c r="Y396" s="105">
        <f t="shared" ref="Y396:Y405" si="86">IF(W396="","",W396-X396)</f>
        <v>8000</v>
      </c>
      <c r="Z396" s="76"/>
    </row>
    <row r="397" spans="1:27" s="29" customFormat="1" ht="21" customHeight="1" x14ac:dyDescent="0.2">
      <c r="A397" s="30"/>
      <c r="H397" s="47"/>
      <c r="L397" s="34"/>
      <c r="N397" s="71"/>
      <c r="O397" s="72" t="s">
        <v>47</v>
      </c>
      <c r="P397" s="72">
        <v>30</v>
      </c>
      <c r="Q397" s="72">
        <v>0</v>
      </c>
      <c r="R397" s="72">
        <f t="shared" si="84"/>
        <v>13</v>
      </c>
      <c r="S397" s="63"/>
      <c r="T397" s="72" t="s">
        <v>47</v>
      </c>
      <c r="U397" s="105">
        <f>IF($J$1="March","",Y396)</f>
        <v>8000</v>
      </c>
      <c r="V397" s="74"/>
      <c r="W397" s="105">
        <f t="shared" si="85"/>
        <v>8000</v>
      </c>
      <c r="X397" s="74">
        <v>2000</v>
      </c>
      <c r="Y397" s="105">
        <f t="shared" si="86"/>
        <v>6000</v>
      </c>
      <c r="Z397" s="76"/>
    </row>
    <row r="398" spans="1:27" s="29" customFormat="1" ht="21" customHeight="1" x14ac:dyDescent="0.2">
      <c r="A398" s="30"/>
      <c r="B398" s="389" t="s">
        <v>42</v>
      </c>
      <c r="C398" s="390"/>
      <c r="F398" s="48" t="s">
        <v>64</v>
      </c>
      <c r="G398" s="109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6000</v>
      </c>
      <c r="H398" s="47"/>
      <c r="I398" s="49">
        <f>IF(C402&gt;0,$K$2,C400)</f>
        <v>31</v>
      </c>
      <c r="J398" s="50" t="s">
        <v>61</v>
      </c>
      <c r="K398" s="51">
        <f>K394/$K$2*I398</f>
        <v>20000</v>
      </c>
      <c r="L398" s="52"/>
      <c r="N398" s="71"/>
      <c r="O398" s="72" t="s">
        <v>48</v>
      </c>
      <c r="P398" s="72">
        <v>30</v>
      </c>
      <c r="Q398" s="72">
        <v>1</v>
      </c>
      <c r="R398" s="72">
        <f t="shared" si="84"/>
        <v>12</v>
      </c>
      <c r="S398" s="63"/>
      <c r="T398" s="72" t="s">
        <v>48</v>
      </c>
      <c r="U398" s="105">
        <f>Y397</f>
        <v>6000</v>
      </c>
      <c r="V398" s="74">
        <v>15000</v>
      </c>
      <c r="W398" s="105">
        <f t="shared" si="85"/>
        <v>21000</v>
      </c>
      <c r="X398" s="74">
        <v>2000</v>
      </c>
      <c r="Y398" s="105">
        <f t="shared" si="86"/>
        <v>19000</v>
      </c>
      <c r="Z398" s="76"/>
    </row>
    <row r="399" spans="1:27" s="29" customFormat="1" ht="21" customHeight="1" x14ac:dyDescent="0.2">
      <c r="A399" s="30"/>
      <c r="B399" s="39"/>
      <c r="C399" s="39"/>
      <c r="F399" s="48" t="s">
        <v>20</v>
      </c>
      <c r="G399" s="109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15000</v>
      </c>
      <c r="H399" s="47"/>
      <c r="I399" s="84">
        <v>0</v>
      </c>
      <c r="J399" s="50" t="s">
        <v>62</v>
      </c>
      <c r="K399" s="53">
        <f>K394/$K$2/8*I399</f>
        <v>0</v>
      </c>
      <c r="L399" s="54"/>
      <c r="N399" s="71"/>
      <c r="O399" s="72" t="s">
        <v>49</v>
      </c>
      <c r="P399" s="72"/>
      <c r="Q399" s="72"/>
      <c r="R399" s="72" t="str">
        <f t="shared" si="84"/>
        <v/>
      </c>
      <c r="S399" s="63"/>
      <c r="T399" s="72" t="s">
        <v>49</v>
      </c>
      <c r="U399" s="105"/>
      <c r="V399" s="74"/>
      <c r="W399" s="105" t="str">
        <f t="shared" si="85"/>
        <v/>
      </c>
      <c r="X399" s="74"/>
      <c r="Y399" s="105" t="str">
        <f t="shared" si="86"/>
        <v/>
      </c>
      <c r="Z399" s="76"/>
    </row>
    <row r="400" spans="1:27" s="29" customFormat="1" ht="2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30</v>
      </c>
      <c r="F400" s="48" t="s">
        <v>65</v>
      </c>
      <c r="G400" s="109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>21000</v>
      </c>
      <c r="H400" s="47"/>
      <c r="I400" s="402" t="s">
        <v>69</v>
      </c>
      <c r="J400" s="403"/>
      <c r="K400" s="53">
        <f>K398+K399</f>
        <v>20000</v>
      </c>
      <c r="L400" s="54"/>
      <c r="N400" s="71"/>
      <c r="O400" s="72" t="s">
        <v>50</v>
      </c>
      <c r="P400" s="72"/>
      <c r="Q400" s="72"/>
      <c r="R400" s="72" t="str">
        <f t="shared" si="84"/>
        <v/>
      </c>
      <c r="S400" s="63"/>
      <c r="T400" s="72" t="s">
        <v>50</v>
      </c>
      <c r="U400" s="105"/>
      <c r="V400" s="74"/>
      <c r="W400" s="105" t="str">
        <f t="shared" si="85"/>
        <v/>
      </c>
      <c r="X400" s="74"/>
      <c r="Y400" s="105" t="str">
        <f t="shared" si="86"/>
        <v/>
      </c>
      <c r="Z400" s="76"/>
    </row>
    <row r="401" spans="1:27" s="29" customFormat="1" ht="2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1</v>
      </c>
      <c r="F401" s="48" t="s">
        <v>21</v>
      </c>
      <c r="G401" s="109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2000</v>
      </c>
      <c r="H401" s="47"/>
      <c r="I401" s="402" t="s">
        <v>70</v>
      </c>
      <c r="J401" s="403"/>
      <c r="K401" s="43">
        <f>G401</f>
        <v>2000</v>
      </c>
      <c r="L401" s="55"/>
      <c r="N401" s="71"/>
      <c r="O401" s="72" t="s">
        <v>51</v>
      </c>
      <c r="P401" s="72"/>
      <c r="Q401" s="72"/>
      <c r="R401" s="72" t="str">
        <f t="shared" si="84"/>
        <v/>
      </c>
      <c r="S401" s="63"/>
      <c r="T401" s="72" t="s">
        <v>51</v>
      </c>
      <c r="U401" s="105"/>
      <c r="V401" s="74"/>
      <c r="W401" s="105" t="str">
        <f t="shared" si="85"/>
        <v/>
      </c>
      <c r="X401" s="74"/>
      <c r="Y401" s="105" t="str">
        <f t="shared" si="86"/>
        <v/>
      </c>
      <c r="Z401" s="76"/>
    </row>
    <row r="402" spans="1:27" s="29" customFormat="1" ht="21" customHeight="1" x14ac:dyDescent="0.2">
      <c r="A402" s="30"/>
      <c r="B402" s="56" t="s">
        <v>68</v>
      </c>
      <c r="C402" s="39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12</v>
      </c>
      <c r="F402" s="48" t="s">
        <v>67</v>
      </c>
      <c r="G402" s="109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>19000</v>
      </c>
      <c r="I402" s="391" t="s">
        <v>63</v>
      </c>
      <c r="J402" s="393"/>
      <c r="K402" s="57">
        <f>K400-K401</f>
        <v>18000</v>
      </c>
      <c r="L402" s="58"/>
      <c r="N402" s="71"/>
      <c r="O402" s="72" t="s">
        <v>56</v>
      </c>
      <c r="P402" s="72"/>
      <c r="Q402" s="72"/>
      <c r="R402" s="72" t="str">
        <f t="shared" si="84"/>
        <v/>
      </c>
      <c r="S402" s="63"/>
      <c r="T402" s="72" t="s">
        <v>56</v>
      </c>
      <c r="U402" s="105"/>
      <c r="V402" s="74"/>
      <c r="W402" s="105" t="str">
        <f t="shared" si="85"/>
        <v/>
      </c>
      <c r="X402" s="74"/>
      <c r="Y402" s="105" t="str">
        <f t="shared" si="86"/>
        <v/>
      </c>
      <c r="Z402" s="76"/>
    </row>
    <row r="403" spans="1:27" s="29" customFormat="1" ht="21" customHeight="1" x14ac:dyDescent="0.2">
      <c r="A403" s="30"/>
      <c r="L403" s="46"/>
      <c r="N403" s="71"/>
      <c r="O403" s="72" t="s">
        <v>52</v>
      </c>
      <c r="P403" s="72"/>
      <c r="Q403" s="72"/>
      <c r="R403" s="72" t="str">
        <f t="shared" si="84"/>
        <v/>
      </c>
      <c r="S403" s="63"/>
      <c r="T403" s="72" t="s">
        <v>52</v>
      </c>
      <c r="U403" s="105"/>
      <c r="V403" s="74"/>
      <c r="W403" s="105" t="str">
        <f t="shared" si="85"/>
        <v/>
      </c>
      <c r="X403" s="74"/>
      <c r="Y403" s="105" t="str">
        <f t="shared" si="86"/>
        <v/>
      </c>
      <c r="Z403" s="76"/>
    </row>
    <row r="404" spans="1:27" s="29" customFormat="1" ht="21" customHeight="1" x14ac:dyDescent="0.2">
      <c r="A404" s="30"/>
      <c r="B404" s="404" t="s">
        <v>85</v>
      </c>
      <c r="C404" s="404"/>
      <c r="D404" s="404"/>
      <c r="E404" s="404"/>
      <c r="F404" s="404"/>
      <c r="G404" s="404"/>
      <c r="H404" s="404"/>
      <c r="I404" s="404"/>
      <c r="J404" s="404"/>
      <c r="K404" s="404"/>
      <c r="L404" s="46"/>
      <c r="N404" s="71"/>
      <c r="O404" s="72" t="s">
        <v>57</v>
      </c>
      <c r="P404" s="72"/>
      <c r="Q404" s="72"/>
      <c r="R404" s="72" t="str">
        <f t="shared" si="84"/>
        <v/>
      </c>
      <c r="S404" s="63"/>
      <c r="T404" s="72" t="s">
        <v>57</v>
      </c>
      <c r="U404" s="105"/>
      <c r="V404" s="74"/>
      <c r="W404" s="105" t="str">
        <f t="shared" si="85"/>
        <v/>
      </c>
      <c r="X404" s="74"/>
      <c r="Y404" s="105" t="str">
        <f t="shared" si="86"/>
        <v/>
      </c>
      <c r="Z404" s="76"/>
    </row>
    <row r="405" spans="1:27" s="29" customFormat="1" ht="21" customHeight="1" x14ac:dyDescent="0.2">
      <c r="A405" s="30"/>
      <c r="B405" s="404"/>
      <c r="C405" s="404"/>
      <c r="D405" s="404"/>
      <c r="E405" s="404"/>
      <c r="F405" s="404"/>
      <c r="G405" s="404"/>
      <c r="H405" s="404"/>
      <c r="I405" s="404"/>
      <c r="J405" s="404"/>
      <c r="K405" s="404"/>
      <c r="L405" s="46"/>
      <c r="N405" s="71"/>
      <c r="O405" s="72" t="s">
        <v>58</v>
      </c>
      <c r="P405" s="72"/>
      <c r="Q405" s="72"/>
      <c r="R405" s="72" t="str">
        <f t="shared" si="84"/>
        <v/>
      </c>
      <c r="S405" s="63"/>
      <c r="T405" s="72" t="s">
        <v>58</v>
      </c>
      <c r="U405" s="105"/>
      <c r="V405" s="74"/>
      <c r="W405" s="105" t="str">
        <f t="shared" si="85"/>
        <v/>
      </c>
      <c r="X405" s="74"/>
      <c r="Y405" s="105" t="str">
        <f t="shared" si="86"/>
        <v/>
      </c>
      <c r="Z405" s="76"/>
    </row>
    <row r="406" spans="1:27" s="29" customFormat="1" ht="2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9"/>
    </row>
    <row r="407" spans="1:27" s="29" customFormat="1" ht="2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7" s="29" customFormat="1" ht="21" customHeight="1" x14ac:dyDescent="0.2">
      <c r="A408" s="412" t="s">
        <v>40</v>
      </c>
      <c r="B408" s="413"/>
      <c r="C408" s="413"/>
      <c r="D408" s="413"/>
      <c r="E408" s="413"/>
      <c r="F408" s="413"/>
      <c r="G408" s="413"/>
      <c r="H408" s="413"/>
      <c r="I408" s="413"/>
      <c r="J408" s="413"/>
      <c r="K408" s="413"/>
      <c r="L408" s="414"/>
      <c r="M408" s="28"/>
      <c r="N408" s="64"/>
      <c r="O408" s="405" t="s">
        <v>42</v>
      </c>
      <c r="P408" s="406"/>
      <c r="Q408" s="406"/>
      <c r="R408" s="407"/>
      <c r="S408" s="65"/>
      <c r="T408" s="405" t="s">
        <v>43</v>
      </c>
      <c r="U408" s="406"/>
      <c r="V408" s="406"/>
      <c r="W408" s="406"/>
      <c r="X408" s="406"/>
      <c r="Y408" s="407"/>
      <c r="Z408" s="66"/>
      <c r="AA408" s="28"/>
    </row>
    <row r="409" spans="1:27" s="29" customFormat="1" ht="21" customHeight="1" x14ac:dyDescent="0.2">
      <c r="A409" s="30"/>
      <c r="C409" s="395" t="s">
        <v>83</v>
      </c>
      <c r="D409" s="395"/>
      <c r="E409" s="395"/>
      <c r="F409" s="395"/>
      <c r="G409" s="31" t="str">
        <f>$J$1</f>
        <v>May</v>
      </c>
      <c r="H409" s="394">
        <f>$K$1</f>
        <v>2023</v>
      </c>
      <c r="I409" s="394"/>
      <c r="K409" s="32"/>
      <c r="L409" s="33"/>
      <c r="M409" s="32"/>
      <c r="N409" s="67"/>
      <c r="O409" s="68" t="s">
        <v>53</v>
      </c>
      <c r="P409" s="68" t="s">
        <v>7</v>
      </c>
      <c r="Q409" s="68" t="s">
        <v>6</v>
      </c>
      <c r="R409" s="68" t="s">
        <v>54</v>
      </c>
      <c r="S409" s="69"/>
      <c r="T409" s="68" t="s">
        <v>53</v>
      </c>
      <c r="U409" s="68" t="s">
        <v>55</v>
      </c>
      <c r="V409" s="68" t="s">
        <v>20</v>
      </c>
      <c r="W409" s="68" t="s">
        <v>19</v>
      </c>
      <c r="X409" s="68" t="s">
        <v>21</v>
      </c>
      <c r="Y409" s="68" t="s">
        <v>59</v>
      </c>
      <c r="Z409" s="70"/>
      <c r="AA409" s="32"/>
    </row>
    <row r="410" spans="1:27" s="29" customFormat="1" ht="2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>
        <v>25000</v>
      </c>
      <c r="L410" s="38"/>
      <c r="N410" s="71"/>
      <c r="O410" s="72" t="s">
        <v>45</v>
      </c>
      <c r="P410" s="72">
        <v>30</v>
      </c>
      <c r="Q410" s="72">
        <v>1</v>
      </c>
      <c r="R410" s="72">
        <f>15-Q410</f>
        <v>14</v>
      </c>
      <c r="S410" s="73"/>
      <c r="T410" s="72" t="s">
        <v>45</v>
      </c>
      <c r="U410" s="74">
        <v>8000</v>
      </c>
      <c r="V410" s="74">
        <v>1000</v>
      </c>
      <c r="W410" s="74">
        <f>V410+U410</f>
        <v>9000</v>
      </c>
      <c r="X410" s="74">
        <v>2500</v>
      </c>
      <c r="Y410" s="74">
        <f>W410-X410</f>
        <v>6500</v>
      </c>
      <c r="Z410" s="70"/>
    </row>
    <row r="411" spans="1:27" s="29" customFormat="1" ht="21" customHeight="1" x14ac:dyDescent="0.2">
      <c r="A411" s="30"/>
      <c r="B411" s="29" t="s">
        <v>0</v>
      </c>
      <c r="C411" s="40" t="s">
        <v>110</v>
      </c>
      <c r="H411" s="41"/>
      <c r="I411" s="35"/>
      <c r="L411" s="42"/>
      <c r="M411" s="28"/>
      <c r="N411" s="75"/>
      <c r="O411" s="72" t="s">
        <v>71</v>
      </c>
      <c r="P411" s="72">
        <v>28</v>
      </c>
      <c r="Q411" s="72">
        <v>0</v>
      </c>
      <c r="R411" s="72">
        <f t="shared" ref="R411:R421" si="87">IF(Q411="","",R410-Q411)</f>
        <v>14</v>
      </c>
      <c r="S411" s="63"/>
      <c r="T411" s="72" t="s">
        <v>71</v>
      </c>
      <c r="U411" s="105">
        <f>IF($J$1="January","",Y410)</f>
        <v>6500</v>
      </c>
      <c r="V411" s="74">
        <v>1000</v>
      </c>
      <c r="W411" s="105">
        <f>IF(U411="","",U411+V411)</f>
        <v>7500</v>
      </c>
      <c r="X411" s="74">
        <v>2500</v>
      </c>
      <c r="Y411" s="105">
        <f>IF(W411="","",W411-X411)</f>
        <v>5000</v>
      </c>
      <c r="Z411" s="76"/>
      <c r="AA411" s="28"/>
    </row>
    <row r="412" spans="1:27" s="29" customFormat="1" ht="21" customHeight="1" x14ac:dyDescent="0.2">
      <c r="A412" s="30"/>
      <c r="B412" s="44" t="s">
        <v>41</v>
      </c>
      <c r="C412" s="45"/>
      <c r="F412" s="411" t="s">
        <v>43</v>
      </c>
      <c r="G412" s="411"/>
      <c r="I412" s="411" t="s">
        <v>44</v>
      </c>
      <c r="J412" s="411"/>
      <c r="K412" s="411"/>
      <c r="L412" s="46"/>
      <c r="N412" s="71"/>
      <c r="O412" s="72" t="s">
        <v>46</v>
      </c>
      <c r="P412" s="72">
        <v>30</v>
      </c>
      <c r="Q412" s="72">
        <v>1</v>
      </c>
      <c r="R412" s="72">
        <f t="shared" si="87"/>
        <v>13</v>
      </c>
      <c r="S412" s="63"/>
      <c r="T412" s="72" t="s">
        <v>46</v>
      </c>
      <c r="U412" s="105">
        <f>IF($J$1="February","",Y411)</f>
        <v>5000</v>
      </c>
      <c r="V412" s="74">
        <v>1000</v>
      </c>
      <c r="W412" s="105">
        <f t="shared" ref="W412:W421" si="88">IF(U412="","",U412+V412)</f>
        <v>6000</v>
      </c>
      <c r="X412" s="74">
        <v>2500</v>
      </c>
      <c r="Y412" s="105">
        <f t="shared" ref="Y412:Y421" si="89">IF(W412="","",W412-X412)</f>
        <v>3500</v>
      </c>
      <c r="Z412" s="76"/>
    </row>
    <row r="413" spans="1:27" s="29" customFormat="1" ht="21" customHeight="1" x14ac:dyDescent="0.2">
      <c r="A413" s="30"/>
      <c r="H413" s="47"/>
      <c r="L413" s="34"/>
      <c r="N413" s="71"/>
      <c r="O413" s="72" t="s">
        <v>47</v>
      </c>
      <c r="P413" s="72">
        <v>30</v>
      </c>
      <c r="Q413" s="72">
        <v>0</v>
      </c>
      <c r="R413" s="72">
        <f t="shared" si="87"/>
        <v>13</v>
      </c>
      <c r="S413" s="63"/>
      <c r="T413" s="72" t="s">
        <v>47</v>
      </c>
      <c r="U413" s="105">
        <f>IF($J$1="March","",Y412)</f>
        <v>3500</v>
      </c>
      <c r="V413" s="74"/>
      <c r="W413" s="105">
        <f t="shared" si="88"/>
        <v>3500</v>
      </c>
      <c r="X413" s="74">
        <v>2500</v>
      </c>
      <c r="Y413" s="105">
        <f t="shared" si="89"/>
        <v>1000</v>
      </c>
      <c r="Z413" s="76"/>
    </row>
    <row r="414" spans="1:27" s="29" customFormat="1" ht="21" customHeight="1" x14ac:dyDescent="0.2">
      <c r="A414" s="30"/>
      <c r="B414" s="389" t="s">
        <v>42</v>
      </c>
      <c r="C414" s="390"/>
      <c r="F414" s="48" t="s">
        <v>64</v>
      </c>
      <c r="G414" s="109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1000</v>
      </c>
      <c r="H414" s="47"/>
      <c r="I414" s="49">
        <f>IF(C418&gt;0,$K$2,C416)</f>
        <v>31</v>
      </c>
      <c r="J414" s="50" t="s">
        <v>61</v>
      </c>
      <c r="K414" s="51">
        <f>K410/$K$2*I414</f>
        <v>25000</v>
      </c>
      <c r="L414" s="52"/>
      <c r="N414" s="71"/>
      <c r="O414" s="72" t="s">
        <v>48</v>
      </c>
      <c r="P414" s="72">
        <v>31</v>
      </c>
      <c r="Q414" s="72">
        <v>0</v>
      </c>
      <c r="R414" s="72">
        <f t="shared" si="87"/>
        <v>13</v>
      </c>
      <c r="S414" s="63"/>
      <c r="T414" s="72" t="s">
        <v>48</v>
      </c>
      <c r="U414" s="105">
        <f>Y413</f>
        <v>1000</v>
      </c>
      <c r="V414" s="74">
        <v>3000</v>
      </c>
      <c r="W414" s="105">
        <f t="shared" si="88"/>
        <v>4000</v>
      </c>
      <c r="X414" s="74">
        <v>2000</v>
      </c>
      <c r="Y414" s="105">
        <f t="shared" si="89"/>
        <v>2000</v>
      </c>
      <c r="Z414" s="76"/>
    </row>
    <row r="415" spans="1:27" s="29" customFormat="1" ht="21" customHeight="1" x14ac:dyDescent="0.2">
      <c r="A415" s="30"/>
      <c r="B415" s="39"/>
      <c r="C415" s="39"/>
      <c r="F415" s="48" t="s">
        <v>20</v>
      </c>
      <c r="G415" s="109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3000</v>
      </c>
      <c r="H415" s="47"/>
      <c r="I415" s="84">
        <v>57</v>
      </c>
      <c r="J415" s="50" t="s">
        <v>62</v>
      </c>
      <c r="K415" s="43">
        <f>K410/$K$2/8*I415</f>
        <v>5745.9677419354839</v>
      </c>
      <c r="L415" s="54"/>
      <c r="N415" s="71"/>
      <c r="O415" s="72" t="s">
        <v>49</v>
      </c>
      <c r="P415" s="72"/>
      <c r="Q415" s="72"/>
      <c r="R415" s="72" t="str">
        <f t="shared" si="87"/>
        <v/>
      </c>
      <c r="S415" s="63"/>
      <c r="T415" s="72" t="s">
        <v>49</v>
      </c>
      <c r="U415" s="105"/>
      <c r="V415" s="74"/>
      <c r="W415" s="105" t="str">
        <f t="shared" si="88"/>
        <v/>
      </c>
      <c r="X415" s="74"/>
      <c r="Y415" s="105" t="str">
        <f t="shared" si="89"/>
        <v/>
      </c>
      <c r="Z415" s="76"/>
    </row>
    <row r="416" spans="1:27" s="29" customFormat="1" ht="2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31</v>
      </c>
      <c r="F416" s="48" t="s">
        <v>65</v>
      </c>
      <c r="G416" s="109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4000</v>
      </c>
      <c r="H416" s="47"/>
      <c r="I416" s="402" t="s">
        <v>69</v>
      </c>
      <c r="J416" s="403"/>
      <c r="K416" s="53">
        <f>K414+K415</f>
        <v>30745.967741935485</v>
      </c>
      <c r="L416" s="54"/>
      <c r="N416" s="71"/>
      <c r="O416" s="72" t="s">
        <v>50</v>
      </c>
      <c r="P416" s="72"/>
      <c r="Q416" s="72"/>
      <c r="R416" s="72" t="str">
        <f t="shared" si="87"/>
        <v/>
      </c>
      <c r="S416" s="63"/>
      <c r="T416" s="72" t="s">
        <v>50</v>
      </c>
      <c r="U416" s="105" t="str">
        <f>Y415</f>
        <v/>
      </c>
      <c r="V416" s="74"/>
      <c r="W416" s="105" t="str">
        <f t="shared" si="88"/>
        <v/>
      </c>
      <c r="X416" s="74"/>
      <c r="Y416" s="105" t="str">
        <f t="shared" si="89"/>
        <v/>
      </c>
      <c r="Z416" s="76"/>
    </row>
    <row r="417" spans="1:26" s="29" customFormat="1" ht="2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21</v>
      </c>
      <c r="G417" s="109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2000</v>
      </c>
      <c r="H417" s="47"/>
      <c r="I417" s="402" t="s">
        <v>70</v>
      </c>
      <c r="J417" s="403"/>
      <c r="K417" s="43">
        <f>G417</f>
        <v>2000</v>
      </c>
      <c r="L417" s="55"/>
      <c r="N417" s="71"/>
      <c r="O417" s="72" t="s">
        <v>51</v>
      </c>
      <c r="P417" s="72"/>
      <c r="Q417" s="72"/>
      <c r="R417" s="72" t="str">
        <f t="shared" si="87"/>
        <v/>
      </c>
      <c r="S417" s="63"/>
      <c r="T417" s="72" t="s">
        <v>51</v>
      </c>
      <c r="U417" s="105" t="str">
        <f>Y416</f>
        <v/>
      </c>
      <c r="V417" s="74"/>
      <c r="W417" s="105" t="str">
        <f t="shared" si="88"/>
        <v/>
      </c>
      <c r="X417" s="74"/>
      <c r="Y417" s="105" t="str">
        <f t="shared" si="89"/>
        <v/>
      </c>
      <c r="Z417" s="76"/>
    </row>
    <row r="418" spans="1:26" s="29" customFormat="1" ht="21" customHeight="1" x14ac:dyDescent="0.2">
      <c r="A418" s="30"/>
      <c r="B418" s="56" t="s">
        <v>68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13</v>
      </c>
      <c r="F418" s="48" t="s">
        <v>67</v>
      </c>
      <c r="G418" s="109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2000</v>
      </c>
      <c r="I418" s="391" t="s">
        <v>63</v>
      </c>
      <c r="J418" s="393"/>
      <c r="K418" s="57">
        <f>K416-K417</f>
        <v>28745.967741935485</v>
      </c>
      <c r="L418" s="58"/>
      <c r="N418" s="71"/>
      <c r="O418" s="72" t="s">
        <v>56</v>
      </c>
      <c r="P418" s="72"/>
      <c r="Q418" s="72"/>
      <c r="R418" s="72" t="str">
        <f t="shared" si="87"/>
        <v/>
      </c>
      <c r="S418" s="63"/>
      <c r="T418" s="72" t="s">
        <v>56</v>
      </c>
      <c r="U418" s="105" t="str">
        <f>Y417</f>
        <v/>
      </c>
      <c r="V418" s="74"/>
      <c r="W418" s="105" t="str">
        <f t="shared" si="88"/>
        <v/>
      </c>
      <c r="X418" s="74"/>
      <c r="Y418" s="105" t="str">
        <f t="shared" si="89"/>
        <v/>
      </c>
      <c r="Z418" s="76"/>
    </row>
    <row r="419" spans="1:26" s="29" customFormat="1" ht="21" customHeight="1" x14ac:dyDescent="0.2">
      <c r="A419" s="30"/>
      <c r="K419" s="107"/>
      <c r="L419" s="46"/>
      <c r="N419" s="71"/>
      <c r="O419" s="72" t="s">
        <v>52</v>
      </c>
      <c r="P419" s="72"/>
      <c r="Q419" s="72"/>
      <c r="R419" s="72" t="str">
        <f t="shared" si="87"/>
        <v/>
      </c>
      <c r="S419" s="63"/>
      <c r="T419" s="72" t="s">
        <v>52</v>
      </c>
      <c r="U419" s="105" t="str">
        <f>IF($J$1="September","",Y418)</f>
        <v/>
      </c>
      <c r="V419" s="74"/>
      <c r="W419" s="105" t="str">
        <f t="shared" si="88"/>
        <v/>
      </c>
      <c r="X419" s="74"/>
      <c r="Y419" s="105" t="str">
        <f t="shared" si="89"/>
        <v/>
      </c>
      <c r="Z419" s="76"/>
    </row>
    <row r="420" spans="1:26" s="29" customFormat="1" ht="21" customHeight="1" x14ac:dyDescent="0.2">
      <c r="A420" s="30"/>
      <c r="B420" s="404" t="s">
        <v>85</v>
      </c>
      <c r="C420" s="404"/>
      <c r="D420" s="404"/>
      <c r="E420" s="404"/>
      <c r="F420" s="404"/>
      <c r="G420" s="404"/>
      <c r="H420" s="404"/>
      <c r="I420" s="404"/>
      <c r="J420" s="404"/>
      <c r="K420" s="404"/>
      <c r="L420" s="46"/>
      <c r="N420" s="71"/>
      <c r="O420" s="72" t="s">
        <v>57</v>
      </c>
      <c r="P420" s="72"/>
      <c r="Q420" s="72"/>
      <c r="R420" s="72" t="str">
        <f t="shared" si="87"/>
        <v/>
      </c>
      <c r="S420" s="63"/>
      <c r="T420" s="72" t="s">
        <v>57</v>
      </c>
      <c r="U420" s="105" t="str">
        <f>IF($J$1="October","",Y419)</f>
        <v/>
      </c>
      <c r="V420" s="74"/>
      <c r="W420" s="105" t="str">
        <f t="shared" si="88"/>
        <v/>
      </c>
      <c r="X420" s="74"/>
      <c r="Y420" s="105" t="str">
        <f t="shared" si="89"/>
        <v/>
      </c>
      <c r="Z420" s="76"/>
    </row>
    <row r="421" spans="1:26" s="29" customFormat="1" ht="21" customHeight="1" x14ac:dyDescent="0.2">
      <c r="A421" s="30"/>
      <c r="B421" s="404"/>
      <c r="C421" s="404"/>
      <c r="D421" s="404"/>
      <c r="E421" s="404"/>
      <c r="F421" s="404"/>
      <c r="G421" s="404"/>
      <c r="H421" s="404"/>
      <c r="I421" s="404"/>
      <c r="J421" s="404"/>
      <c r="K421" s="404"/>
      <c r="L421" s="46"/>
      <c r="N421" s="71"/>
      <c r="O421" s="72" t="s">
        <v>58</v>
      </c>
      <c r="P421" s="72"/>
      <c r="Q421" s="72"/>
      <c r="R421" s="72" t="str">
        <f t="shared" si="87"/>
        <v/>
      </c>
      <c r="S421" s="63"/>
      <c r="T421" s="72" t="s">
        <v>58</v>
      </c>
      <c r="U421" s="105" t="str">
        <f>IF($J$1="November","",Y420)</f>
        <v/>
      </c>
      <c r="V421" s="74"/>
      <c r="W421" s="105" t="str">
        <f t="shared" si="88"/>
        <v/>
      </c>
      <c r="X421" s="74"/>
      <c r="Y421" s="105" t="str">
        <f t="shared" si="89"/>
        <v/>
      </c>
      <c r="Z421" s="76"/>
    </row>
    <row r="422" spans="1:26" s="29" customFormat="1" ht="2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9"/>
    </row>
    <row r="423" spans="1:26" s="29" customFormat="1" ht="21.4" customHeight="1" thickBot="1" x14ac:dyDescent="0.25"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s="29" customFormat="1" ht="21.4" customHeight="1" x14ac:dyDescent="0.2">
      <c r="A424" s="408" t="s">
        <v>40</v>
      </c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10"/>
      <c r="M424" s="28"/>
      <c r="N424" s="64"/>
      <c r="O424" s="405" t="s">
        <v>42</v>
      </c>
      <c r="P424" s="406"/>
      <c r="Q424" s="406"/>
      <c r="R424" s="407"/>
      <c r="S424" s="65"/>
      <c r="T424" s="405" t="s">
        <v>43</v>
      </c>
      <c r="U424" s="406"/>
      <c r="V424" s="406"/>
      <c r="W424" s="406"/>
      <c r="X424" s="406"/>
      <c r="Y424" s="407"/>
      <c r="Z424" s="66"/>
    </row>
    <row r="425" spans="1:26" s="29" customFormat="1" ht="21.4" customHeight="1" x14ac:dyDescent="0.2">
      <c r="A425" s="30"/>
      <c r="C425" s="395" t="s">
        <v>83</v>
      </c>
      <c r="D425" s="395"/>
      <c r="E425" s="395"/>
      <c r="F425" s="395"/>
      <c r="G425" s="31" t="str">
        <f>$J$1</f>
        <v>May</v>
      </c>
      <c r="H425" s="394">
        <f>$K$1</f>
        <v>2023</v>
      </c>
      <c r="I425" s="394"/>
      <c r="K425" s="32"/>
      <c r="L425" s="33"/>
      <c r="M425" s="32"/>
      <c r="N425" s="67"/>
      <c r="O425" s="68" t="s">
        <v>53</v>
      </c>
      <c r="P425" s="68" t="s">
        <v>7</v>
      </c>
      <c r="Q425" s="68" t="s">
        <v>6</v>
      </c>
      <c r="R425" s="68" t="s">
        <v>54</v>
      </c>
      <c r="S425" s="69"/>
      <c r="T425" s="68" t="s">
        <v>53</v>
      </c>
      <c r="U425" s="68" t="s">
        <v>55</v>
      </c>
      <c r="V425" s="68" t="s">
        <v>20</v>
      </c>
      <c r="W425" s="68" t="s">
        <v>19</v>
      </c>
      <c r="X425" s="68" t="s">
        <v>21</v>
      </c>
      <c r="Y425" s="68" t="s">
        <v>59</v>
      </c>
      <c r="Z425" s="70"/>
    </row>
    <row r="426" spans="1:26" s="29" customFormat="1" ht="21.4" customHeight="1" x14ac:dyDescent="0.2">
      <c r="A426" s="30"/>
      <c r="D426" s="35"/>
      <c r="E426" s="35"/>
      <c r="F426" s="35"/>
      <c r="G426" s="35"/>
      <c r="H426" s="35"/>
      <c r="J426" s="36" t="s">
        <v>1</v>
      </c>
      <c r="K426" s="37">
        <v>30000</v>
      </c>
      <c r="L426" s="38"/>
      <c r="N426" s="71"/>
      <c r="O426" s="72" t="s">
        <v>45</v>
      </c>
      <c r="P426" s="72"/>
      <c r="Q426" s="72"/>
      <c r="R426" s="72"/>
      <c r="S426" s="73"/>
      <c r="T426" s="72" t="s">
        <v>45</v>
      </c>
      <c r="U426" s="74"/>
      <c r="V426" s="74"/>
      <c r="W426" s="74">
        <f>V426+U426</f>
        <v>0</v>
      </c>
      <c r="X426" s="74"/>
      <c r="Y426" s="74">
        <f>W426-X426</f>
        <v>0</v>
      </c>
      <c r="Z426" s="70"/>
    </row>
    <row r="427" spans="1:26" s="29" customFormat="1" ht="21.4" customHeight="1" x14ac:dyDescent="0.2">
      <c r="A427" s="30"/>
      <c r="B427" s="29" t="s">
        <v>0</v>
      </c>
      <c r="C427" s="40" t="s">
        <v>223</v>
      </c>
      <c r="H427" s="41"/>
      <c r="I427" s="35"/>
      <c r="L427" s="42"/>
      <c r="M427" s="28"/>
      <c r="N427" s="75"/>
      <c r="O427" s="72" t="s">
        <v>71</v>
      </c>
      <c r="P427" s="72"/>
      <c r="Q427" s="72"/>
      <c r="R427" s="72" t="str">
        <f>IF(Q427="","",R426-Q427)</f>
        <v/>
      </c>
      <c r="S427" s="63"/>
      <c r="T427" s="72" t="s">
        <v>71</v>
      </c>
      <c r="U427" s="105">
        <f>IF($J$1="January","",Y426)</f>
        <v>0</v>
      </c>
      <c r="V427" s="74"/>
      <c r="W427" s="105">
        <f>IF(U427="","",U427+V427)</f>
        <v>0</v>
      </c>
      <c r="X427" s="74"/>
      <c r="Y427" s="105">
        <f>IF(W427="","",W427-X427)</f>
        <v>0</v>
      </c>
      <c r="Z427" s="76"/>
    </row>
    <row r="428" spans="1:26" s="29" customFormat="1" ht="21.4" customHeight="1" x14ac:dyDescent="0.2">
      <c r="A428" s="30"/>
      <c r="B428" s="44" t="s">
        <v>41</v>
      </c>
      <c r="C428" s="40"/>
      <c r="F428" s="411" t="s">
        <v>43</v>
      </c>
      <c r="G428" s="411"/>
      <c r="I428" s="411" t="s">
        <v>44</v>
      </c>
      <c r="J428" s="411"/>
      <c r="K428" s="411"/>
      <c r="L428" s="46"/>
      <c r="N428" s="71"/>
      <c r="O428" s="72" t="s">
        <v>46</v>
      </c>
      <c r="P428" s="72"/>
      <c r="Q428" s="72"/>
      <c r="R428" s="72" t="str">
        <f t="shared" ref="R428:R434" si="90">IF(Q428="","",R427-Q428)</f>
        <v/>
      </c>
      <c r="S428" s="63"/>
      <c r="T428" s="72" t="s">
        <v>46</v>
      </c>
      <c r="U428" s="105">
        <f>IF($J$1="February","",Y427)</f>
        <v>0</v>
      </c>
      <c r="V428" s="74"/>
      <c r="W428" s="105">
        <f t="shared" ref="W428:W437" si="91">IF(U428="","",U428+V428)</f>
        <v>0</v>
      </c>
      <c r="X428" s="74"/>
      <c r="Y428" s="105">
        <f t="shared" ref="Y428:Y437" si="92">IF(W428="","",W428-X428)</f>
        <v>0</v>
      </c>
      <c r="Z428" s="76"/>
    </row>
    <row r="429" spans="1:26" s="29" customFormat="1" ht="21.4" customHeight="1" x14ac:dyDescent="0.2">
      <c r="A429" s="30"/>
      <c r="H429" s="47"/>
      <c r="L429" s="34"/>
      <c r="N429" s="71"/>
      <c r="O429" s="72" t="s">
        <v>47</v>
      </c>
      <c r="P429" s="72"/>
      <c r="Q429" s="72"/>
      <c r="R429" s="72" t="str">
        <f t="shared" si="90"/>
        <v/>
      </c>
      <c r="S429" s="63"/>
      <c r="T429" s="72" t="s">
        <v>47</v>
      </c>
      <c r="U429" s="105">
        <f>IF($J$1="March","",Y428)</f>
        <v>0</v>
      </c>
      <c r="V429" s="74"/>
      <c r="W429" s="105">
        <f t="shared" si="91"/>
        <v>0</v>
      </c>
      <c r="X429" s="74"/>
      <c r="Y429" s="105">
        <f t="shared" si="92"/>
        <v>0</v>
      </c>
      <c r="Z429" s="76"/>
    </row>
    <row r="430" spans="1:26" s="29" customFormat="1" ht="21.4" customHeight="1" x14ac:dyDescent="0.2">
      <c r="A430" s="30"/>
      <c r="B430" s="389" t="s">
        <v>42</v>
      </c>
      <c r="C430" s="390"/>
      <c r="F430" s="48" t="s">
        <v>64</v>
      </c>
      <c r="G430" s="43">
        <f>IF($J$1="January",U426,IF($J$1="February",U427,IF($J$1="March",U428,IF($J$1="April",U429,IF($J$1="May",U430,IF($J$1="June",U431,IF($J$1="July",U432,IF($J$1="August",U433,IF($J$1="August",U433,IF($J$1="September",U434,IF($J$1="October",U435,IF($J$1="November",U436,IF($J$1="December",U437)))))))))))))</f>
        <v>0</v>
      </c>
      <c r="H430" s="47"/>
      <c r="I430" s="49">
        <f>IF(C434&gt;0,$K$2,C432)</f>
        <v>30</v>
      </c>
      <c r="J430" s="50" t="s">
        <v>61</v>
      </c>
      <c r="K430" s="51">
        <f>K426/$K$2*I430</f>
        <v>29032.258064516129</v>
      </c>
      <c r="L430" s="52"/>
      <c r="N430" s="71"/>
      <c r="O430" s="72" t="s">
        <v>48</v>
      </c>
      <c r="P430" s="72">
        <v>30</v>
      </c>
      <c r="Q430" s="72">
        <v>1</v>
      </c>
      <c r="R430" s="72">
        <v>0</v>
      </c>
      <c r="S430" s="63"/>
      <c r="T430" s="72" t="s">
        <v>48</v>
      </c>
      <c r="U430" s="105">
        <f>Y429</f>
        <v>0</v>
      </c>
      <c r="V430" s="74">
        <f>5000+4000</f>
        <v>9000</v>
      </c>
      <c r="W430" s="105">
        <f t="shared" si="91"/>
        <v>9000</v>
      </c>
      <c r="X430" s="74">
        <v>3000</v>
      </c>
      <c r="Y430" s="105">
        <f t="shared" si="92"/>
        <v>6000</v>
      </c>
      <c r="Z430" s="76"/>
    </row>
    <row r="431" spans="1:26" s="29" customFormat="1" ht="21.4" customHeight="1" x14ac:dyDescent="0.2">
      <c r="A431" s="30"/>
      <c r="B431" s="39"/>
      <c r="C431" s="39"/>
      <c r="F431" s="48" t="s">
        <v>20</v>
      </c>
      <c r="G431" s="43">
        <f>IF($J$1="January",V426,IF($J$1="February",V427,IF($J$1="March",V428,IF($J$1="April",V429,IF($J$1="May",V430,IF($J$1="June",V431,IF($J$1="July",V432,IF($J$1="August",V433,IF($J$1="August",V433,IF($J$1="September",V434,IF($J$1="October",V435,IF($J$1="November",V436,IF($J$1="December",V437)))))))))))))</f>
        <v>9000</v>
      </c>
      <c r="H431" s="47"/>
      <c r="I431" s="84">
        <v>63</v>
      </c>
      <c r="J431" s="50" t="s">
        <v>62</v>
      </c>
      <c r="K431" s="53">
        <f>K426/$K$2/8*I431</f>
        <v>7620.9677419354839</v>
      </c>
      <c r="L431" s="54"/>
      <c r="N431" s="71"/>
      <c r="O431" s="72" t="s">
        <v>49</v>
      </c>
      <c r="P431" s="72"/>
      <c r="Q431" s="72"/>
      <c r="R431" s="72" t="str">
        <f t="shared" si="90"/>
        <v/>
      </c>
      <c r="S431" s="63"/>
      <c r="T431" s="72" t="s">
        <v>49</v>
      </c>
      <c r="U431" s="105"/>
      <c r="V431" s="74"/>
      <c r="W431" s="105" t="str">
        <f t="shared" si="91"/>
        <v/>
      </c>
      <c r="X431" s="74"/>
      <c r="Y431" s="105" t="str">
        <f t="shared" si="92"/>
        <v/>
      </c>
      <c r="Z431" s="76"/>
    </row>
    <row r="432" spans="1:26" s="29" customFormat="1" ht="21.4" customHeight="1" x14ac:dyDescent="0.2">
      <c r="A432" s="30"/>
      <c r="B432" s="48" t="s">
        <v>7</v>
      </c>
      <c r="C432" s="39">
        <f>IF($J$1="January",P426,IF($J$1="February",P427,IF($J$1="March",P428,IF($J$1="April",P429,IF($J$1="May",P430,IF($J$1="June",P431,IF($J$1="July",P432,IF($J$1="August",P433,IF($J$1="August",P433,IF($J$1="September",P434,IF($J$1="October",P435,IF($J$1="November",P436,IF($J$1="December",P437)))))))))))))</f>
        <v>30</v>
      </c>
      <c r="F432" s="48" t="s">
        <v>65</v>
      </c>
      <c r="G432" s="43">
        <f>IF($J$1="January",W426,IF($J$1="February",W427,IF($J$1="March",W428,IF($J$1="April",W429,IF($J$1="May",W430,IF($J$1="June",W431,IF($J$1="July",W432,IF($J$1="August",W433,IF($J$1="August",W433,IF($J$1="September",W434,IF($J$1="October",W435,IF($J$1="November",W436,IF($J$1="December",W437)))))))))))))</f>
        <v>9000</v>
      </c>
      <c r="H432" s="47"/>
      <c r="I432" s="402" t="s">
        <v>69</v>
      </c>
      <c r="J432" s="403"/>
      <c r="K432" s="53">
        <f>K430+K431</f>
        <v>36653.225806451614</v>
      </c>
      <c r="L432" s="54"/>
      <c r="N432" s="71"/>
      <c r="O432" s="72" t="s">
        <v>50</v>
      </c>
      <c r="P432" s="72"/>
      <c r="Q432" s="72"/>
      <c r="R432" s="72" t="str">
        <f t="shared" si="90"/>
        <v/>
      </c>
      <c r="S432" s="63"/>
      <c r="T432" s="72" t="s">
        <v>50</v>
      </c>
      <c r="U432" s="105" t="str">
        <f>Y431</f>
        <v/>
      </c>
      <c r="V432" s="74"/>
      <c r="W432" s="105" t="str">
        <f t="shared" si="91"/>
        <v/>
      </c>
      <c r="X432" s="74"/>
      <c r="Y432" s="105" t="str">
        <f t="shared" si="92"/>
        <v/>
      </c>
      <c r="Z432" s="76"/>
    </row>
    <row r="433" spans="1:29" s="29" customFormat="1" ht="21.4" customHeight="1" x14ac:dyDescent="0.2">
      <c r="A433" s="30"/>
      <c r="B433" s="48" t="s">
        <v>6</v>
      </c>
      <c r="C433" s="39">
        <f>IF($J$1="January",Q426,IF($J$1="February",Q427,IF($J$1="March",Q428,IF($J$1="April",Q429,IF($J$1="May",Q430,IF($J$1="June",Q431,IF($J$1="July",Q432,IF($J$1="August",Q433,IF($J$1="August",Q433,IF($J$1="September",Q434,IF($J$1="October",Q435,IF($J$1="November",Q436,IF($J$1="December",Q437)))))))))))))</f>
        <v>1</v>
      </c>
      <c r="F433" s="48" t="s">
        <v>21</v>
      </c>
      <c r="G433" s="43">
        <f>IF($J$1="January",X426,IF($J$1="February",X427,IF($J$1="March",X428,IF($J$1="April",X429,IF($J$1="May",X430,IF($J$1="June",X431,IF($J$1="July",X432,IF($J$1="August",X433,IF($J$1="August",X433,IF($J$1="September",X434,IF($J$1="October",X435,IF($J$1="November",X436,IF($J$1="December",X437)))))))))))))</f>
        <v>3000</v>
      </c>
      <c r="H433" s="47"/>
      <c r="I433" s="402" t="s">
        <v>70</v>
      </c>
      <c r="J433" s="403"/>
      <c r="K433" s="43">
        <f>G433</f>
        <v>3000</v>
      </c>
      <c r="L433" s="55"/>
      <c r="N433" s="71"/>
      <c r="O433" s="72" t="s">
        <v>51</v>
      </c>
      <c r="P433" s="72"/>
      <c r="Q433" s="72"/>
      <c r="R433" s="72" t="str">
        <f t="shared" si="90"/>
        <v/>
      </c>
      <c r="S433" s="63"/>
      <c r="T433" s="72" t="s">
        <v>51</v>
      </c>
      <c r="U433" s="105">
        <v>0</v>
      </c>
      <c r="V433" s="74"/>
      <c r="W433" s="105">
        <f t="shared" si="91"/>
        <v>0</v>
      </c>
      <c r="X433" s="74"/>
      <c r="Y433" s="105">
        <f t="shared" si="92"/>
        <v>0</v>
      </c>
      <c r="Z433" s="76"/>
      <c r="AC433" s="107"/>
    </row>
    <row r="434" spans="1:29" s="29" customFormat="1" ht="21.4" customHeight="1" x14ac:dyDescent="0.2">
      <c r="A434" s="30"/>
      <c r="B434" s="56" t="s">
        <v>68</v>
      </c>
      <c r="C434" s="39">
        <f>IF($J$1="January",R426,IF($J$1="February",R427,IF($J$1="March",R428,IF($J$1="April",R429,IF($J$1="May",R430,IF($J$1="June",R431,IF($J$1="July",R432,IF($J$1="August",R433,IF($J$1="August",R433,IF($J$1="September",R434,IF($J$1="October",R435,IF($J$1="November",R436,IF($J$1="December",R437)))))))))))))</f>
        <v>0</v>
      </c>
      <c r="F434" s="48" t="s">
        <v>67</v>
      </c>
      <c r="G434" s="43">
        <f>IF($J$1="January",Y426,IF($J$1="February",Y427,IF($J$1="March",Y428,IF($J$1="April",Y429,IF($J$1="May",Y430,IF($J$1="June",Y431,IF($J$1="July",Y432,IF($J$1="August",Y433,IF($J$1="August",Y433,IF($J$1="September",Y434,IF($J$1="October",Y435,IF($J$1="November",Y436,IF($J$1="December",Y437)))))))))))))</f>
        <v>6000</v>
      </c>
      <c r="I434" s="391" t="s">
        <v>63</v>
      </c>
      <c r="J434" s="393"/>
      <c r="K434" s="57">
        <f>K432-K433</f>
        <v>33653.225806451614</v>
      </c>
      <c r="L434" s="58"/>
      <c r="N434" s="71"/>
      <c r="O434" s="72" t="s">
        <v>56</v>
      </c>
      <c r="P434" s="72"/>
      <c r="Q434" s="72"/>
      <c r="R434" s="72" t="str">
        <f t="shared" si="90"/>
        <v/>
      </c>
      <c r="S434" s="63"/>
      <c r="T434" s="72" t="s">
        <v>56</v>
      </c>
      <c r="U434" s="105">
        <f>IF($J$1="August","",Y433)</f>
        <v>0</v>
      </c>
      <c r="V434" s="74"/>
      <c r="W434" s="105">
        <f t="shared" si="91"/>
        <v>0</v>
      </c>
      <c r="X434" s="74"/>
      <c r="Y434" s="105">
        <f t="shared" si="92"/>
        <v>0</v>
      </c>
      <c r="Z434" s="76"/>
    </row>
    <row r="435" spans="1:29" s="29" customFormat="1" ht="21.4" customHeight="1" x14ac:dyDescent="0.2">
      <c r="A435" s="30"/>
      <c r="J435" s="107"/>
      <c r="L435" s="46"/>
      <c r="N435" s="71"/>
      <c r="O435" s="72" t="s">
        <v>52</v>
      </c>
      <c r="P435" s="72"/>
      <c r="Q435" s="72"/>
      <c r="R435" s="72">
        <v>0</v>
      </c>
      <c r="S435" s="63"/>
      <c r="T435" s="72" t="s">
        <v>52</v>
      </c>
      <c r="U435" s="105">
        <f>IF($J$1="September","",Y434)</f>
        <v>0</v>
      </c>
      <c r="V435" s="74"/>
      <c r="W435" s="105">
        <f t="shared" si="91"/>
        <v>0</v>
      </c>
      <c r="X435" s="74"/>
      <c r="Y435" s="105">
        <f t="shared" si="92"/>
        <v>0</v>
      </c>
      <c r="Z435" s="76"/>
    </row>
    <row r="436" spans="1:29" s="29" customFormat="1" ht="21.4" customHeight="1" x14ac:dyDescent="0.2">
      <c r="A436" s="30"/>
      <c r="B436" s="451"/>
      <c r="C436" s="451"/>
      <c r="D436" s="451"/>
      <c r="E436" s="451"/>
      <c r="F436" s="451"/>
      <c r="G436" s="451"/>
      <c r="H436" s="451"/>
      <c r="I436" s="451"/>
      <c r="J436" s="451"/>
      <c r="K436" s="451"/>
      <c r="L436" s="46"/>
      <c r="N436" s="71"/>
      <c r="O436" s="72" t="s">
        <v>57</v>
      </c>
      <c r="P436" s="72"/>
      <c r="Q436" s="72"/>
      <c r="R436" s="72">
        <v>0</v>
      </c>
      <c r="S436" s="63"/>
      <c r="T436" s="72" t="s">
        <v>57</v>
      </c>
      <c r="U436" s="105">
        <f>IF($J$1="October","",Y435)</f>
        <v>0</v>
      </c>
      <c r="V436" s="74"/>
      <c r="W436" s="105">
        <f t="shared" si="91"/>
        <v>0</v>
      </c>
      <c r="X436" s="74"/>
      <c r="Y436" s="105">
        <f t="shared" si="92"/>
        <v>0</v>
      </c>
      <c r="Z436" s="76"/>
    </row>
    <row r="437" spans="1:29" s="29" customFormat="1" ht="21.4" customHeight="1" x14ac:dyDescent="0.2">
      <c r="A437" s="30"/>
      <c r="B437" s="451"/>
      <c r="C437" s="451"/>
      <c r="D437" s="451"/>
      <c r="E437" s="451"/>
      <c r="F437" s="451"/>
      <c r="G437" s="451"/>
      <c r="H437" s="451"/>
      <c r="I437" s="451"/>
      <c r="J437" s="451"/>
      <c r="K437" s="451"/>
      <c r="L437" s="46"/>
      <c r="N437" s="71"/>
      <c r="O437" s="72" t="s">
        <v>58</v>
      </c>
      <c r="P437" s="72"/>
      <c r="Q437" s="72"/>
      <c r="R437" s="72">
        <v>0</v>
      </c>
      <c r="S437" s="63"/>
      <c r="T437" s="72" t="s">
        <v>58</v>
      </c>
      <c r="U437" s="105">
        <f>IF($J$1="November","",Y436)</f>
        <v>0</v>
      </c>
      <c r="V437" s="74"/>
      <c r="W437" s="105">
        <f t="shared" si="91"/>
        <v>0</v>
      </c>
      <c r="X437" s="74"/>
      <c r="Y437" s="105">
        <f t="shared" si="92"/>
        <v>0</v>
      </c>
      <c r="Z437" s="76"/>
    </row>
    <row r="438" spans="1:29" s="29" customFormat="1" ht="21.4" customHeight="1" thickBot="1" x14ac:dyDescent="0.25">
      <c r="A438" s="5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1"/>
      <c r="N438" s="77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9"/>
    </row>
    <row r="439" spans="1:29" s="29" customFormat="1" ht="21.4" customHeight="1" thickBot="1" x14ac:dyDescent="0.25">
      <c r="A439" s="30"/>
      <c r="L439" s="46"/>
      <c r="N439" s="71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85"/>
    </row>
    <row r="440" spans="1:29" s="29" customFormat="1" ht="21" customHeight="1" x14ac:dyDescent="0.2">
      <c r="A440" s="408" t="s">
        <v>40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10"/>
      <c r="M440" s="28"/>
      <c r="N440" s="64"/>
      <c r="O440" s="405" t="s">
        <v>42</v>
      </c>
      <c r="P440" s="406"/>
      <c r="Q440" s="406"/>
      <c r="R440" s="407"/>
      <c r="S440" s="65"/>
      <c r="T440" s="405" t="s">
        <v>43</v>
      </c>
      <c r="U440" s="406"/>
      <c r="V440" s="406"/>
      <c r="W440" s="406"/>
      <c r="X440" s="406"/>
      <c r="Y440" s="407"/>
      <c r="Z440" s="66"/>
      <c r="AA440" s="28"/>
    </row>
    <row r="441" spans="1:29" s="29" customFormat="1" ht="21" customHeight="1" x14ac:dyDescent="0.2">
      <c r="A441" s="30"/>
      <c r="C441" s="395" t="s">
        <v>83</v>
      </c>
      <c r="D441" s="395"/>
      <c r="E441" s="395"/>
      <c r="F441" s="395"/>
      <c r="G441" s="31" t="str">
        <f>$J$1</f>
        <v>May</v>
      </c>
      <c r="H441" s="394">
        <f>$K$1</f>
        <v>2023</v>
      </c>
      <c r="I441" s="394"/>
      <c r="K441" s="32"/>
      <c r="L441" s="33"/>
      <c r="M441" s="32"/>
      <c r="N441" s="67"/>
      <c r="O441" s="68" t="s">
        <v>53</v>
      </c>
      <c r="P441" s="68" t="s">
        <v>7</v>
      </c>
      <c r="Q441" s="68" t="s">
        <v>6</v>
      </c>
      <c r="R441" s="68" t="s">
        <v>54</v>
      </c>
      <c r="S441" s="69"/>
      <c r="T441" s="68" t="s">
        <v>53</v>
      </c>
      <c r="U441" s="68" t="s">
        <v>55</v>
      </c>
      <c r="V441" s="68" t="s">
        <v>20</v>
      </c>
      <c r="W441" s="68" t="s">
        <v>19</v>
      </c>
      <c r="X441" s="68" t="s">
        <v>21</v>
      </c>
      <c r="Y441" s="68" t="s">
        <v>59</v>
      </c>
      <c r="Z441" s="70"/>
      <c r="AA441" s="32"/>
    </row>
    <row r="442" spans="1:29" s="29" customFormat="1" ht="21" customHeight="1" x14ac:dyDescent="0.2">
      <c r="A442" s="30"/>
      <c r="D442" s="35"/>
      <c r="E442" s="35"/>
      <c r="F442" s="35"/>
      <c r="G442" s="35"/>
      <c r="H442" s="35"/>
      <c r="J442" s="36" t="s">
        <v>1</v>
      </c>
      <c r="K442" s="122">
        <f>20000+2500+2000</f>
        <v>24500</v>
      </c>
      <c r="L442" s="38"/>
      <c r="N442" s="71"/>
      <c r="O442" s="72" t="s">
        <v>45</v>
      </c>
      <c r="P442" s="72">
        <v>31</v>
      </c>
      <c r="Q442" s="72">
        <v>0</v>
      </c>
      <c r="R442" s="72">
        <v>0</v>
      </c>
      <c r="S442" s="73"/>
      <c r="T442" s="72" t="s">
        <v>45</v>
      </c>
      <c r="U442" s="74"/>
      <c r="V442" s="74"/>
      <c r="W442" s="74">
        <f>V442+U442</f>
        <v>0</v>
      </c>
      <c r="X442" s="74"/>
      <c r="Y442" s="74">
        <f>W442-X442</f>
        <v>0</v>
      </c>
      <c r="Z442" s="70"/>
    </row>
    <row r="443" spans="1:29" s="29" customFormat="1" ht="21" customHeight="1" x14ac:dyDescent="0.2">
      <c r="A443" s="30"/>
      <c r="B443" s="29" t="s">
        <v>0</v>
      </c>
      <c r="C443" s="40" t="s">
        <v>133</v>
      </c>
      <c r="H443" s="41"/>
      <c r="I443" s="35"/>
      <c r="L443" s="42"/>
      <c r="M443" s="28"/>
      <c r="N443" s="75"/>
      <c r="O443" s="72" t="s">
        <v>71</v>
      </c>
      <c r="P443" s="72">
        <v>28</v>
      </c>
      <c r="Q443" s="72">
        <v>0</v>
      </c>
      <c r="R443" s="72">
        <f>IF(Q443="","",R442-Q443)</f>
        <v>0</v>
      </c>
      <c r="S443" s="63"/>
      <c r="T443" s="72" t="s">
        <v>71</v>
      </c>
      <c r="U443" s="105">
        <f>IF($J$1="January","",Y442)</f>
        <v>0</v>
      </c>
      <c r="V443" s="74"/>
      <c r="W443" s="105">
        <f>IF(U443="","",U443+V443)</f>
        <v>0</v>
      </c>
      <c r="X443" s="74"/>
      <c r="Y443" s="105">
        <f>IF(W443="","",W443-X443)</f>
        <v>0</v>
      </c>
      <c r="Z443" s="76"/>
      <c r="AA443" s="28"/>
    </row>
    <row r="444" spans="1:29" s="29" customFormat="1" ht="21" customHeight="1" x14ac:dyDescent="0.2">
      <c r="A444" s="30"/>
      <c r="B444" s="44" t="s">
        <v>41</v>
      </c>
      <c r="C444" s="45"/>
      <c r="F444" s="411" t="s">
        <v>43</v>
      </c>
      <c r="G444" s="411"/>
      <c r="I444" s="411" t="s">
        <v>44</v>
      </c>
      <c r="J444" s="411"/>
      <c r="K444" s="411"/>
      <c r="L444" s="46"/>
      <c r="N444" s="71"/>
      <c r="O444" s="72" t="s">
        <v>46</v>
      </c>
      <c r="P444" s="72">
        <v>31</v>
      </c>
      <c r="Q444" s="72">
        <v>0</v>
      </c>
      <c r="R444" s="72">
        <v>0</v>
      </c>
      <c r="S444" s="63"/>
      <c r="T444" s="72" t="s">
        <v>46</v>
      </c>
      <c r="U444" s="105">
        <f>IF($J$1="February","",Y443)</f>
        <v>0</v>
      </c>
      <c r="V444" s="74"/>
      <c r="W444" s="105">
        <f t="shared" ref="W444:W453" si="93">IF(U444="","",U444+V444)</f>
        <v>0</v>
      </c>
      <c r="X444" s="74"/>
      <c r="Y444" s="105">
        <f t="shared" ref="Y444:Y453" si="94">IF(W444="","",W444-X444)</f>
        <v>0</v>
      </c>
      <c r="Z444" s="76"/>
    </row>
    <row r="445" spans="1:29" s="29" customFormat="1" ht="21" customHeight="1" x14ac:dyDescent="0.2">
      <c r="A445" s="30"/>
      <c r="H445" s="47"/>
      <c r="L445" s="34"/>
      <c r="N445" s="71"/>
      <c r="O445" s="72" t="s">
        <v>47</v>
      </c>
      <c r="P445" s="72">
        <v>30</v>
      </c>
      <c r="Q445" s="72">
        <v>0</v>
      </c>
      <c r="R445" s="72">
        <v>0</v>
      </c>
      <c r="S445" s="63"/>
      <c r="T445" s="72" t="s">
        <v>47</v>
      </c>
      <c r="U445" s="105">
        <f>IF($J$1="March","",Y444)</f>
        <v>0</v>
      </c>
      <c r="V445" s="74"/>
      <c r="W445" s="105">
        <f t="shared" si="93"/>
        <v>0</v>
      </c>
      <c r="X445" s="74"/>
      <c r="Y445" s="105">
        <f t="shared" si="94"/>
        <v>0</v>
      </c>
      <c r="Z445" s="76"/>
    </row>
    <row r="446" spans="1:29" s="29" customFormat="1" ht="21" customHeight="1" x14ac:dyDescent="0.2">
      <c r="A446" s="30"/>
      <c r="B446" s="389" t="s">
        <v>42</v>
      </c>
      <c r="C446" s="390"/>
      <c r="F446" s="48" t="s">
        <v>64</v>
      </c>
      <c r="G446" s="43">
        <f>IF($J$1="January",U442,IF($J$1="February",U443,IF($J$1="March",U444,IF($J$1="April",U445,IF($J$1="May",U446,IF($J$1="June",U447,IF($J$1="July",U448,IF($J$1="August",U449,IF($J$1="August",U449,IF($J$1="September",U450,IF($J$1="October",U451,IF($J$1="November",U452,IF($J$1="December",U453)))))))))))))</f>
        <v>0</v>
      </c>
      <c r="H446" s="47"/>
      <c r="I446" s="49">
        <f>IF(C450&gt;0,$K$2,C448)</f>
        <v>31</v>
      </c>
      <c r="J446" s="50" t="s">
        <v>61</v>
      </c>
      <c r="K446" s="51">
        <f>K442/$K$2*I446</f>
        <v>24500</v>
      </c>
      <c r="L446" s="52"/>
      <c r="N446" s="71"/>
      <c r="O446" s="72" t="s">
        <v>48</v>
      </c>
      <c r="P446" s="72">
        <v>31</v>
      </c>
      <c r="Q446" s="72">
        <v>0</v>
      </c>
      <c r="R446" s="72">
        <v>0</v>
      </c>
      <c r="S446" s="63"/>
      <c r="T446" s="72" t="s">
        <v>48</v>
      </c>
      <c r="U446" s="105">
        <f>IF($J$1="April","",Y445)</f>
        <v>0</v>
      </c>
      <c r="V446" s="74"/>
      <c r="W446" s="105">
        <f t="shared" si="93"/>
        <v>0</v>
      </c>
      <c r="X446" s="74"/>
      <c r="Y446" s="105">
        <f t="shared" si="94"/>
        <v>0</v>
      </c>
      <c r="Z446" s="76"/>
    </row>
    <row r="447" spans="1:29" s="29" customFormat="1" ht="21" customHeight="1" x14ac:dyDescent="0.2">
      <c r="A447" s="30"/>
      <c r="B447" s="39"/>
      <c r="C447" s="39"/>
      <c r="F447" s="48" t="s">
        <v>20</v>
      </c>
      <c r="G447" s="43">
        <f>IF($J$1="January",V442,IF($J$1="February",V443,IF($J$1="March",V444,IF($J$1="April",V445,IF($J$1="May",V446,IF($J$1="June",V447,IF($J$1="July",V448,IF($J$1="August",V449,IF($J$1="August",V449,IF($J$1="September",V450,IF($J$1="October",V451,IF($J$1="November",V452,IF($J$1="December",V453)))))))))))))</f>
        <v>0</v>
      </c>
      <c r="H447" s="47"/>
      <c r="I447" s="84">
        <v>65</v>
      </c>
      <c r="J447" s="50" t="s">
        <v>62</v>
      </c>
      <c r="K447" s="53">
        <f>K442/$K$2/8*I447</f>
        <v>6421.3709677419356</v>
      </c>
      <c r="L447" s="54"/>
      <c r="N447" s="71"/>
      <c r="O447" s="72" t="s">
        <v>49</v>
      </c>
      <c r="P447" s="72"/>
      <c r="Q447" s="72"/>
      <c r="R447" s="72">
        <v>0</v>
      </c>
      <c r="S447" s="63"/>
      <c r="T447" s="72" t="s">
        <v>49</v>
      </c>
      <c r="U447" s="105" t="str">
        <f>IF($J$1="May","",Y446)</f>
        <v/>
      </c>
      <c r="V447" s="74"/>
      <c r="W447" s="105" t="str">
        <f t="shared" si="93"/>
        <v/>
      </c>
      <c r="X447" s="74"/>
      <c r="Y447" s="105" t="str">
        <f t="shared" si="94"/>
        <v/>
      </c>
      <c r="Z447" s="76"/>
    </row>
    <row r="448" spans="1:29" s="29" customFormat="1" ht="21" customHeight="1" x14ac:dyDescent="0.2">
      <c r="A448" s="30"/>
      <c r="B448" s="48" t="s">
        <v>7</v>
      </c>
      <c r="C448" s="39">
        <f>IF($J$1="January",P442,IF($J$1="February",P443,IF($J$1="March",P444,IF($J$1="April",P445,IF($J$1="May",P446,IF($J$1="June",P447,IF($J$1="July",P448,IF($J$1="August",P449,IF($J$1="August",P449,IF($J$1="September",P450,IF($J$1="October",P451,IF($J$1="November",P452,IF($J$1="December",P453)))))))))))))</f>
        <v>31</v>
      </c>
      <c r="F448" s="48" t="s">
        <v>65</v>
      </c>
      <c r="G448" s="43">
        <f>IF($J$1="January",W442,IF($J$1="February",W443,IF($J$1="March",W444,IF($J$1="April",W445,IF($J$1="May",W446,IF($J$1="June",W447,IF($J$1="July",W448,IF($J$1="August",W449,IF($J$1="August",W449,IF($J$1="September",W450,IF($J$1="October",W451,IF($J$1="November",W452,IF($J$1="December",W453)))))))))))))</f>
        <v>0</v>
      </c>
      <c r="H448" s="47"/>
      <c r="I448" s="402" t="s">
        <v>69</v>
      </c>
      <c r="J448" s="403"/>
      <c r="K448" s="53">
        <f>K446+K447</f>
        <v>30921.370967741936</v>
      </c>
      <c r="L448" s="54"/>
      <c r="N448" s="71"/>
      <c r="O448" s="72" t="s">
        <v>50</v>
      </c>
      <c r="P448" s="72"/>
      <c r="Q448" s="72"/>
      <c r="R448" s="72">
        <v>0</v>
      </c>
      <c r="S448" s="63"/>
      <c r="T448" s="72" t="s">
        <v>50</v>
      </c>
      <c r="U448" s="105" t="str">
        <f>IF($J$1="June","",Y447)</f>
        <v/>
      </c>
      <c r="V448" s="74"/>
      <c r="W448" s="105" t="str">
        <f t="shared" si="93"/>
        <v/>
      </c>
      <c r="X448" s="74"/>
      <c r="Y448" s="105" t="str">
        <f t="shared" si="94"/>
        <v/>
      </c>
      <c r="Z448" s="76"/>
    </row>
    <row r="449" spans="1:26" s="29" customFormat="1" ht="21" customHeight="1" x14ac:dyDescent="0.2">
      <c r="A449" s="30"/>
      <c r="B449" s="48" t="s">
        <v>6</v>
      </c>
      <c r="C449" s="39">
        <f>IF($J$1="January",Q442,IF($J$1="February",Q443,IF($J$1="March",Q444,IF($J$1="April",Q445,IF($J$1="May",Q446,IF($J$1="June",Q447,IF($J$1="July",Q448,IF($J$1="August",Q449,IF($J$1="August",Q449,IF($J$1="September",Q450,IF($J$1="October",Q451,IF($J$1="November",Q452,IF($J$1="December",Q453)))))))))))))</f>
        <v>0</v>
      </c>
      <c r="F449" s="48" t="s">
        <v>21</v>
      </c>
      <c r="G449" s="43">
        <f>IF($J$1="January",X442,IF($J$1="February",X443,IF($J$1="March",X444,IF($J$1="April",X445,IF($J$1="May",X446,IF($J$1="June",X447,IF($J$1="July",X448,IF($J$1="August",X449,IF($J$1="August",X449,IF($J$1="September",X450,IF($J$1="October",X451,IF($J$1="November",X452,IF($J$1="December",X453)))))))))))))</f>
        <v>0</v>
      </c>
      <c r="H449" s="47"/>
      <c r="I449" s="402" t="s">
        <v>70</v>
      </c>
      <c r="J449" s="403"/>
      <c r="K449" s="43">
        <f>G449</f>
        <v>0</v>
      </c>
      <c r="L449" s="55"/>
      <c r="N449" s="71"/>
      <c r="O449" s="72" t="s">
        <v>51</v>
      </c>
      <c r="P449" s="72"/>
      <c r="Q449" s="72"/>
      <c r="R449" s="72">
        <v>0</v>
      </c>
      <c r="S449" s="63"/>
      <c r="T449" s="72" t="s">
        <v>51</v>
      </c>
      <c r="U449" s="105" t="str">
        <f>IF($J$1="July","",Y448)</f>
        <v/>
      </c>
      <c r="V449" s="74"/>
      <c r="W449" s="105" t="str">
        <f t="shared" si="93"/>
        <v/>
      </c>
      <c r="X449" s="74"/>
      <c r="Y449" s="105" t="str">
        <f t="shared" si="94"/>
        <v/>
      </c>
      <c r="Z449" s="76"/>
    </row>
    <row r="450" spans="1:26" s="29" customFormat="1" ht="21" customHeight="1" x14ac:dyDescent="0.2">
      <c r="A450" s="30"/>
      <c r="B450" s="56" t="s">
        <v>68</v>
      </c>
      <c r="C450" s="39">
        <f>IF($J$1="January",R442,IF($J$1="February",R443,IF($J$1="March",R444,IF($J$1="April",R445,IF($J$1="May",R446,IF($J$1="June",R447,IF($J$1="July",R448,IF($J$1="August",R449,IF($J$1="August",R449,IF($J$1="September",R450,IF($J$1="October",R451,IF($J$1="November",R452,IF($J$1="December",R453)))))))))))))</f>
        <v>0</v>
      </c>
      <c r="F450" s="48" t="s">
        <v>67</v>
      </c>
      <c r="G450" s="43">
        <f>IF($J$1="January",Y442,IF($J$1="February",Y443,IF($J$1="March",Y444,IF($J$1="April",Y445,IF($J$1="May",Y446,IF($J$1="June",Y447,IF($J$1="July",Y448,IF($J$1="August",Y449,IF($J$1="August",Y449,IF($J$1="September",Y450,IF($J$1="October",Y451,IF($J$1="November",Y452,IF($J$1="December",Y453)))))))))))))</f>
        <v>0</v>
      </c>
      <c r="I450" s="391" t="s">
        <v>63</v>
      </c>
      <c r="J450" s="393"/>
      <c r="K450" s="57">
        <f>K448-K449</f>
        <v>30921.370967741936</v>
      </c>
      <c r="L450" s="58"/>
      <c r="N450" s="71"/>
      <c r="O450" s="72" t="s">
        <v>56</v>
      </c>
      <c r="P450" s="72"/>
      <c r="Q450" s="72"/>
      <c r="R450" s="72">
        <v>0</v>
      </c>
      <c r="S450" s="63"/>
      <c r="T450" s="72" t="s">
        <v>56</v>
      </c>
      <c r="U450" s="105" t="str">
        <f>IF($J$1="August","",Y449)</f>
        <v/>
      </c>
      <c r="V450" s="74"/>
      <c r="W450" s="105" t="str">
        <f t="shared" si="93"/>
        <v/>
      </c>
      <c r="X450" s="74"/>
      <c r="Y450" s="105" t="str">
        <f t="shared" si="94"/>
        <v/>
      </c>
      <c r="Z450" s="76"/>
    </row>
    <row r="451" spans="1:26" s="29" customFormat="1" ht="21" customHeight="1" x14ac:dyDescent="0.2">
      <c r="A451" s="30"/>
      <c r="G451" s="107"/>
      <c r="K451" s="107"/>
      <c r="L451" s="46"/>
      <c r="N451" s="71"/>
      <c r="O451" s="72" t="s">
        <v>52</v>
      </c>
      <c r="P451" s="72"/>
      <c r="Q451" s="72"/>
      <c r="R451" s="72">
        <v>0</v>
      </c>
      <c r="S451" s="63"/>
      <c r="T451" s="72" t="s">
        <v>52</v>
      </c>
      <c r="U451" s="105" t="str">
        <f>IF($J$1="September","",Y450)</f>
        <v/>
      </c>
      <c r="V451" s="74"/>
      <c r="W451" s="105" t="str">
        <f t="shared" si="93"/>
        <v/>
      </c>
      <c r="X451" s="74"/>
      <c r="Y451" s="105" t="str">
        <f t="shared" si="94"/>
        <v/>
      </c>
      <c r="Z451" s="76"/>
    </row>
    <row r="452" spans="1:26" s="29" customFormat="1" ht="21" customHeight="1" x14ac:dyDescent="0.2">
      <c r="A452" s="30"/>
      <c r="B452" s="404" t="s">
        <v>85</v>
      </c>
      <c r="C452" s="404"/>
      <c r="D452" s="404"/>
      <c r="E452" s="404"/>
      <c r="F452" s="404"/>
      <c r="G452" s="404"/>
      <c r="H452" s="404"/>
      <c r="I452" s="404"/>
      <c r="J452" s="404"/>
      <c r="K452" s="404"/>
      <c r="L452" s="46"/>
      <c r="N452" s="71"/>
      <c r="O452" s="72" t="s">
        <v>57</v>
      </c>
      <c r="P452" s="72"/>
      <c r="Q452" s="72"/>
      <c r="R452" s="72" t="str">
        <f t="shared" ref="R452:R453" si="95">IF(Q452="","",R451-Q452)</f>
        <v/>
      </c>
      <c r="S452" s="63"/>
      <c r="T452" s="72" t="s">
        <v>57</v>
      </c>
      <c r="U452" s="105" t="str">
        <f>IF($J$1="October","",Y451)</f>
        <v/>
      </c>
      <c r="V452" s="74"/>
      <c r="W452" s="105" t="str">
        <f t="shared" si="93"/>
        <v/>
      </c>
      <c r="X452" s="74"/>
      <c r="Y452" s="105" t="str">
        <f t="shared" si="94"/>
        <v/>
      </c>
      <c r="Z452" s="76"/>
    </row>
    <row r="453" spans="1:26" s="29" customFormat="1" ht="21" customHeight="1" x14ac:dyDescent="0.2">
      <c r="A453" s="30"/>
      <c r="B453" s="404"/>
      <c r="C453" s="404"/>
      <c r="D453" s="404"/>
      <c r="E453" s="404"/>
      <c r="F453" s="404"/>
      <c r="G453" s="404"/>
      <c r="H453" s="404"/>
      <c r="I453" s="404"/>
      <c r="J453" s="404"/>
      <c r="K453" s="404"/>
      <c r="L453" s="46"/>
      <c r="N453" s="71"/>
      <c r="O453" s="72" t="s">
        <v>58</v>
      </c>
      <c r="P453" s="72"/>
      <c r="Q453" s="72"/>
      <c r="R453" s="72" t="str">
        <f t="shared" si="95"/>
        <v/>
      </c>
      <c r="S453" s="63"/>
      <c r="T453" s="72" t="s">
        <v>58</v>
      </c>
      <c r="U453" s="105" t="str">
        <f>IF($J$1="November","",Y452)</f>
        <v/>
      </c>
      <c r="V453" s="74"/>
      <c r="W453" s="105" t="str">
        <f t="shared" si="93"/>
        <v/>
      </c>
      <c r="X453" s="74"/>
      <c r="Y453" s="105" t="str">
        <f t="shared" si="94"/>
        <v/>
      </c>
      <c r="Z453" s="76"/>
    </row>
    <row r="454" spans="1:26" s="29" customFormat="1" ht="21" customHeight="1" thickBot="1" x14ac:dyDescent="0.25">
      <c r="A454" s="5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1"/>
      <c r="N454" s="77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9"/>
    </row>
    <row r="455" spans="1:26" s="29" customFormat="1" ht="21" customHeight="1" thickBot="1" x14ac:dyDescent="0.25"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s="29" customFormat="1" ht="21" customHeight="1" x14ac:dyDescent="0.2">
      <c r="A456" s="412" t="s">
        <v>40</v>
      </c>
      <c r="B456" s="413"/>
      <c r="C456" s="413"/>
      <c r="D456" s="413"/>
      <c r="E456" s="413"/>
      <c r="F456" s="413"/>
      <c r="G456" s="413"/>
      <c r="H456" s="413"/>
      <c r="I456" s="413"/>
      <c r="J456" s="413"/>
      <c r="K456" s="413"/>
      <c r="L456" s="414"/>
      <c r="M456" s="28"/>
      <c r="N456" s="64"/>
      <c r="O456" s="405" t="s">
        <v>42</v>
      </c>
      <c r="P456" s="406"/>
      <c r="Q456" s="406"/>
      <c r="R456" s="407"/>
      <c r="S456" s="65"/>
      <c r="T456" s="405" t="s">
        <v>43</v>
      </c>
      <c r="U456" s="406"/>
      <c r="V456" s="406"/>
      <c r="W456" s="406"/>
      <c r="X456" s="406"/>
      <c r="Y456" s="407"/>
      <c r="Z456" s="66"/>
    </row>
    <row r="457" spans="1:26" s="29" customFormat="1" ht="21" customHeight="1" x14ac:dyDescent="0.2">
      <c r="A457" s="30"/>
      <c r="C457" s="395" t="s">
        <v>83</v>
      </c>
      <c r="D457" s="395"/>
      <c r="E457" s="395"/>
      <c r="F457" s="395"/>
      <c r="G457" s="31" t="str">
        <f>$J$1</f>
        <v>May</v>
      </c>
      <c r="H457" s="394">
        <f>$K$1</f>
        <v>2023</v>
      </c>
      <c r="I457" s="394"/>
      <c r="K457" s="32"/>
      <c r="L457" s="33"/>
      <c r="M457" s="32"/>
      <c r="N457" s="67"/>
      <c r="O457" s="68" t="s">
        <v>53</v>
      </c>
      <c r="P457" s="68" t="s">
        <v>7</v>
      </c>
      <c r="Q457" s="68" t="s">
        <v>6</v>
      </c>
      <c r="R457" s="68" t="s">
        <v>54</v>
      </c>
      <c r="S457" s="69"/>
      <c r="T457" s="68" t="s">
        <v>53</v>
      </c>
      <c r="U457" s="68" t="s">
        <v>55</v>
      </c>
      <c r="V457" s="68" t="s">
        <v>20</v>
      </c>
      <c r="W457" s="68" t="s">
        <v>19</v>
      </c>
      <c r="X457" s="68" t="s">
        <v>21</v>
      </c>
      <c r="Y457" s="68" t="s">
        <v>59</v>
      </c>
      <c r="Z457" s="70"/>
    </row>
    <row r="458" spans="1:26" s="29" customFormat="1" ht="21" customHeight="1" x14ac:dyDescent="0.2">
      <c r="A458" s="30"/>
      <c r="D458" s="35"/>
      <c r="E458" s="35"/>
      <c r="F458" s="35"/>
      <c r="G458" s="35"/>
      <c r="H458" s="35"/>
      <c r="J458" s="36" t="s">
        <v>1</v>
      </c>
      <c r="K458" s="37">
        <f>20000+2500+2000</f>
        <v>24500</v>
      </c>
      <c r="L458" s="38"/>
      <c r="N458" s="71"/>
      <c r="O458" s="72" t="s">
        <v>45</v>
      </c>
      <c r="P458" s="72">
        <v>31</v>
      </c>
      <c r="Q458" s="72">
        <v>0</v>
      </c>
      <c r="R458" s="72">
        <v>0</v>
      </c>
      <c r="S458" s="73"/>
      <c r="T458" s="72" t="s">
        <v>45</v>
      </c>
      <c r="U458" s="74"/>
      <c r="V458" s="74"/>
      <c r="W458" s="74">
        <f>V458+U458</f>
        <v>0</v>
      </c>
      <c r="X458" s="74"/>
      <c r="Y458" s="74">
        <f>W458-X458</f>
        <v>0</v>
      </c>
      <c r="Z458" s="70"/>
    </row>
    <row r="459" spans="1:26" s="29" customFormat="1" ht="21" customHeight="1" x14ac:dyDescent="0.2">
      <c r="A459" s="30"/>
      <c r="B459" s="29" t="s">
        <v>0</v>
      </c>
      <c r="C459" s="40" t="s">
        <v>168</v>
      </c>
      <c r="H459" s="41"/>
      <c r="I459" s="35"/>
      <c r="L459" s="42"/>
      <c r="M459" s="28"/>
      <c r="N459" s="75"/>
      <c r="O459" s="72" t="s">
        <v>71</v>
      </c>
      <c r="P459" s="72">
        <v>26</v>
      </c>
      <c r="Q459" s="72">
        <v>2</v>
      </c>
      <c r="R459" s="72">
        <v>0</v>
      </c>
      <c r="S459" s="63"/>
      <c r="T459" s="72" t="s">
        <v>71</v>
      </c>
      <c r="U459" s="105">
        <f>IF($J$1="January","",Y458)</f>
        <v>0</v>
      </c>
      <c r="V459" s="74"/>
      <c r="W459" s="105">
        <f>IF(U459="","",U459+V459)</f>
        <v>0</v>
      </c>
      <c r="X459" s="74"/>
      <c r="Y459" s="105">
        <f>IF(W459="","",W459-X459)</f>
        <v>0</v>
      </c>
      <c r="Z459" s="76"/>
    </row>
    <row r="460" spans="1:26" s="29" customFormat="1" ht="21" customHeight="1" x14ac:dyDescent="0.2">
      <c r="A460" s="30"/>
      <c r="B460" s="420"/>
      <c r="C460" s="420"/>
      <c r="F460" s="411" t="s">
        <v>43</v>
      </c>
      <c r="G460" s="411"/>
      <c r="I460" s="411" t="s">
        <v>44</v>
      </c>
      <c r="J460" s="411"/>
      <c r="K460" s="411"/>
      <c r="L460" s="46"/>
      <c r="N460" s="71"/>
      <c r="O460" s="72" t="s">
        <v>46</v>
      </c>
      <c r="P460" s="72">
        <v>31</v>
      </c>
      <c r="Q460" s="72">
        <v>0</v>
      </c>
      <c r="R460" s="72">
        <v>0</v>
      </c>
      <c r="S460" s="63"/>
      <c r="T460" s="72" t="s">
        <v>46</v>
      </c>
      <c r="U460" s="105">
        <f>IF($J$1="February","",Y459)</f>
        <v>0</v>
      </c>
      <c r="V460" s="74"/>
      <c r="W460" s="105">
        <f t="shared" ref="W460:W469" si="96">IF(U460="","",U460+V460)</f>
        <v>0</v>
      </c>
      <c r="X460" s="74"/>
      <c r="Y460" s="105">
        <f t="shared" ref="Y460:Y469" si="97">IF(W460="","",W460-X460)</f>
        <v>0</v>
      </c>
      <c r="Z460" s="76"/>
    </row>
    <row r="461" spans="1:26" s="29" customFormat="1" ht="21" customHeight="1" x14ac:dyDescent="0.2">
      <c r="A461" s="30"/>
      <c r="H461" s="47"/>
      <c r="L461" s="34"/>
      <c r="N461" s="71"/>
      <c r="O461" s="72" t="s">
        <v>47</v>
      </c>
      <c r="P461" s="72">
        <v>30</v>
      </c>
      <c r="Q461" s="72">
        <v>0</v>
      </c>
      <c r="R461" s="72">
        <v>0</v>
      </c>
      <c r="S461" s="63"/>
      <c r="T461" s="72" t="s">
        <v>47</v>
      </c>
      <c r="U461" s="105">
        <f>IF($J$1="March","",Y460)</f>
        <v>0</v>
      </c>
      <c r="V461" s="74"/>
      <c r="W461" s="105">
        <f t="shared" si="96"/>
        <v>0</v>
      </c>
      <c r="X461" s="74"/>
      <c r="Y461" s="105">
        <f t="shared" si="97"/>
        <v>0</v>
      </c>
      <c r="Z461" s="76"/>
    </row>
    <row r="462" spans="1:26" s="29" customFormat="1" ht="21" customHeight="1" x14ac:dyDescent="0.2">
      <c r="A462" s="30"/>
      <c r="B462" s="389" t="s">
        <v>42</v>
      </c>
      <c r="C462" s="390"/>
      <c r="F462" s="48" t="s">
        <v>64</v>
      </c>
      <c r="G462" s="43">
        <f>IF($J$1="January",U458,IF($J$1="February",U459,IF($J$1="March",U460,IF($J$1="April",U461,IF($J$1="May",U462,IF($J$1="June",U463,IF($J$1="July",U464,IF($J$1="August",U465,IF($J$1="August",U465,IF($J$1="September",U466,IF($J$1="October",U467,IF($J$1="November",U468,IF($J$1="December",U469)))))))))))))</f>
        <v>0</v>
      </c>
      <c r="H462" s="47"/>
      <c r="I462" s="49">
        <f>IF(C466&gt;0,$K$2,C464)</f>
        <v>31</v>
      </c>
      <c r="J462" s="50" t="s">
        <v>61</v>
      </c>
      <c r="K462" s="51">
        <f>K458/$K$2*I462</f>
        <v>24500</v>
      </c>
      <c r="L462" s="52"/>
      <c r="N462" s="71"/>
      <c r="O462" s="72" t="s">
        <v>48</v>
      </c>
      <c r="P462" s="72">
        <v>31</v>
      </c>
      <c r="Q462" s="72">
        <v>0</v>
      </c>
      <c r="R462" s="72">
        <v>0</v>
      </c>
      <c r="S462" s="63"/>
      <c r="T462" s="72" t="s">
        <v>48</v>
      </c>
      <c r="U462" s="105">
        <f>IF($J$1="April","",Y461)</f>
        <v>0</v>
      </c>
      <c r="V462" s="74"/>
      <c r="W462" s="105">
        <f t="shared" si="96"/>
        <v>0</v>
      </c>
      <c r="X462" s="74"/>
      <c r="Y462" s="105">
        <f t="shared" si="97"/>
        <v>0</v>
      </c>
      <c r="Z462" s="76"/>
    </row>
    <row r="463" spans="1:26" s="29" customFormat="1" ht="21" customHeight="1" x14ac:dyDescent="0.2">
      <c r="A463" s="30"/>
      <c r="B463" s="39"/>
      <c r="C463" s="39"/>
      <c r="F463" s="48" t="s">
        <v>20</v>
      </c>
      <c r="G463" s="43">
        <f>IF($J$1="January",V458,IF($J$1="February",V459,IF($J$1="March",V460,IF($J$1="April",V461,IF($J$1="May",V462,IF($J$1="June",V463,IF($J$1="July",V464,IF($J$1="August",V465,IF($J$1="August",V465,IF($J$1="September",V466,IF($J$1="October",V467,IF($J$1="November",V468,IF($J$1="December",V469)))))))))))))</f>
        <v>0</v>
      </c>
      <c r="H463" s="47"/>
      <c r="I463" s="84">
        <v>79</v>
      </c>
      <c r="J463" s="50" t="s">
        <v>62</v>
      </c>
      <c r="K463" s="53">
        <f>K458/$K$2/8*I463</f>
        <v>7804.4354838709678</v>
      </c>
      <c r="L463" s="54"/>
      <c r="N463" s="71"/>
      <c r="O463" s="72" t="s">
        <v>49</v>
      </c>
      <c r="P463" s="72"/>
      <c r="Q463" s="72"/>
      <c r="R463" s="72">
        <v>0</v>
      </c>
      <c r="S463" s="63"/>
      <c r="T463" s="72" t="s">
        <v>49</v>
      </c>
      <c r="U463" s="105" t="str">
        <f>IF($J$1="May","",Y462)</f>
        <v/>
      </c>
      <c r="V463" s="74"/>
      <c r="W463" s="105" t="str">
        <f t="shared" si="96"/>
        <v/>
      </c>
      <c r="X463" s="74"/>
      <c r="Y463" s="105" t="str">
        <f t="shared" si="97"/>
        <v/>
      </c>
      <c r="Z463" s="76"/>
    </row>
    <row r="464" spans="1:26" s="29" customFormat="1" ht="21" customHeight="1" x14ac:dyDescent="0.2">
      <c r="A464" s="30"/>
      <c r="B464" s="48" t="s">
        <v>7</v>
      </c>
      <c r="C464" s="39">
        <f>IF($J$1="January",P458,IF($J$1="February",P459,IF($J$1="March",P460,IF($J$1="April",P461,IF($J$1="May",P462,IF($J$1="June",P463,IF($J$1="July",P464,IF($J$1="August",P465,IF($J$1="August",P465,IF($J$1="September",P466,IF($J$1="October",P467,IF($J$1="November",P468,IF($J$1="December",P469)))))))))))))</f>
        <v>31</v>
      </c>
      <c r="F464" s="48" t="s">
        <v>65</v>
      </c>
      <c r="G464" s="43">
        <f>IF($J$1="January",W458,IF($J$1="February",W459,IF($J$1="March",W460,IF($J$1="April",W461,IF($J$1="May",W462,IF($J$1="June",W463,IF($J$1="July",W464,IF($J$1="August",W465,IF($J$1="August",W465,IF($J$1="September",W466,IF($J$1="October",W467,IF($J$1="November",W468,IF($J$1="December",W469)))))))))))))</f>
        <v>0</v>
      </c>
      <c r="H464" s="47"/>
      <c r="I464" s="402" t="s">
        <v>69</v>
      </c>
      <c r="J464" s="403"/>
      <c r="K464" s="53">
        <f>K462+K463</f>
        <v>32304.43548387097</v>
      </c>
      <c r="L464" s="54"/>
      <c r="N464" s="71"/>
      <c r="O464" s="72" t="s">
        <v>50</v>
      </c>
      <c r="P464" s="72"/>
      <c r="Q464" s="72"/>
      <c r="R464" s="72">
        <v>0</v>
      </c>
      <c r="S464" s="63"/>
      <c r="T464" s="72" t="s">
        <v>50</v>
      </c>
      <c r="U464" s="105" t="str">
        <f>IF($J$1="June","",Y463)</f>
        <v/>
      </c>
      <c r="V464" s="74"/>
      <c r="W464" s="105" t="str">
        <f t="shared" si="96"/>
        <v/>
      </c>
      <c r="X464" s="74"/>
      <c r="Y464" s="105" t="str">
        <f t="shared" si="97"/>
        <v/>
      </c>
      <c r="Z464" s="76"/>
    </row>
    <row r="465" spans="1:27" s="29" customFormat="1" ht="21" customHeight="1" x14ac:dyDescent="0.2">
      <c r="A465" s="30"/>
      <c r="B465" s="48" t="s">
        <v>6</v>
      </c>
      <c r="C465" s="39">
        <f>IF($J$1="January",Q458,IF($J$1="February",Q459,IF($J$1="March",Q460,IF($J$1="April",Q461,IF($J$1="May",Q462,IF($J$1="June",Q463,IF($J$1="July",Q464,IF($J$1="August",Q465,IF($J$1="August",Q465,IF($J$1="September",Q466,IF($J$1="October",Q467,IF($J$1="November",Q468,IF($J$1="December",Q469)))))))))))))</f>
        <v>0</v>
      </c>
      <c r="F465" s="48" t="s">
        <v>21</v>
      </c>
      <c r="G465" s="43">
        <f>IF($J$1="January",X458,IF($J$1="February",X459,IF($J$1="March",X460,IF($J$1="April",X461,IF($J$1="May",X462,IF($J$1="June",X463,IF($J$1="July",X464,IF($J$1="August",X465,IF($J$1="August",X465,IF($J$1="September",X466,IF($J$1="October",X467,IF($J$1="November",X468,IF($J$1="December",X469)))))))))))))</f>
        <v>0</v>
      </c>
      <c r="H465" s="47"/>
      <c r="I465" s="402" t="s">
        <v>70</v>
      </c>
      <c r="J465" s="403"/>
      <c r="K465" s="43">
        <f>G465</f>
        <v>0</v>
      </c>
      <c r="L465" s="55"/>
      <c r="N465" s="71"/>
      <c r="O465" s="72" t="s">
        <v>51</v>
      </c>
      <c r="P465" s="72"/>
      <c r="Q465" s="72"/>
      <c r="R465" s="72">
        <v>0</v>
      </c>
      <c r="S465" s="63"/>
      <c r="T465" s="72" t="s">
        <v>51</v>
      </c>
      <c r="U465" s="105" t="str">
        <f>IF($J$1="July","",Y464)</f>
        <v/>
      </c>
      <c r="V465" s="74"/>
      <c r="W465" s="105" t="str">
        <f t="shared" si="96"/>
        <v/>
      </c>
      <c r="X465" s="74"/>
      <c r="Y465" s="105" t="str">
        <f t="shared" si="97"/>
        <v/>
      </c>
      <c r="Z465" s="76"/>
    </row>
    <row r="466" spans="1:27" s="29" customFormat="1" ht="21" customHeight="1" x14ac:dyDescent="0.2">
      <c r="A466" s="30"/>
      <c r="B466" s="56" t="s">
        <v>68</v>
      </c>
      <c r="C466" s="39">
        <f>IF($J$1="January",R458,IF($J$1="February",R459,IF($J$1="March",R460,IF($J$1="April",R461,IF($J$1="May",R462,IF($J$1="June",R463,IF($J$1="July",R464,IF($J$1="August",R465,IF($J$1="August",R465,IF($J$1="September",R466,IF($J$1="October",R467,IF($J$1="November",R468,IF($J$1="December",R469)))))))))))))</f>
        <v>0</v>
      </c>
      <c r="F466" s="48" t="s">
        <v>67</v>
      </c>
      <c r="G466" s="43">
        <f>IF($J$1="January",Y458,IF($J$1="February",Y459,IF($J$1="March",Y460,IF($J$1="April",Y461,IF($J$1="May",Y462,IF($J$1="June",Y463,IF($J$1="July",Y464,IF($J$1="August",Y465,IF($J$1="August",Y465,IF($J$1="September",Y466,IF($J$1="October",Y467,IF($J$1="November",Y468,IF($J$1="December",Y469)))))))))))))</f>
        <v>0</v>
      </c>
      <c r="I466" s="391" t="s">
        <v>63</v>
      </c>
      <c r="J466" s="393"/>
      <c r="K466" s="57">
        <f>K464-K465</f>
        <v>32304.43548387097</v>
      </c>
      <c r="L466" s="58"/>
      <c r="N466" s="71"/>
      <c r="O466" s="72" t="s">
        <v>56</v>
      </c>
      <c r="P466" s="72"/>
      <c r="Q466" s="72"/>
      <c r="R466" s="72"/>
      <c r="S466" s="63"/>
      <c r="T466" s="72" t="s">
        <v>56</v>
      </c>
      <c r="U466" s="105" t="str">
        <f>IF($J$1="July","",Y465)</f>
        <v/>
      </c>
      <c r="V466" s="74"/>
      <c r="W466" s="105" t="str">
        <f t="shared" ref="W466" si="98">IF(U466="","",U466+V466)</f>
        <v/>
      </c>
      <c r="X466" s="74"/>
      <c r="Y466" s="105" t="str">
        <f t="shared" ref="Y466" si="99">IF(W466="","",W466-X466)</f>
        <v/>
      </c>
      <c r="Z466" s="76"/>
    </row>
    <row r="467" spans="1:27" s="29" customFormat="1" ht="21" customHeight="1" x14ac:dyDescent="0.2">
      <c r="A467" s="30"/>
      <c r="K467" s="107"/>
      <c r="L467" s="46"/>
      <c r="N467" s="71"/>
      <c r="O467" s="72" t="s">
        <v>52</v>
      </c>
      <c r="P467" s="72"/>
      <c r="Q467" s="72"/>
      <c r="R467" s="72"/>
      <c r="S467" s="63"/>
      <c r="T467" s="72" t="s">
        <v>52</v>
      </c>
      <c r="U467" s="105"/>
      <c r="V467" s="74"/>
      <c r="W467" s="105" t="str">
        <f t="shared" si="96"/>
        <v/>
      </c>
      <c r="X467" s="74"/>
      <c r="Y467" s="105" t="str">
        <f t="shared" si="97"/>
        <v/>
      </c>
      <c r="Z467" s="76"/>
    </row>
    <row r="468" spans="1:27" s="29" customFormat="1" ht="21" customHeight="1" x14ac:dyDescent="0.2">
      <c r="A468" s="30"/>
      <c r="B468" s="404" t="s">
        <v>85</v>
      </c>
      <c r="C468" s="404"/>
      <c r="D468" s="404"/>
      <c r="E468" s="404"/>
      <c r="F468" s="404"/>
      <c r="G468" s="404"/>
      <c r="H468" s="404"/>
      <c r="I468" s="404"/>
      <c r="J468" s="404"/>
      <c r="K468" s="404"/>
      <c r="L468" s="46"/>
      <c r="N468" s="71"/>
      <c r="O468" s="72" t="s">
        <v>57</v>
      </c>
      <c r="P468" s="72"/>
      <c r="Q468" s="72"/>
      <c r="R468" s="72"/>
      <c r="S468" s="63"/>
      <c r="T468" s="72" t="s">
        <v>57</v>
      </c>
      <c r="U468" s="105" t="str">
        <f>IF($J$1="October","",Y467)</f>
        <v/>
      </c>
      <c r="V468" s="74"/>
      <c r="W468" s="105" t="str">
        <f t="shared" si="96"/>
        <v/>
      </c>
      <c r="X468" s="74"/>
      <c r="Y468" s="105" t="str">
        <f t="shared" si="97"/>
        <v/>
      </c>
      <c r="Z468" s="76"/>
    </row>
    <row r="469" spans="1:27" s="29" customFormat="1" ht="21" customHeight="1" x14ac:dyDescent="0.2">
      <c r="A469" s="30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6"/>
      <c r="N469" s="71"/>
      <c r="O469" s="72" t="s">
        <v>58</v>
      </c>
      <c r="P469" s="72"/>
      <c r="Q469" s="72"/>
      <c r="R469" s="72"/>
      <c r="S469" s="63"/>
      <c r="T469" s="72" t="s">
        <v>58</v>
      </c>
      <c r="U469" s="105" t="str">
        <f>IF($J$1="November","",Y468)</f>
        <v/>
      </c>
      <c r="V469" s="74"/>
      <c r="W469" s="105" t="str">
        <f t="shared" si="96"/>
        <v/>
      </c>
      <c r="X469" s="74"/>
      <c r="Y469" s="105" t="str">
        <f t="shared" si="97"/>
        <v/>
      </c>
      <c r="Z469" s="76"/>
    </row>
    <row r="470" spans="1:27" s="29" customFormat="1" ht="21" customHeight="1" thickBot="1" x14ac:dyDescent="0.25">
      <c r="A470" s="5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1"/>
      <c r="N470" s="77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9"/>
    </row>
    <row r="471" spans="1:27" ht="15.75" thickBot="1" x14ac:dyDescent="0.3"/>
    <row r="472" spans="1:27" s="29" customFormat="1" ht="21" customHeight="1" x14ac:dyDescent="0.2">
      <c r="A472" s="415" t="s">
        <v>40</v>
      </c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16"/>
      <c r="M472" s="28"/>
      <c r="N472" s="64"/>
      <c r="O472" s="405" t="s">
        <v>42</v>
      </c>
      <c r="P472" s="406"/>
      <c r="Q472" s="406"/>
      <c r="R472" s="407"/>
      <c r="S472" s="65"/>
      <c r="T472" s="405" t="s">
        <v>43</v>
      </c>
      <c r="U472" s="406"/>
      <c r="V472" s="406"/>
      <c r="W472" s="406"/>
      <c r="X472" s="406"/>
      <c r="Y472" s="407"/>
      <c r="Z472" s="66"/>
      <c r="AA472" s="28"/>
    </row>
    <row r="473" spans="1:27" s="29" customFormat="1" ht="21" customHeight="1" x14ac:dyDescent="0.2">
      <c r="A473" s="291"/>
      <c r="C473" s="395" t="s">
        <v>83</v>
      </c>
      <c r="D473" s="395"/>
      <c r="E473" s="395"/>
      <c r="F473" s="395"/>
      <c r="G473" s="31" t="str">
        <f>$J$1</f>
        <v>May</v>
      </c>
      <c r="H473" s="394">
        <f>$K$1</f>
        <v>2023</v>
      </c>
      <c r="I473" s="394"/>
      <c r="K473" s="32"/>
      <c r="L473" s="292"/>
      <c r="M473" s="32"/>
      <c r="N473" s="67"/>
      <c r="O473" s="68" t="s">
        <v>53</v>
      </c>
      <c r="P473" s="68" t="s">
        <v>7</v>
      </c>
      <c r="Q473" s="68" t="s">
        <v>6</v>
      </c>
      <c r="R473" s="68" t="s">
        <v>54</v>
      </c>
      <c r="S473" s="69"/>
      <c r="T473" s="68" t="s">
        <v>53</v>
      </c>
      <c r="U473" s="68" t="s">
        <v>55</v>
      </c>
      <c r="V473" s="68" t="s">
        <v>20</v>
      </c>
      <c r="W473" s="68" t="s">
        <v>19</v>
      </c>
      <c r="X473" s="68" t="s">
        <v>21</v>
      </c>
      <c r="Y473" s="68" t="s">
        <v>59</v>
      </c>
      <c r="Z473" s="70"/>
      <c r="AA473" s="32"/>
    </row>
    <row r="474" spans="1:27" s="29" customFormat="1" ht="21" customHeight="1" x14ac:dyDescent="0.2">
      <c r="A474" s="291"/>
      <c r="D474" s="35"/>
      <c r="E474" s="35"/>
      <c r="F474" s="35"/>
      <c r="G474" s="35"/>
      <c r="H474" s="35"/>
      <c r="J474" s="36" t="s">
        <v>1</v>
      </c>
      <c r="K474" s="37">
        <v>30000</v>
      </c>
      <c r="L474" s="293"/>
      <c r="N474" s="71"/>
      <c r="O474" s="72" t="s">
        <v>45</v>
      </c>
      <c r="P474" s="72"/>
      <c r="Q474" s="72"/>
      <c r="R474" s="72"/>
      <c r="S474" s="73"/>
      <c r="T474" s="72" t="s">
        <v>45</v>
      </c>
      <c r="U474" s="74"/>
      <c r="V474" s="74"/>
      <c r="W474" s="74">
        <f>V474+U474</f>
        <v>0</v>
      </c>
      <c r="X474" s="74"/>
      <c r="Y474" s="74">
        <f>W474-X474</f>
        <v>0</v>
      </c>
      <c r="Z474" s="70"/>
    </row>
    <row r="475" spans="1:27" s="29" customFormat="1" ht="21" customHeight="1" x14ac:dyDescent="0.2">
      <c r="A475" s="291"/>
      <c r="B475" s="29" t="s">
        <v>0</v>
      </c>
      <c r="C475" s="40" t="s">
        <v>227</v>
      </c>
      <c r="H475" s="41"/>
      <c r="I475" s="35"/>
      <c r="L475" s="294"/>
      <c r="M475" s="28"/>
      <c r="N475" s="75"/>
      <c r="O475" s="72" t="s">
        <v>71</v>
      </c>
      <c r="P475" s="72"/>
      <c r="Q475" s="72"/>
      <c r="R475" s="72" t="str">
        <f t="shared" ref="R475:R485" si="100">IF(Q475="","",R474-Q475)</f>
        <v/>
      </c>
      <c r="S475" s="63"/>
      <c r="T475" s="72" t="s">
        <v>71</v>
      </c>
      <c r="U475" s="105"/>
      <c r="V475" s="74"/>
      <c r="W475" s="105" t="str">
        <f>IF(U475="","",U475+V475)</f>
        <v/>
      </c>
      <c r="X475" s="74"/>
      <c r="Y475" s="105" t="str">
        <f>IF(W475="","",W475-X475)</f>
        <v/>
      </c>
      <c r="Z475" s="76"/>
      <c r="AA475" s="28"/>
    </row>
    <row r="476" spans="1:27" s="29" customFormat="1" ht="21" customHeight="1" x14ac:dyDescent="0.2">
      <c r="A476" s="291"/>
      <c r="B476" s="44" t="s">
        <v>41</v>
      </c>
      <c r="C476" s="45"/>
      <c r="F476" s="411" t="s">
        <v>43</v>
      </c>
      <c r="G476" s="411"/>
      <c r="I476" s="411" t="s">
        <v>44</v>
      </c>
      <c r="J476" s="411"/>
      <c r="K476" s="411"/>
      <c r="L476" s="295"/>
      <c r="N476" s="71"/>
      <c r="O476" s="72" t="s">
        <v>46</v>
      </c>
      <c r="P476" s="72">
        <f>31-9</f>
        <v>22</v>
      </c>
      <c r="Q476" s="72">
        <v>9</v>
      </c>
      <c r="R476" s="72">
        <v>0</v>
      </c>
      <c r="S476" s="63"/>
      <c r="T476" s="72" t="s">
        <v>46</v>
      </c>
      <c r="U476" s="105"/>
      <c r="V476" s="74"/>
      <c r="W476" s="105" t="str">
        <f t="shared" ref="W476:W485" si="101">IF(U476="","",U476+V476)</f>
        <v/>
      </c>
      <c r="X476" s="74"/>
      <c r="Y476" s="105" t="str">
        <f t="shared" ref="Y476:Y485" si="102">IF(W476="","",W476-X476)</f>
        <v/>
      </c>
      <c r="Z476" s="76"/>
    </row>
    <row r="477" spans="1:27" s="29" customFormat="1" ht="21" customHeight="1" x14ac:dyDescent="0.2">
      <c r="A477" s="291"/>
      <c r="H477" s="47"/>
      <c r="L477" s="296"/>
      <c r="N477" s="71"/>
      <c r="O477" s="72" t="s">
        <v>47</v>
      </c>
      <c r="P477" s="72">
        <v>30</v>
      </c>
      <c r="Q477" s="72">
        <v>0</v>
      </c>
      <c r="R477" s="72">
        <f t="shared" si="100"/>
        <v>0</v>
      </c>
      <c r="S477" s="63"/>
      <c r="T477" s="72" t="s">
        <v>47</v>
      </c>
      <c r="U477" s="105"/>
      <c r="V477" s="74"/>
      <c r="W477" s="105" t="str">
        <f t="shared" si="101"/>
        <v/>
      </c>
      <c r="X477" s="74"/>
      <c r="Y477" s="105" t="str">
        <f t="shared" si="102"/>
        <v/>
      </c>
      <c r="Z477" s="76"/>
    </row>
    <row r="478" spans="1:27" s="29" customFormat="1" ht="21" customHeight="1" x14ac:dyDescent="0.2">
      <c r="A478" s="291"/>
      <c r="B478" s="389" t="s">
        <v>42</v>
      </c>
      <c r="C478" s="390"/>
      <c r="F478" s="48" t="s">
        <v>64</v>
      </c>
      <c r="G478" s="43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47"/>
      <c r="I478" s="49">
        <f>IF(C482&gt;0,$K$2,C480)</f>
        <v>31</v>
      </c>
      <c r="J478" s="50" t="s">
        <v>61</v>
      </c>
      <c r="K478" s="51">
        <f>K474/$K$2*I478</f>
        <v>30000</v>
      </c>
      <c r="L478" s="297"/>
      <c r="N478" s="71"/>
      <c r="O478" s="72" t="s">
        <v>48</v>
      </c>
      <c r="P478" s="72">
        <v>31</v>
      </c>
      <c r="Q478" s="72">
        <v>0</v>
      </c>
      <c r="R478" s="72">
        <f t="shared" si="100"/>
        <v>0</v>
      </c>
      <c r="S478" s="63"/>
      <c r="T478" s="72" t="s">
        <v>48</v>
      </c>
      <c r="U478" s="105"/>
      <c r="V478" s="74"/>
      <c r="W478" s="105" t="str">
        <f t="shared" si="101"/>
        <v/>
      </c>
      <c r="X478" s="74"/>
      <c r="Y478" s="105" t="str">
        <f t="shared" si="102"/>
        <v/>
      </c>
      <c r="Z478" s="76"/>
    </row>
    <row r="479" spans="1:27" s="29" customFormat="1" ht="21" customHeight="1" x14ac:dyDescent="0.2">
      <c r="A479" s="291"/>
      <c r="B479" s="39"/>
      <c r="C479" s="39"/>
      <c r="F479" s="48" t="s">
        <v>20</v>
      </c>
      <c r="G479" s="43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47"/>
      <c r="I479" s="84">
        <v>11</v>
      </c>
      <c r="J479" s="50" t="s">
        <v>62</v>
      </c>
      <c r="K479" s="53">
        <f>K474/$K$2/8*I479</f>
        <v>1330.6451612903227</v>
      </c>
      <c r="L479" s="298"/>
      <c r="N479" s="71"/>
      <c r="O479" s="72" t="s">
        <v>49</v>
      </c>
      <c r="P479" s="72"/>
      <c r="Q479" s="72"/>
      <c r="R479" s="72" t="str">
        <f t="shared" si="100"/>
        <v/>
      </c>
      <c r="S479" s="63"/>
      <c r="T479" s="72" t="s">
        <v>49</v>
      </c>
      <c r="U479" s="105"/>
      <c r="V479" s="74"/>
      <c r="W479" s="105" t="str">
        <f t="shared" si="101"/>
        <v/>
      </c>
      <c r="X479" s="74"/>
      <c r="Y479" s="105" t="str">
        <f t="shared" si="102"/>
        <v/>
      </c>
      <c r="Z479" s="76"/>
    </row>
    <row r="480" spans="1:27" s="29" customFormat="1" ht="21" customHeight="1" x14ac:dyDescent="0.2">
      <c r="A480" s="291"/>
      <c r="B480" s="48" t="s">
        <v>7</v>
      </c>
      <c r="C480" s="39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F480" s="48" t="s">
        <v>65</v>
      </c>
      <c r="G480" s="43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47"/>
      <c r="I480" s="402" t="s">
        <v>69</v>
      </c>
      <c r="J480" s="403"/>
      <c r="K480" s="53">
        <f>K478+K479</f>
        <v>31330.645161290322</v>
      </c>
      <c r="L480" s="298"/>
      <c r="N480" s="71"/>
      <c r="O480" s="72" t="s">
        <v>50</v>
      </c>
      <c r="P480" s="72"/>
      <c r="Q480" s="72"/>
      <c r="R480" s="72" t="str">
        <f t="shared" si="100"/>
        <v/>
      </c>
      <c r="S480" s="63"/>
      <c r="T480" s="72" t="s">
        <v>50</v>
      </c>
      <c r="U480" s="105"/>
      <c r="V480" s="74"/>
      <c r="W480" s="105" t="str">
        <f t="shared" si="101"/>
        <v/>
      </c>
      <c r="X480" s="74"/>
      <c r="Y480" s="105" t="str">
        <f t="shared" si="102"/>
        <v/>
      </c>
      <c r="Z480" s="76"/>
    </row>
    <row r="481" spans="1:26" s="29" customFormat="1" ht="21" customHeight="1" x14ac:dyDescent="0.2">
      <c r="A481" s="291"/>
      <c r="B481" s="48" t="s">
        <v>6</v>
      </c>
      <c r="C481" s="39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F481" s="48" t="s">
        <v>21</v>
      </c>
      <c r="G481" s="43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47"/>
      <c r="I481" s="402" t="s">
        <v>70</v>
      </c>
      <c r="J481" s="403"/>
      <c r="K481" s="43">
        <f>G481</f>
        <v>0</v>
      </c>
      <c r="L481" s="299"/>
      <c r="N481" s="71"/>
      <c r="O481" s="72" t="s">
        <v>51</v>
      </c>
      <c r="P481" s="72"/>
      <c r="Q481" s="72"/>
      <c r="R481" s="72" t="str">
        <f t="shared" si="100"/>
        <v/>
      </c>
      <c r="S481" s="63"/>
      <c r="T481" s="72" t="s">
        <v>51</v>
      </c>
      <c r="U481" s="105">
        <v>0</v>
      </c>
      <c r="V481" s="74"/>
      <c r="W481" s="105">
        <f t="shared" si="101"/>
        <v>0</v>
      </c>
      <c r="X481" s="74"/>
      <c r="Y481" s="105">
        <f t="shared" si="102"/>
        <v>0</v>
      </c>
      <c r="Z481" s="76"/>
    </row>
    <row r="482" spans="1:26" s="29" customFormat="1" ht="21" customHeight="1" x14ac:dyDescent="0.2">
      <c r="A482" s="291"/>
      <c r="B482" s="56" t="s">
        <v>68</v>
      </c>
      <c r="C482" s="39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F482" s="48" t="s">
        <v>67</v>
      </c>
      <c r="G482" s="43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I482" s="391" t="s">
        <v>63</v>
      </c>
      <c r="J482" s="393"/>
      <c r="K482" s="57">
        <f>K480-K481</f>
        <v>31330.645161290322</v>
      </c>
      <c r="L482" s="300"/>
      <c r="N482" s="71"/>
      <c r="O482" s="72" t="s">
        <v>56</v>
      </c>
      <c r="P482" s="72"/>
      <c r="Q482" s="72"/>
      <c r="R482" s="72" t="str">
        <f t="shared" si="100"/>
        <v/>
      </c>
      <c r="S482" s="63"/>
      <c r="T482" s="72" t="s">
        <v>56</v>
      </c>
      <c r="U482" s="105">
        <f>Y481</f>
        <v>0</v>
      </c>
      <c r="V482" s="74"/>
      <c r="W482" s="105">
        <f t="shared" si="101"/>
        <v>0</v>
      </c>
      <c r="X482" s="74"/>
      <c r="Y482" s="105">
        <f t="shared" si="102"/>
        <v>0</v>
      </c>
      <c r="Z482" s="76"/>
    </row>
    <row r="483" spans="1:26" s="29" customFormat="1" ht="21" customHeight="1" x14ac:dyDescent="0.2">
      <c r="A483" s="291"/>
      <c r="K483" s="107"/>
      <c r="L483" s="295"/>
      <c r="N483" s="71"/>
      <c r="O483" s="72" t="s">
        <v>52</v>
      </c>
      <c r="P483" s="72"/>
      <c r="Q483" s="72"/>
      <c r="R483" s="72" t="str">
        <f t="shared" si="100"/>
        <v/>
      </c>
      <c r="S483" s="63"/>
      <c r="T483" s="72" t="s">
        <v>52</v>
      </c>
      <c r="U483" s="105">
        <v>0</v>
      </c>
      <c r="V483" s="74"/>
      <c r="W483" s="105">
        <f t="shared" si="101"/>
        <v>0</v>
      </c>
      <c r="X483" s="74"/>
      <c r="Y483" s="105">
        <f t="shared" si="102"/>
        <v>0</v>
      </c>
      <c r="Z483" s="76"/>
    </row>
    <row r="484" spans="1:26" s="29" customFormat="1" ht="21" customHeight="1" x14ac:dyDescent="0.2">
      <c r="A484" s="291"/>
      <c r="B484" s="404" t="s">
        <v>85</v>
      </c>
      <c r="C484" s="404"/>
      <c r="D484" s="404"/>
      <c r="E484" s="404"/>
      <c r="F484" s="404"/>
      <c r="G484" s="404"/>
      <c r="H484" s="404"/>
      <c r="I484" s="404"/>
      <c r="J484" s="404"/>
      <c r="K484" s="404"/>
      <c r="L484" s="295"/>
      <c r="N484" s="71"/>
      <c r="O484" s="72" t="s">
        <v>57</v>
      </c>
      <c r="P484" s="72"/>
      <c r="Q484" s="72"/>
      <c r="R484" s="72" t="str">
        <f t="shared" si="100"/>
        <v/>
      </c>
      <c r="S484" s="63"/>
      <c r="T484" s="72" t="s">
        <v>57</v>
      </c>
      <c r="U484" s="105"/>
      <c r="V484" s="74"/>
      <c r="W484" s="105" t="str">
        <f t="shared" si="101"/>
        <v/>
      </c>
      <c r="X484" s="74"/>
      <c r="Y484" s="105" t="str">
        <f t="shared" si="102"/>
        <v/>
      </c>
      <c r="Z484" s="76"/>
    </row>
    <row r="485" spans="1:26" s="29" customFormat="1" ht="21" customHeight="1" x14ac:dyDescent="0.2">
      <c r="A485" s="291"/>
      <c r="B485" s="404"/>
      <c r="C485" s="404"/>
      <c r="D485" s="404"/>
      <c r="E485" s="404"/>
      <c r="F485" s="404"/>
      <c r="G485" s="404"/>
      <c r="H485" s="404"/>
      <c r="I485" s="404"/>
      <c r="J485" s="404"/>
      <c r="K485" s="404"/>
      <c r="L485" s="295"/>
      <c r="N485" s="71"/>
      <c r="O485" s="72" t="s">
        <v>58</v>
      </c>
      <c r="P485" s="72"/>
      <c r="Q485" s="72"/>
      <c r="R485" s="72" t="str">
        <f t="shared" si="100"/>
        <v/>
      </c>
      <c r="S485" s="63"/>
      <c r="T485" s="72" t="s">
        <v>58</v>
      </c>
      <c r="U485" s="105"/>
      <c r="V485" s="74"/>
      <c r="W485" s="105" t="str">
        <f t="shared" si="101"/>
        <v/>
      </c>
      <c r="X485" s="74"/>
      <c r="Y485" s="105" t="str">
        <f t="shared" si="102"/>
        <v/>
      </c>
      <c r="Z485" s="76"/>
    </row>
    <row r="486" spans="1:26" s="29" customFormat="1" ht="21" customHeight="1" thickBot="1" x14ac:dyDescent="0.25">
      <c r="A486" s="301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302"/>
      <c r="N486" s="77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9"/>
    </row>
    <row r="487" spans="1:26" s="29" customFormat="1" ht="21" customHeight="1" thickBot="1" x14ac:dyDescent="0.25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N487" s="71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85"/>
    </row>
    <row r="488" spans="1:26" s="29" customFormat="1" ht="21" customHeight="1" x14ac:dyDescent="0.2">
      <c r="A488" s="412" t="s">
        <v>40</v>
      </c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4"/>
      <c r="M488" s="28"/>
      <c r="N488" s="64"/>
      <c r="O488" s="405" t="s">
        <v>42</v>
      </c>
      <c r="P488" s="406"/>
      <c r="Q488" s="406"/>
      <c r="R488" s="407"/>
      <c r="S488" s="65"/>
      <c r="T488" s="405" t="s">
        <v>43</v>
      </c>
      <c r="U488" s="406"/>
      <c r="V488" s="406"/>
      <c r="W488" s="406"/>
      <c r="X488" s="406"/>
      <c r="Y488" s="407"/>
      <c r="Z488" s="66"/>
    </row>
    <row r="489" spans="1:26" s="29" customFormat="1" ht="21" customHeight="1" x14ac:dyDescent="0.2">
      <c r="A489" s="30"/>
      <c r="C489" s="395" t="s">
        <v>83</v>
      </c>
      <c r="D489" s="395"/>
      <c r="E489" s="395"/>
      <c r="F489" s="395"/>
      <c r="G489" s="31" t="str">
        <f>$J$1</f>
        <v>May</v>
      </c>
      <c r="H489" s="394">
        <f>$K$1</f>
        <v>2023</v>
      </c>
      <c r="I489" s="394"/>
      <c r="K489" s="32"/>
      <c r="L489" s="33"/>
      <c r="M489" s="32"/>
      <c r="N489" s="67"/>
      <c r="O489" s="68" t="s">
        <v>53</v>
      </c>
      <c r="P489" s="68" t="s">
        <v>7</v>
      </c>
      <c r="Q489" s="68" t="s">
        <v>6</v>
      </c>
      <c r="R489" s="68" t="s">
        <v>54</v>
      </c>
      <c r="S489" s="69"/>
      <c r="T489" s="68" t="s">
        <v>53</v>
      </c>
      <c r="U489" s="68" t="s">
        <v>55</v>
      </c>
      <c r="V489" s="68" t="s">
        <v>20</v>
      </c>
      <c r="W489" s="68" t="s">
        <v>19</v>
      </c>
      <c r="X489" s="68" t="s">
        <v>21</v>
      </c>
      <c r="Y489" s="68" t="s">
        <v>59</v>
      </c>
      <c r="Z489" s="70"/>
    </row>
    <row r="490" spans="1:26" s="29" customFormat="1" ht="21" customHeight="1" x14ac:dyDescent="0.2">
      <c r="A490" s="30"/>
      <c r="D490" s="35"/>
      <c r="E490" s="35"/>
      <c r="F490" s="35"/>
      <c r="G490" s="35"/>
      <c r="H490" s="35"/>
      <c r="J490" s="36" t="s">
        <v>1</v>
      </c>
      <c r="K490" s="37">
        <f>25000+2500+2000</f>
        <v>29500</v>
      </c>
      <c r="L490" s="38"/>
      <c r="N490" s="71"/>
      <c r="O490" s="72" t="s">
        <v>45</v>
      </c>
      <c r="P490" s="72">
        <v>31</v>
      </c>
      <c r="Q490" s="72">
        <v>0</v>
      </c>
      <c r="R490" s="72">
        <v>0</v>
      </c>
      <c r="S490" s="73"/>
      <c r="T490" s="72" t="s">
        <v>45</v>
      </c>
      <c r="U490" s="74"/>
      <c r="V490" s="74"/>
      <c r="W490" s="74">
        <f>V490+U490</f>
        <v>0</v>
      </c>
      <c r="X490" s="74"/>
      <c r="Y490" s="74">
        <f>W490-X490</f>
        <v>0</v>
      </c>
      <c r="Z490" s="70"/>
    </row>
    <row r="491" spans="1:26" s="29" customFormat="1" ht="21" customHeight="1" x14ac:dyDescent="0.2">
      <c r="A491" s="30"/>
      <c r="B491" s="29" t="s">
        <v>0</v>
      </c>
      <c r="C491" s="40" t="s">
        <v>108</v>
      </c>
      <c r="H491" s="41"/>
      <c r="I491" s="35"/>
      <c r="L491" s="42"/>
      <c r="M491" s="28"/>
      <c r="N491" s="75"/>
      <c r="O491" s="72" t="s">
        <v>71</v>
      </c>
      <c r="P491" s="72">
        <v>28</v>
      </c>
      <c r="Q491" s="72">
        <v>0</v>
      </c>
      <c r="R491" s="72">
        <v>0</v>
      </c>
      <c r="S491" s="63"/>
      <c r="T491" s="72" t="s">
        <v>71</v>
      </c>
      <c r="U491" s="105">
        <f>IF($J$1="January","",Y490)</f>
        <v>0</v>
      </c>
      <c r="V491" s="74"/>
      <c r="W491" s="105">
        <f>IF(U491="","",U491+V491)</f>
        <v>0</v>
      </c>
      <c r="X491" s="74"/>
      <c r="Y491" s="105">
        <f>IF(W491="","",W491-X491)</f>
        <v>0</v>
      </c>
      <c r="Z491" s="76"/>
    </row>
    <row r="492" spans="1:26" s="29" customFormat="1" ht="21" customHeight="1" x14ac:dyDescent="0.2">
      <c r="A492" s="30"/>
      <c r="B492" s="44" t="s">
        <v>41</v>
      </c>
      <c r="C492" s="118"/>
      <c r="F492" s="411" t="s">
        <v>43</v>
      </c>
      <c r="G492" s="411"/>
      <c r="I492" s="411" t="s">
        <v>44</v>
      </c>
      <c r="J492" s="411"/>
      <c r="K492" s="411"/>
      <c r="L492" s="46"/>
      <c r="N492" s="71"/>
      <c r="O492" s="72" t="s">
        <v>46</v>
      </c>
      <c r="P492" s="72">
        <v>31</v>
      </c>
      <c r="Q492" s="72">
        <v>0</v>
      </c>
      <c r="R492" s="72">
        <v>0</v>
      </c>
      <c r="S492" s="63"/>
      <c r="T492" s="72" t="s">
        <v>46</v>
      </c>
      <c r="U492" s="105">
        <f>IF($J$1="February","",Y491)</f>
        <v>0</v>
      </c>
      <c r="V492" s="74"/>
      <c r="W492" s="105">
        <f t="shared" ref="W492:W501" si="103">IF(U492="","",U492+V492)</f>
        <v>0</v>
      </c>
      <c r="X492" s="74"/>
      <c r="Y492" s="105">
        <f t="shared" ref="Y492:Y501" si="104">IF(W492="","",W492-X492)</f>
        <v>0</v>
      </c>
      <c r="Z492" s="76"/>
    </row>
    <row r="493" spans="1:26" s="29" customFormat="1" ht="21" customHeight="1" x14ac:dyDescent="0.2">
      <c r="A493" s="30"/>
      <c r="H493" s="47"/>
      <c r="L493" s="34"/>
      <c r="N493" s="71"/>
      <c r="O493" s="72" t="s">
        <v>47</v>
      </c>
      <c r="P493" s="72">
        <v>30</v>
      </c>
      <c r="Q493" s="72">
        <v>0</v>
      </c>
      <c r="R493" s="72">
        <v>0</v>
      </c>
      <c r="S493" s="63"/>
      <c r="T493" s="72" t="s">
        <v>47</v>
      </c>
      <c r="U493" s="105">
        <f>IF($J$1="March","",Y492)</f>
        <v>0</v>
      </c>
      <c r="V493" s="74"/>
      <c r="W493" s="105">
        <f t="shared" si="103"/>
        <v>0</v>
      </c>
      <c r="X493" s="74"/>
      <c r="Y493" s="105">
        <f t="shared" si="104"/>
        <v>0</v>
      </c>
      <c r="Z493" s="76"/>
    </row>
    <row r="494" spans="1:26" s="29" customFormat="1" ht="21" customHeight="1" x14ac:dyDescent="0.2">
      <c r="A494" s="30"/>
      <c r="B494" s="389" t="s">
        <v>42</v>
      </c>
      <c r="C494" s="390"/>
      <c r="F494" s="48" t="s">
        <v>64</v>
      </c>
      <c r="G494" s="43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47"/>
      <c r="I494" s="49">
        <f>IF(C498&gt;0,$K$2,C496)</f>
        <v>31</v>
      </c>
      <c r="J494" s="50" t="s">
        <v>61</v>
      </c>
      <c r="K494" s="51">
        <f>K490/$K$2*I494</f>
        <v>29500</v>
      </c>
      <c r="L494" s="52"/>
      <c r="N494" s="71"/>
      <c r="O494" s="72" t="s">
        <v>48</v>
      </c>
      <c r="P494" s="72">
        <v>31</v>
      </c>
      <c r="Q494" s="72">
        <v>0</v>
      </c>
      <c r="R494" s="72">
        <v>0</v>
      </c>
      <c r="S494" s="63"/>
      <c r="T494" s="72" t="s">
        <v>48</v>
      </c>
      <c r="U494" s="105">
        <f>IF($J$1="April","",Y493)</f>
        <v>0</v>
      </c>
      <c r="V494" s="74"/>
      <c r="W494" s="105">
        <f t="shared" si="103"/>
        <v>0</v>
      </c>
      <c r="X494" s="74"/>
      <c r="Y494" s="105">
        <f t="shared" si="104"/>
        <v>0</v>
      </c>
      <c r="Z494" s="76"/>
    </row>
    <row r="495" spans="1:26" s="29" customFormat="1" ht="21" customHeight="1" x14ac:dyDescent="0.2">
      <c r="A495" s="30"/>
      <c r="B495" s="39"/>
      <c r="C495" s="39"/>
      <c r="F495" s="48" t="s">
        <v>20</v>
      </c>
      <c r="G495" s="43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47"/>
      <c r="I495" s="84">
        <v>31</v>
      </c>
      <c r="J495" s="50" t="s">
        <v>62</v>
      </c>
      <c r="K495" s="53">
        <f>K490/$K$2/8*I495</f>
        <v>3687.5</v>
      </c>
      <c r="L495" s="54"/>
      <c r="N495" s="71"/>
      <c r="O495" s="72" t="s">
        <v>49</v>
      </c>
      <c r="P495" s="72"/>
      <c r="Q495" s="72"/>
      <c r="R495" s="72">
        <v>0</v>
      </c>
      <c r="S495" s="63"/>
      <c r="T495" s="72" t="s">
        <v>49</v>
      </c>
      <c r="U495" s="105" t="str">
        <f>IF($J$1="May","",Y494)</f>
        <v/>
      </c>
      <c r="V495" s="74"/>
      <c r="W495" s="105" t="str">
        <f t="shared" si="103"/>
        <v/>
      </c>
      <c r="X495" s="74"/>
      <c r="Y495" s="105" t="str">
        <f t="shared" si="104"/>
        <v/>
      </c>
      <c r="Z495" s="76"/>
    </row>
    <row r="496" spans="1:26" s="29" customFormat="1" ht="21" customHeight="1" x14ac:dyDescent="0.2">
      <c r="A496" s="30"/>
      <c r="B496" s="48" t="s">
        <v>7</v>
      </c>
      <c r="C496" s="39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F496" s="48" t="s">
        <v>65</v>
      </c>
      <c r="G496" s="43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47"/>
      <c r="I496" s="402" t="s">
        <v>69</v>
      </c>
      <c r="J496" s="403"/>
      <c r="K496" s="53">
        <f>K494+K495</f>
        <v>33187.5</v>
      </c>
      <c r="L496" s="54"/>
      <c r="N496" s="71"/>
      <c r="O496" s="72" t="s">
        <v>50</v>
      </c>
      <c r="P496" s="72"/>
      <c r="Q496" s="72"/>
      <c r="R496" s="72">
        <v>0</v>
      </c>
      <c r="S496" s="63"/>
      <c r="T496" s="72" t="s">
        <v>50</v>
      </c>
      <c r="U496" s="105" t="str">
        <f>IF($J$1="June","",Y495)</f>
        <v/>
      </c>
      <c r="V496" s="74"/>
      <c r="W496" s="105" t="str">
        <f t="shared" si="103"/>
        <v/>
      </c>
      <c r="X496" s="74"/>
      <c r="Y496" s="105" t="str">
        <f t="shared" si="104"/>
        <v/>
      </c>
      <c r="Z496" s="76"/>
    </row>
    <row r="497" spans="1:27" s="29" customFormat="1" ht="21" customHeight="1" x14ac:dyDescent="0.2">
      <c r="A497" s="30"/>
      <c r="B497" s="48" t="s">
        <v>6</v>
      </c>
      <c r="C497" s="39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F497" s="48" t="s">
        <v>21</v>
      </c>
      <c r="G497" s="43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47"/>
      <c r="I497" s="402" t="s">
        <v>70</v>
      </c>
      <c r="J497" s="403"/>
      <c r="K497" s="43">
        <f>G497</f>
        <v>0</v>
      </c>
      <c r="L497" s="55"/>
      <c r="N497" s="71"/>
      <c r="O497" s="72" t="s">
        <v>51</v>
      </c>
      <c r="P497" s="72"/>
      <c r="Q497" s="72"/>
      <c r="R497" s="72">
        <v>0</v>
      </c>
      <c r="S497" s="63"/>
      <c r="T497" s="72" t="s">
        <v>51</v>
      </c>
      <c r="U497" s="105" t="str">
        <f>IF($J$1="July","",Y496)</f>
        <v/>
      </c>
      <c r="V497" s="74"/>
      <c r="W497" s="105" t="str">
        <f t="shared" si="103"/>
        <v/>
      </c>
      <c r="X497" s="74"/>
      <c r="Y497" s="105" t="str">
        <f t="shared" si="104"/>
        <v/>
      </c>
      <c r="Z497" s="76"/>
    </row>
    <row r="498" spans="1:27" s="29" customFormat="1" ht="21" customHeight="1" x14ac:dyDescent="0.2">
      <c r="A498" s="30"/>
      <c r="B498" s="56" t="s">
        <v>68</v>
      </c>
      <c r="C498" s="39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F498" s="48" t="s">
        <v>140</v>
      </c>
      <c r="G498" s="43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I498" s="391" t="s">
        <v>63</v>
      </c>
      <c r="J498" s="393"/>
      <c r="K498" s="57">
        <f>K496-K497</f>
        <v>33187.5</v>
      </c>
      <c r="L498" s="58"/>
      <c r="N498" s="71"/>
      <c r="O498" s="72" t="s">
        <v>56</v>
      </c>
      <c r="P498" s="72"/>
      <c r="Q498" s="72"/>
      <c r="R498" s="72">
        <v>0</v>
      </c>
      <c r="S498" s="63"/>
      <c r="T498" s="72" t="s">
        <v>56</v>
      </c>
      <c r="U498" s="105" t="str">
        <f>IF($J$1="July","",Y497)</f>
        <v/>
      </c>
      <c r="V498" s="74"/>
      <c r="W498" s="105" t="str">
        <f t="shared" ref="W498" si="105">IF(U498="","",U498+V498)</f>
        <v/>
      </c>
      <c r="X498" s="74"/>
      <c r="Y498" s="105" t="str">
        <f t="shared" ref="Y498" si="106">IF(W498="","",W498-X498)</f>
        <v/>
      </c>
      <c r="Z498" s="76"/>
    </row>
    <row r="499" spans="1:27" s="29" customFormat="1" ht="21" customHeight="1" x14ac:dyDescent="0.2">
      <c r="A499" s="30"/>
      <c r="K499" s="107"/>
      <c r="L499" s="46"/>
      <c r="N499" s="71"/>
      <c r="O499" s="72" t="s">
        <v>52</v>
      </c>
      <c r="P499" s="72"/>
      <c r="Q499" s="72"/>
      <c r="R499" s="72" t="str">
        <f>IF(Q499="","",R498-Q499)</f>
        <v/>
      </c>
      <c r="S499" s="63"/>
      <c r="T499" s="72" t="s">
        <v>52</v>
      </c>
      <c r="U499" s="105"/>
      <c r="V499" s="74"/>
      <c r="W499" s="105" t="str">
        <f t="shared" si="103"/>
        <v/>
      </c>
      <c r="X499" s="74"/>
      <c r="Y499" s="105" t="str">
        <f t="shared" si="104"/>
        <v/>
      </c>
      <c r="Z499" s="76"/>
    </row>
    <row r="500" spans="1:27" s="29" customFormat="1" ht="21" customHeight="1" x14ac:dyDescent="0.2">
      <c r="A500" s="30"/>
      <c r="B500" s="404" t="s">
        <v>85</v>
      </c>
      <c r="C500" s="404"/>
      <c r="D500" s="404"/>
      <c r="E500" s="404"/>
      <c r="F500" s="404"/>
      <c r="G500" s="404"/>
      <c r="H500" s="404"/>
      <c r="I500" s="404"/>
      <c r="J500" s="404"/>
      <c r="K500" s="404"/>
      <c r="L500" s="46"/>
      <c r="N500" s="71"/>
      <c r="O500" s="72" t="s">
        <v>57</v>
      </c>
      <c r="P500" s="72"/>
      <c r="Q500" s="72"/>
      <c r="R500" s="72">
        <v>0</v>
      </c>
      <c r="S500" s="63"/>
      <c r="T500" s="72" t="s">
        <v>57</v>
      </c>
      <c r="U500" s="105"/>
      <c r="V500" s="74"/>
      <c r="W500" s="105" t="str">
        <f t="shared" si="103"/>
        <v/>
      </c>
      <c r="X500" s="74"/>
      <c r="Y500" s="105" t="str">
        <f t="shared" si="104"/>
        <v/>
      </c>
      <c r="Z500" s="76"/>
    </row>
    <row r="501" spans="1:27" s="29" customFormat="1" ht="21" customHeight="1" x14ac:dyDescent="0.2">
      <c r="A501" s="30"/>
      <c r="B501" s="404"/>
      <c r="C501" s="404"/>
      <c r="D501" s="404"/>
      <c r="E501" s="404"/>
      <c r="F501" s="404"/>
      <c r="G501" s="404"/>
      <c r="H501" s="404"/>
      <c r="I501" s="404"/>
      <c r="J501" s="404"/>
      <c r="K501" s="404"/>
      <c r="L501" s="46"/>
      <c r="N501" s="71"/>
      <c r="O501" s="72" t="s">
        <v>58</v>
      </c>
      <c r="P501" s="72"/>
      <c r="Q501" s="72"/>
      <c r="R501" s="72">
        <v>0</v>
      </c>
      <c r="S501" s="63"/>
      <c r="T501" s="72" t="s">
        <v>58</v>
      </c>
      <c r="U501" s="105"/>
      <c r="V501" s="74"/>
      <c r="W501" s="105" t="str">
        <f t="shared" si="103"/>
        <v/>
      </c>
      <c r="X501" s="74"/>
      <c r="Y501" s="105" t="str">
        <f t="shared" si="104"/>
        <v/>
      </c>
      <c r="Z501" s="76"/>
    </row>
    <row r="502" spans="1:27" s="29" customFormat="1" ht="21" customHeight="1" thickBot="1" x14ac:dyDescent="0.25">
      <c r="A502" s="5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1"/>
      <c r="N502" s="77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9"/>
    </row>
    <row r="503" spans="1:27" s="29" customFormat="1" ht="21" customHeight="1" thickBot="1" x14ac:dyDescent="0.25"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7" s="29" customFormat="1" ht="21.4" customHeight="1" x14ac:dyDescent="0.2">
      <c r="A504" s="437" t="s">
        <v>40</v>
      </c>
      <c r="B504" s="438"/>
      <c r="C504" s="438"/>
      <c r="D504" s="438"/>
      <c r="E504" s="438"/>
      <c r="F504" s="438"/>
      <c r="G504" s="438"/>
      <c r="H504" s="438"/>
      <c r="I504" s="438"/>
      <c r="J504" s="438"/>
      <c r="K504" s="438"/>
      <c r="L504" s="439"/>
      <c r="M504" s="28"/>
      <c r="N504" s="64"/>
      <c r="O504" s="405" t="s">
        <v>42</v>
      </c>
      <c r="P504" s="406"/>
      <c r="Q504" s="406"/>
      <c r="R504" s="407"/>
      <c r="S504" s="65"/>
      <c r="T504" s="405" t="s">
        <v>43</v>
      </c>
      <c r="U504" s="406"/>
      <c r="V504" s="406"/>
      <c r="W504" s="406"/>
      <c r="X504" s="406"/>
      <c r="Y504" s="407"/>
      <c r="Z504" s="66"/>
      <c r="AA504" s="28"/>
    </row>
    <row r="505" spans="1:27" s="29" customFormat="1" ht="21.4" customHeight="1" x14ac:dyDescent="0.2">
      <c r="A505" s="30"/>
      <c r="C505" s="395" t="s">
        <v>83</v>
      </c>
      <c r="D505" s="395"/>
      <c r="E505" s="395"/>
      <c r="F505" s="395"/>
      <c r="G505" s="31" t="str">
        <f>$J$1</f>
        <v>May</v>
      </c>
      <c r="H505" s="394">
        <f>$K$1</f>
        <v>2023</v>
      </c>
      <c r="I505" s="394"/>
      <c r="K505" s="32"/>
      <c r="L505" s="33"/>
      <c r="M505" s="32"/>
      <c r="N505" s="67"/>
      <c r="O505" s="68" t="s">
        <v>53</v>
      </c>
      <c r="P505" s="68" t="s">
        <v>7</v>
      </c>
      <c r="Q505" s="68" t="s">
        <v>6</v>
      </c>
      <c r="R505" s="68" t="s">
        <v>54</v>
      </c>
      <c r="S505" s="69"/>
      <c r="T505" s="68" t="s">
        <v>53</v>
      </c>
      <c r="U505" s="68" t="s">
        <v>55</v>
      </c>
      <c r="V505" s="68" t="s">
        <v>20</v>
      </c>
      <c r="W505" s="68" t="s">
        <v>19</v>
      </c>
      <c r="X505" s="68" t="s">
        <v>21</v>
      </c>
      <c r="Y505" s="68" t="s">
        <v>59</v>
      </c>
      <c r="Z505" s="70"/>
      <c r="AA505" s="32"/>
    </row>
    <row r="506" spans="1:27" s="29" customFormat="1" ht="21.4" customHeight="1" x14ac:dyDescent="0.2">
      <c r="A506" s="30"/>
      <c r="D506" s="35"/>
      <c r="E506" s="35"/>
      <c r="F506" s="35"/>
      <c r="G506" s="35"/>
      <c r="H506" s="35"/>
      <c r="J506" s="36" t="s">
        <v>1</v>
      </c>
      <c r="K506" s="37">
        <f>22500+2500+2000</f>
        <v>27000</v>
      </c>
      <c r="L506" s="38"/>
      <c r="N506" s="71"/>
      <c r="O506" s="72" t="s">
        <v>45</v>
      </c>
      <c r="P506" s="72">
        <v>31</v>
      </c>
      <c r="Q506" s="72">
        <v>0</v>
      </c>
      <c r="R506" s="72">
        <v>0</v>
      </c>
      <c r="S506" s="73"/>
      <c r="T506" s="72" t="s">
        <v>45</v>
      </c>
      <c r="U506" s="74">
        <v>15000</v>
      </c>
      <c r="V506" s="74"/>
      <c r="W506" s="74">
        <f>V506+U506</f>
        <v>15000</v>
      </c>
      <c r="X506" s="74">
        <v>5000</v>
      </c>
      <c r="Y506" s="74">
        <f>W506-X506</f>
        <v>10000</v>
      </c>
      <c r="Z506" s="70"/>
    </row>
    <row r="507" spans="1:27" s="29" customFormat="1" ht="21.4" customHeight="1" x14ac:dyDescent="0.2">
      <c r="A507" s="30"/>
      <c r="B507" s="29" t="s">
        <v>0</v>
      </c>
      <c r="C507" s="40" t="s">
        <v>151</v>
      </c>
      <c r="H507" s="41"/>
      <c r="I507" s="35"/>
      <c r="L507" s="42"/>
      <c r="M507" s="28"/>
      <c r="N507" s="75"/>
      <c r="O507" s="72" t="s">
        <v>71</v>
      </c>
      <c r="P507" s="72">
        <v>28</v>
      </c>
      <c r="Q507" s="72">
        <v>0</v>
      </c>
      <c r="R507" s="72">
        <v>0</v>
      </c>
      <c r="S507" s="63"/>
      <c r="T507" s="72" t="s">
        <v>71</v>
      </c>
      <c r="U507" s="105">
        <f>IF($J$1="January","",Y506)</f>
        <v>10000</v>
      </c>
      <c r="V507" s="74"/>
      <c r="W507" s="105">
        <f>IF(U507="","",U507+V507)</f>
        <v>10000</v>
      </c>
      <c r="X507" s="74"/>
      <c r="Y507" s="105">
        <f>IF(W507="","",W507-X507)</f>
        <v>10000</v>
      </c>
      <c r="Z507" s="76"/>
      <c r="AA507" s="28"/>
    </row>
    <row r="508" spans="1:27" s="29" customFormat="1" ht="21.4" customHeight="1" x14ac:dyDescent="0.2">
      <c r="A508" s="30"/>
      <c r="B508" s="44" t="s">
        <v>41</v>
      </c>
      <c r="C508" s="62"/>
      <c r="F508" s="411" t="s">
        <v>43</v>
      </c>
      <c r="G508" s="411"/>
      <c r="I508" s="411" t="s">
        <v>44</v>
      </c>
      <c r="J508" s="411"/>
      <c r="K508" s="411"/>
      <c r="L508" s="46"/>
      <c r="N508" s="71"/>
      <c r="O508" s="72" t="s">
        <v>46</v>
      </c>
      <c r="P508" s="72">
        <v>31</v>
      </c>
      <c r="Q508" s="72">
        <v>0</v>
      </c>
      <c r="R508" s="72">
        <v>0</v>
      </c>
      <c r="S508" s="63"/>
      <c r="T508" s="72" t="s">
        <v>46</v>
      </c>
      <c r="U508" s="105">
        <f>IF($J$1="February","",Y507)</f>
        <v>10000</v>
      </c>
      <c r="V508" s="74"/>
      <c r="W508" s="105">
        <f t="shared" ref="W508:W517" si="107">IF(U508="","",U508+V508)</f>
        <v>10000</v>
      </c>
      <c r="X508" s="74">
        <v>5000</v>
      </c>
      <c r="Y508" s="105">
        <f t="shared" ref="Y508:Y517" si="108">IF(W508="","",W508-X508)</f>
        <v>5000</v>
      </c>
      <c r="Z508" s="76"/>
    </row>
    <row r="509" spans="1:27" s="29" customFormat="1" ht="21.4" customHeight="1" x14ac:dyDescent="0.2">
      <c r="A509" s="30"/>
      <c r="H509" s="47"/>
      <c r="L509" s="34"/>
      <c r="N509" s="71"/>
      <c r="O509" s="72" t="s">
        <v>47</v>
      </c>
      <c r="P509" s="72">
        <v>30</v>
      </c>
      <c r="Q509" s="72">
        <v>0</v>
      </c>
      <c r="R509" s="72">
        <v>0</v>
      </c>
      <c r="S509" s="63"/>
      <c r="T509" s="72" t="s">
        <v>47</v>
      </c>
      <c r="U509" s="105">
        <f>IF($J$1="March","",Y508)</f>
        <v>5000</v>
      </c>
      <c r="V509" s="74"/>
      <c r="W509" s="105">
        <f t="shared" si="107"/>
        <v>5000</v>
      </c>
      <c r="X509" s="74">
        <v>5000</v>
      </c>
      <c r="Y509" s="105">
        <f t="shared" si="108"/>
        <v>0</v>
      </c>
      <c r="Z509" s="76"/>
    </row>
    <row r="510" spans="1:27" s="29" customFormat="1" ht="21.4" customHeight="1" x14ac:dyDescent="0.2">
      <c r="A510" s="30"/>
      <c r="B510" s="389" t="s">
        <v>42</v>
      </c>
      <c r="C510" s="390"/>
      <c r="F510" s="48" t="s">
        <v>64</v>
      </c>
      <c r="G510" s="43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>0</v>
      </c>
      <c r="H510" s="47"/>
      <c r="I510" s="49">
        <f>IF(C514&gt;0,$K$2,C512)</f>
        <v>30</v>
      </c>
      <c r="J510" s="50" t="s">
        <v>61</v>
      </c>
      <c r="K510" s="51">
        <f>K506/$K$2*I510</f>
        <v>26129.032258064515</v>
      </c>
      <c r="L510" s="52"/>
      <c r="N510" s="71"/>
      <c r="O510" s="72" t="s">
        <v>48</v>
      </c>
      <c r="P510" s="72">
        <v>30</v>
      </c>
      <c r="Q510" s="72">
        <v>1</v>
      </c>
      <c r="R510" s="72">
        <v>0</v>
      </c>
      <c r="S510" s="63"/>
      <c r="T510" s="72" t="s">
        <v>48</v>
      </c>
      <c r="U510" s="105">
        <f>Y509</f>
        <v>0</v>
      </c>
      <c r="V510" s="74"/>
      <c r="W510" s="105">
        <f t="shared" si="107"/>
        <v>0</v>
      </c>
      <c r="X510" s="74"/>
      <c r="Y510" s="105">
        <f t="shared" si="108"/>
        <v>0</v>
      </c>
      <c r="Z510" s="76"/>
    </row>
    <row r="511" spans="1:27" s="29" customFormat="1" ht="21.4" customHeight="1" x14ac:dyDescent="0.2">
      <c r="A511" s="30"/>
      <c r="B511" s="39"/>
      <c r="C511" s="39"/>
      <c r="F511" s="48" t="s">
        <v>20</v>
      </c>
      <c r="G511" s="43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47"/>
      <c r="I511" s="84">
        <v>67</v>
      </c>
      <c r="J511" s="50" t="s">
        <v>62</v>
      </c>
      <c r="K511" s="53">
        <f>K506/$K$2/8*I511</f>
        <v>7294.354838709678</v>
      </c>
      <c r="L511" s="54"/>
      <c r="N511" s="71"/>
      <c r="O511" s="72" t="s">
        <v>49</v>
      </c>
      <c r="P511" s="72"/>
      <c r="Q511" s="72"/>
      <c r="R511" s="72">
        <v>0</v>
      </c>
      <c r="S511" s="63"/>
      <c r="T511" s="72" t="s">
        <v>49</v>
      </c>
      <c r="U511" s="105"/>
      <c r="V511" s="74"/>
      <c r="W511" s="105" t="str">
        <f t="shared" si="107"/>
        <v/>
      </c>
      <c r="X511" s="74"/>
      <c r="Y511" s="105" t="str">
        <f t="shared" si="108"/>
        <v/>
      </c>
      <c r="Z511" s="76"/>
    </row>
    <row r="512" spans="1:27" s="29" customFormat="1" ht="21.4" customHeight="1" x14ac:dyDescent="0.2">
      <c r="A512" s="30"/>
      <c r="B512" s="48" t="s">
        <v>7</v>
      </c>
      <c r="C512" s="39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30</v>
      </c>
      <c r="F512" s="48" t="s">
        <v>65</v>
      </c>
      <c r="G512" s="43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>0</v>
      </c>
      <c r="H512" s="47"/>
      <c r="I512" s="402" t="s">
        <v>69</v>
      </c>
      <c r="J512" s="403"/>
      <c r="K512" s="53">
        <f>K510+K511</f>
        <v>33423.387096774197</v>
      </c>
      <c r="L512" s="54"/>
      <c r="N512" s="71"/>
      <c r="O512" s="72" t="s">
        <v>50</v>
      </c>
      <c r="P512" s="72"/>
      <c r="Q512" s="72"/>
      <c r="R512" s="72">
        <v>0</v>
      </c>
      <c r="S512" s="63"/>
      <c r="T512" s="72" t="s">
        <v>50</v>
      </c>
      <c r="U512" s="105" t="str">
        <f t="shared" ref="U512" si="109">Y511</f>
        <v/>
      </c>
      <c r="V512" s="74"/>
      <c r="W512" s="105" t="str">
        <f t="shared" si="107"/>
        <v/>
      </c>
      <c r="X512" s="74"/>
      <c r="Y512" s="105" t="str">
        <f t="shared" si="108"/>
        <v/>
      </c>
      <c r="Z512" s="76"/>
    </row>
    <row r="513" spans="1:27" s="29" customFormat="1" ht="21.4" customHeight="1" x14ac:dyDescent="0.2">
      <c r="A513" s="30"/>
      <c r="B513" s="48" t="s">
        <v>6</v>
      </c>
      <c r="C513" s="39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1</v>
      </c>
      <c r="F513" s="48" t="s">
        <v>21</v>
      </c>
      <c r="G513" s="43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47"/>
      <c r="I513" s="402" t="s">
        <v>70</v>
      </c>
      <c r="J513" s="403"/>
      <c r="K513" s="43">
        <f>G513</f>
        <v>0</v>
      </c>
      <c r="L513" s="55"/>
      <c r="N513" s="71"/>
      <c r="O513" s="72" t="s">
        <v>51</v>
      </c>
      <c r="P513" s="72"/>
      <c r="Q513" s="72"/>
      <c r="R513" s="72">
        <v>0</v>
      </c>
      <c r="S513" s="63"/>
      <c r="T513" s="72" t="s">
        <v>51</v>
      </c>
      <c r="U513" s="105" t="str">
        <f>Y512</f>
        <v/>
      </c>
      <c r="V513" s="74"/>
      <c r="W513" s="105" t="str">
        <f t="shared" si="107"/>
        <v/>
      </c>
      <c r="X513" s="74"/>
      <c r="Y513" s="105" t="str">
        <f t="shared" si="108"/>
        <v/>
      </c>
      <c r="Z513" s="76"/>
    </row>
    <row r="514" spans="1:27" s="29" customFormat="1" ht="21.4" customHeight="1" x14ac:dyDescent="0.2">
      <c r="A514" s="30"/>
      <c r="B514" s="56" t="s">
        <v>68</v>
      </c>
      <c r="C514" s="39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0</v>
      </c>
      <c r="F514" s="48" t="s">
        <v>67</v>
      </c>
      <c r="G514" s="43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>0</v>
      </c>
      <c r="I514" s="391" t="s">
        <v>63</v>
      </c>
      <c r="J514" s="393"/>
      <c r="K514" s="57">
        <f>K512-K513</f>
        <v>33423.387096774197</v>
      </c>
      <c r="L514" s="58"/>
      <c r="N514" s="71"/>
      <c r="O514" s="72" t="s">
        <v>56</v>
      </c>
      <c r="P514" s="72"/>
      <c r="Q514" s="72"/>
      <c r="R514" s="72">
        <v>0</v>
      </c>
      <c r="S514" s="63"/>
      <c r="T514" s="72" t="s">
        <v>56</v>
      </c>
      <c r="U514" s="105" t="str">
        <f>Y513</f>
        <v/>
      </c>
      <c r="V514" s="74"/>
      <c r="W514" s="105" t="str">
        <f t="shared" si="107"/>
        <v/>
      </c>
      <c r="X514" s="74"/>
      <c r="Y514" s="105" t="str">
        <f t="shared" si="108"/>
        <v/>
      </c>
      <c r="Z514" s="76"/>
    </row>
    <row r="515" spans="1:27" s="29" customFormat="1" ht="21.4" customHeight="1" x14ac:dyDescent="0.2">
      <c r="A515" s="30"/>
      <c r="K515" s="107"/>
      <c r="L515" s="46"/>
      <c r="N515" s="71"/>
      <c r="O515" s="72" t="s">
        <v>52</v>
      </c>
      <c r="P515" s="72"/>
      <c r="Q515" s="72"/>
      <c r="R515" s="72">
        <v>0</v>
      </c>
      <c r="S515" s="63"/>
      <c r="T515" s="72" t="s">
        <v>52</v>
      </c>
      <c r="U515" s="105" t="str">
        <f>Y514</f>
        <v/>
      </c>
      <c r="V515" s="74"/>
      <c r="W515" s="105" t="str">
        <f t="shared" si="107"/>
        <v/>
      </c>
      <c r="X515" s="74"/>
      <c r="Y515" s="105" t="str">
        <f t="shared" si="108"/>
        <v/>
      </c>
      <c r="Z515" s="76"/>
    </row>
    <row r="516" spans="1:27" s="29" customFormat="1" ht="21.4" customHeight="1" x14ac:dyDescent="0.2">
      <c r="A516" s="30"/>
      <c r="B516" s="404" t="s">
        <v>85</v>
      </c>
      <c r="C516" s="404"/>
      <c r="D516" s="404"/>
      <c r="E516" s="404"/>
      <c r="F516" s="404"/>
      <c r="G516" s="404"/>
      <c r="H516" s="404"/>
      <c r="I516" s="404"/>
      <c r="J516" s="404"/>
      <c r="K516" s="404"/>
      <c r="L516" s="46"/>
      <c r="N516" s="71"/>
      <c r="O516" s="72" t="s">
        <v>57</v>
      </c>
      <c r="P516" s="72"/>
      <c r="Q516" s="72"/>
      <c r="R516" s="72">
        <v>0</v>
      </c>
      <c r="S516" s="63"/>
      <c r="T516" s="72" t="s">
        <v>57</v>
      </c>
      <c r="U516" s="105" t="str">
        <f>Y515</f>
        <v/>
      </c>
      <c r="V516" s="74"/>
      <c r="W516" s="105" t="str">
        <f t="shared" si="107"/>
        <v/>
      </c>
      <c r="X516" s="74"/>
      <c r="Y516" s="105" t="str">
        <f t="shared" si="108"/>
        <v/>
      </c>
      <c r="Z516" s="76"/>
    </row>
    <row r="517" spans="1:27" s="29" customFormat="1" ht="21.4" customHeight="1" x14ac:dyDescent="0.2">
      <c r="A517" s="30"/>
      <c r="B517" s="404"/>
      <c r="C517" s="404"/>
      <c r="D517" s="404"/>
      <c r="E517" s="404"/>
      <c r="F517" s="404"/>
      <c r="G517" s="404"/>
      <c r="H517" s="404"/>
      <c r="I517" s="404"/>
      <c r="J517" s="404"/>
      <c r="K517" s="404"/>
      <c r="L517" s="46"/>
      <c r="N517" s="71"/>
      <c r="O517" s="72" t="s">
        <v>58</v>
      </c>
      <c r="P517" s="72"/>
      <c r="Q517" s="72"/>
      <c r="R517" s="72">
        <v>0</v>
      </c>
      <c r="S517" s="63"/>
      <c r="T517" s="72" t="s">
        <v>58</v>
      </c>
      <c r="U517" s="105" t="str">
        <f>Y516</f>
        <v/>
      </c>
      <c r="V517" s="74"/>
      <c r="W517" s="105" t="str">
        <f t="shared" si="107"/>
        <v/>
      </c>
      <c r="X517" s="74"/>
      <c r="Y517" s="105" t="str">
        <f t="shared" si="108"/>
        <v/>
      </c>
      <c r="Z517" s="76"/>
    </row>
    <row r="518" spans="1:27" s="29" customFormat="1" ht="21.4" customHeight="1" thickBot="1" x14ac:dyDescent="0.25">
      <c r="A518" s="5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1"/>
      <c r="N518" s="77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9"/>
    </row>
    <row r="519" spans="1:27" s="29" customFormat="1" ht="21" customHeight="1" thickBot="1" x14ac:dyDescent="0.25"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7" s="29" customFormat="1" ht="21" customHeight="1" x14ac:dyDescent="0.2">
      <c r="A520" s="412" t="s">
        <v>40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4"/>
      <c r="M520" s="28"/>
      <c r="N520" s="64"/>
      <c r="O520" s="405" t="s">
        <v>42</v>
      </c>
      <c r="P520" s="406"/>
      <c r="Q520" s="406"/>
      <c r="R520" s="407"/>
      <c r="S520" s="65"/>
      <c r="T520" s="405" t="s">
        <v>43</v>
      </c>
      <c r="U520" s="406"/>
      <c r="V520" s="406"/>
      <c r="W520" s="406"/>
      <c r="X520" s="406"/>
      <c r="Y520" s="407"/>
      <c r="Z520" s="66"/>
      <c r="AA520" s="28"/>
    </row>
    <row r="521" spans="1:27" s="29" customFormat="1" ht="21" customHeight="1" x14ac:dyDescent="0.2">
      <c r="A521" s="30"/>
      <c r="C521" s="395" t="s">
        <v>83</v>
      </c>
      <c r="D521" s="395"/>
      <c r="E521" s="395"/>
      <c r="F521" s="395"/>
      <c r="G521" s="31" t="str">
        <f>$J$1</f>
        <v>May</v>
      </c>
      <c r="H521" s="394">
        <f>$K$1</f>
        <v>2023</v>
      </c>
      <c r="I521" s="394"/>
      <c r="K521" s="32"/>
      <c r="L521" s="33"/>
      <c r="M521" s="32"/>
      <c r="N521" s="67"/>
      <c r="O521" s="68" t="s">
        <v>53</v>
      </c>
      <c r="P521" s="68" t="s">
        <v>7</v>
      </c>
      <c r="Q521" s="68" t="s">
        <v>6</v>
      </c>
      <c r="R521" s="68" t="s">
        <v>54</v>
      </c>
      <c r="S521" s="69"/>
      <c r="T521" s="68" t="s">
        <v>53</v>
      </c>
      <c r="U521" s="68" t="s">
        <v>55</v>
      </c>
      <c r="V521" s="68" t="s">
        <v>20</v>
      </c>
      <c r="W521" s="68" t="s">
        <v>19</v>
      </c>
      <c r="X521" s="68" t="s">
        <v>21</v>
      </c>
      <c r="Y521" s="68" t="s">
        <v>59</v>
      </c>
      <c r="Z521" s="70"/>
      <c r="AA521" s="32"/>
    </row>
    <row r="522" spans="1:27" s="29" customFormat="1" ht="21" customHeight="1" x14ac:dyDescent="0.2">
      <c r="A522" s="30"/>
      <c r="D522" s="35"/>
      <c r="E522" s="35"/>
      <c r="F522" s="35"/>
      <c r="G522" s="35"/>
      <c r="H522" s="35"/>
      <c r="J522" s="36" t="s">
        <v>1</v>
      </c>
      <c r="K522" s="136">
        <f>32500+2000</f>
        <v>34500</v>
      </c>
      <c r="L522" s="38"/>
      <c r="N522" s="71"/>
      <c r="O522" s="72" t="s">
        <v>45</v>
      </c>
      <c r="P522" s="72">
        <v>31</v>
      </c>
      <c r="Q522" s="72">
        <v>0</v>
      </c>
      <c r="R522" s="72">
        <v>0</v>
      </c>
      <c r="S522" s="73"/>
      <c r="T522" s="72" t="s">
        <v>45</v>
      </c>
      <c r="U522" s="74"/>
      <c r="V522" s="74"/>
      <c r="W522" s="74">
        <f>V522+U522</f>
        <v>0</v>
      </c>
      <c r="X522" s="74"/>
      <c r="Y522" s="74">
        <f>W522-X522</f>
        <v>0</v>
      </c>
      <c r="Z522" s="70"/>
    </row>
    <row r="523" spans="1:27" s="29" customFormat="1" ht="21" customHeight="1" x14ac:dyDescent="0.2">
      <c r="A523" s="30"/>
      <c r="B523" s="29" t="s">
        <v>0</v>
      </c>
      <c r="C523" s="40" t="s">
        <v>166</v>
      </c>
      <c r="H523" s="41"/>
      <c r="I523" s="35"/>
      <c r="L523" s="42"/>
      <c r="M523" s="28"/>
      <c r="N523" s="75"/>
      <c r="O523" s="72" t="s">
        <v>71</v>
      </c>
      <c r="P523" s="72">
        <v>28</v>
      </c>
      <c r="Q523" s="72">
        <v>0</v>
      </c>
      <c r="R523" s="72">
        <v>0</v>
      </c>
      <c r="S523" s="63"/>
      <c r="T523" s="72" t="s">
        <v>71</v>
      </c>
      <c r="U523" s="105">
        <f>IF($J$1="January","",Y522)</f>
        <v>0</v>
      </c>
      <c r="V523" s="74"/>
      <c r="W523" s="105">
        <f>IF(U523="","",U523+V523)</f>
        <v>0</v>
      </c>
      <c r="X523" s="74"/>
      <c r="Y523" s="105">
        <f>IF(W523="","",W523-X523)</f>
        <v>0</v>
      </c>
      <c r="Z523" s="76"/>
      <c r="AA523" s="28"/>
    </row>
    <row r="524" spans="1:27" s="29" customFormat="1" ht="21" customHeight="1" x14ac:dyDescent="0.2">
      <c r="A524" s="30"/>
      <c r="B524" s="44" t="s">
        <v>41</v>
      </c>
      <c r="C524" s="45"/>
      <c r="F524" s="411" t="s">
        <v>43</v>
      </c>
      <c r="G524" s="411"/>
      <c r="I524" s="411" t="s">
        <v>44</v>
      </c>
      <c r="J524" s="411"/>
      <c r="K524" s="411"/>
      <c r="L524" s="46"/>
      <c r="N524" s="71"/>
      <c r="O524" s="72" t="s">
        <v>46</v>
      </c>
      <c r="P524" s="72">
        <v>31</v>
      </c>
      <c r="Q524" s="72">
        <v>0</v>
      </c>
      <c r="R524" s="72">
        <v>0</v>
      </c>
      <c r="S524" s="63"/>
      <c r="T524" s="72" t="s">
        <v>46</v>
      </c>
      <c r="U524" s="105">
        <f>IF($J$1="February","",Y523)</f>
        <v>0</v>
      </c>
      <c r="V524" s="74"/>
      <c r="W524" s="105">
        <f t="shared" ref="W524:W533" si="110">IF(U524="","",U524+V524)</f>
        <v>0</v>
      </c>
      <c r="X524" s="74"/>
      <c r="Y524" s="105">
        <f t="shared" ref="Y524:Y533" si="111">IF(W524="","",W524-X524)</f>
        <v>0</v>
      </c>
      <c r="Z524" s="76"/>
    </row>
    <row r="525" spans="1:27" s="29" customFormat="1" ht="21" customHeight="1" x14ac:dyDescent="0.2">
      <c r="A525" s="30"/>
      <c r="H525" s="47"/>
      <c r="L525" s="34"/>
      <c r="N525" s="71"/>
      <c r="O525" s="72" t="s">
        <v>47</v>
      </c>
      <c r="P525" s="72">
        <v>30</v>
      </c>
      <c r="Q525" s="72">
        <v>0</v>
      </c>
      <c r="R525" s="72">
        <v>0</v>
      </c>
      <c r="S525" s="63"/>
      <c r="T525" s="72" t="s">
        <v>47</v>
      </c>
      <c r="U525" s="105">
        <f>IF($J$1="March","",Y524)</f>
        <v>0</v>
      </c>
      <c r="V525" s="74"/>
      <c r="W525" s="105">
        <f t="shared" si="110"/>
        <v>0</v>
      </c>
      <c r="X525" s="74"/>
      <c r="Y525" s="105">
        <f t="shared" si="111"/>
        <v>0</v>
      </c>
      <c r="Z525" s="76"/>
    </row>
    <row r="526" spans="1:27" s="29" customFormat="1" ht="21" customHeight="1" x14ac:dyDescent="0.2">
      <c r="A526" s="30"/>
      <c r="B526" s="389" t="s">
        <v>42</v>
      </c>
      <c r="C526" s="390"/>
      <c r="F526" s="48" t="s">
        <v>64</v>
      </c>
      <c r="G526" s="43">
        <f>IF($J$1="January",U522,IF($J$1="February",U523,IF($J$1="March",U524,IF($J$1="April",U525,IF($J$1="May",U526,IF($J$1="June",U527,IF($J$1="July",U528,IF($J$1="August",U529,IF($J$1="August",U529,IF($J$1="September",U530,IF($J$1="October",U531,IF($J$1="November",U532,IF($J$1="December",U533)))))))))))))</f>
        <v>0</v>
      </c>
      <c r="H526" s="47"/>
      <c r="I526" s="49">
        <f>IF(C530&gt;0,$K$2,C528)</f>
        <v>31</v>
      </c>
      <c r="J526" s="50" t="s">
        <v>61</v>
      </c>
      <c r="K526" s="51">
        <f>K522/$K$2*I526</f>
        <v>34500</v>
      </c>
      <c r="L526" s="52"/>
      <c r="N526" s="71"/>
      <c r="O526" s="72" t="s">
        <v>48</v>
      </c>
      <c r="P526" s="72">
        <v>31</v>
      </c>
      <c r="Q526" s="72">
        <v>0</v>
      </c>
      <c r="R526" s="72">
        <v>0</v>
      </c>
      <c r="S526" s="63"/>
      <c r="T526" s="72" t="s">
        <v>48</v>
      </c>
      <c r="U526" s="105">
        <f>IF($J$1="April","",Y525)</f>
        <v>0</v>
      </c>
      <c r="V526" s="74"/>
      <c r="W526" s="105">
        <f t="shared" si="110"/>
        <v>0</v>
      </c>
      <c r="X526" s="74"/>
      <c r="Y526" s="105">
        <f t="shared" si="111"/>
        <v>0</v>
      </c>
      <c r="Z526" s="76"/>
    </row>
    <row r="527" spans="1:27" s="29" customFormat="1" ht="21" customHeight="1" x14ac:dyDescent="0.2">
      <c r="A527" s="30"/>
      <c r="B527" s="39"/>
      <c r="C527" s="39"/>
      <c r="F527" s="48" t="s">
        <v>20</v>
      </c>
      <c r="G527" s="43">
        <f>IF($J$1="January",V522,IF($J$1="February",V523,IF($J$1="March",V524,IF($J$1="April",V525,IF($J$1="May",V526,IF($J$1="June",V527,IF($J$1="July",V528,IF($J$1="August",V529,IF($J$1="August",V529,IF($J$1="September",V530,IF($J$1="October",V531,IF($J$1="November",V532,IF($J$1="December",V533)))))))))))))</f>
        <v>0</v>
      </c>
      <c r="H527" s="47"/>
      <c r="I527" s="84">
        <v>24</v>
      </c>
      <c r="J527" s="50" t="s">
        <v>62</v>
      </c>
      <c r="K527" s="53">
        <f>K522/$K$2/8*I527</f>
        <v>3338.7096774193551</v>
      </c>
      <c r="L527" s="54"/>
      <c r="N527" s="71"/>
      <c r="O527" s="72" t="s">
        <v>49</v>
      </c>
      <c r="P527" s="72"/>
      <c r="Q527" s="72"/>
      <c r="R527" s="72">
        <v>0</v>
      </c>
      <c r="S527" s="63"/>
      <c r="T527" s="72" t="s">
        <v>49</v>
      </c>
      <c r="U527" s="105" t="str">
        <f>IF($J$1="May","",Y526)</f>
        <v/>
      </c>
      <c r="V527" s="74"/>
      <c r="W527" s="105" t="str">
        <f t="shared" si="110"/>
        <v/>
      </c>
      <c r="X527" s="74"/>
      <c r="Y527" s="105" t="str">
        <f t="shared" si="111"/>
        <v/>
      </c>
      <c r="Z527" s="76"/>
    </row>
    <row r="528" spans="1:27" s="29" customFormat="1" ht="21" customHeight="1" x14ac:dyDescent="0.2">
      <c r="A528" s="30"/>
      <c r="B528" s="48" t="s">
        <v>7</v>
      </c>
      <c r="C528" s="39">
        <f>IF($J$1="January",P522,IF($J$1="February",P523,IF($J$1="March",P524,IF($J$1="April",P525,IF($J$1="May",P526,IF($J$1="June",P527,IF($J$1="July",P528,IF($J$1="August",P529,IF($J$1="August",P529,IF($J$1="September",P530,IF($J$1="October",P531,IF($J$1="November",P532,IF($J$1="December",P533)))))))))))))</f>
        <v>31</v>
      </c>
      <c r="F528" s="48" t="s">
        <v>65</v>
      </c>
      <c r="G528" s="43">
        <f>IF($J$1="January",W522,IF($J$1="February",W523,IF($J$1="March",W524,IF($J$1="April",W525,IF($J$1="May",W526,IF($J$1="June",W527,IF($J$1="July",W528,IF($J$1="August",W529,IF($J$1="August",W529,IF($J$1="September",W530,IF($J$1="October",W531,IF($J$1="November",W532,IF($J$1="December",W533)))))))))))))</f>
        <v>0</v>
      </c>
      <c r="H528" s="47"/>
      <c r="I528" s="402" t="s">
        <v>69</v>
      </c>
      <c r="J528" s="403"/>
      <c r="K528" s="53">
        <f>K526+K527</f>
        <v>37838.709677419356</v>
      </c>
      <c r="L528" s="54"/>
      <c r="N528" s="71"/>
      <c r="O528" s="72" t="s">
        <v>50</v>
      </c>
      <c r="P528" s="72"/>
      <c r="Q528" s="72"/>
      <c r="R528" s="72">
        <v>0</v>
      </c>
      <c r="S528" s="63"/>
      <c r="T528" s="72" t="s">
        <v>50</v>
      </c>
      <c r="U528" s="105" t="str">
        <f>IF($J$1="June","",Y527)</f>
        <v/>
      </c>
      <c r="V528" s="74"/>
      <c r="W528" s="105" t="str">
        <f t="shared" si="110"/>
        <v/>
      </c>
      <c r="X528" s="74"/>
      <c r="Y528" s="105" t="str">
        <f t="shared" si="111"/>
        <v/>
      </c>
      <c r="Z528" s="76"/>
    </row>
    <row r="529" spans="1:26" s="29" customFormat="1" ht="21" customHeight="1" x14ac:dyDescent="0.2">
      <c r="A529" s="30"/>
      <c r="B529" s="48" t="s">
        <v>6</v>
      </c>
      <c r="C529" s="39">
        <f>IF($J$1="January",Q522,IF($J$1="February",Q523,IF($J$1="March",Q524,IF($J$1="April",Q525,IF($J$1="May",Q526,IF($J$1="June",Q527,IF($J$1="July",Q528,IF($J$1="August",Q529,IF($J$1="August",Q529,IF($J$1="September",Q530,IF($J$1="October",Q531,IF($J$1="November",Q532,IF($J$1="December",Q533)))))))))))))</f>
        <v>0</v>
      </c>
      <c r="F529" s="48" t="s">
        <v>21</v>
      </c>
      <c r="G529" s="43">
        <f>IF($J$1="January",X522,IF($J$1="February",X523,IF($J$1="March",X524,IF($J$1="April",X525,IF($J$1="May",X526,IF($J$1="June",X527,IF($J$1="July",X528,IF($J$1="August",X529,IF($J$1="August",X529,IF($J$1="September",X530,IF($J$1="October",X531,IF($J$1="November",X532,IF($J$1="December",X533)))))))))))))</f>
        <v>0</v>
      </c>
      <c r="H529" s="47"/>
      <c r="I529" s="402" t="s">
        <v>70</v>
      </c>
      <c r="J529" s="403"/>
      <c r="K529" s="43">
        <f>G529</f>
        <v>0</v>
      </c>
      <c r="L529" s="55"/>
      <c r="N529" s="71"/>
      <c r="O529" s="72" t="s">
        <v>51</v>
      </c>
      <c r="P529" s="72"/>
      <c r="Q529" s="72"/>
      <c r="R529" s="72">
        <v>0</v>
      </c>
      <c r="S529" s="63"/>
      <c r="T529" s="72" t="s">
        <v>51</v>
      </c>
      <c r="U529" s="105" t="str">
        <f>IF($J$1="July","",Y528)</f>
        <v/>
      </c>
      <c r="V529" s="74"/>
      <c r="W529" s="105" t="str">
        <f t="shared" si="110"/>
        <v/>
      </c>
      <c r="X529" s="74"/>
      <c r="Y529" s="105" t="str">
        <f t="shared" si="111"/>
        <v/>
      </c>
      <c r="Z529" s="76"/>
    </row>
    <row r="530" spans="1:26" s="29" customFormat="1" ht="21" customHeight="1" x14ac:dyDescent="0.2">
      <c r="A530" s="30"/>
      <c r="B530" s="56" t="s">
        <v>68</v>
      </c>
      <c r="C530" s="39">
        <f>IF($J$1="January",R522,IF($J$1="February",R523,IF($J$1="March",R524,IF($J$1="April",R525,IF($J$1="May",R526,IF($J$1="June",R527,IF($J$1="July",R528,IF($J$1="August",R529,IF($J$1="August",R529,IF($J$1="September",R530,IF($J$1="October",R531,IF($J$1="November",R532,IF($J$1="December",R533)))))))))))))</f>
        <v>0</v>
      </c>
      <c r="F530" s="48" t="s">
        <v>67</v>
      </c>
      <c r="G530" s="43">
        <f>IF($J$1="January",Y522,IF($J$1="February",Y523,IF($J$1="March",Y524,IF($J$1="April",Y525,IF($J$1="May",Y526,IF($J$1="June",Y527,IF($J$1="July",Y528,IF($J$1="August",Y529,IF($J$1="August",Y529,IF($J$1="September",Y530,IF($J$1="October",Y531,IF($J$1="November",Y532,IF($J$1="December",Y533)))))))))))))</f>
        <v>0</v>
      </c>
      <c r="I530" s="391" t="s">
        <v>63</v>
      </c>
      <c r="J530" s="393"/>
      <c r="K530" s="57">
        <f>K528-K529</f>
        <v>37838.709677419356</v>
      </c>
      <c r="L530" s="58"/>
      <c r="N530" s="71"/>
      <c r="O530" s="72" t="s">
        <v>56</v>
      </c>
      <c r="P530" s="72"/>
      <c r="Q530" s="72"/>
      <c r="R530" s="72">
        <v>0</v>
      </c>
      <c r="S530" s="63"/>
      <c r="T530" s="72" t="s">
        <v>56</v>
      </c>
      <c r="U530" s="105" t="str">
        <f>IF($J$1="August","",Y529)</f>
        <v/>
      </c>
      <c r="V530" s="74"/>
      <c r="W530" s="105" t="str">
        <f t="shared" si="110"/>
        <v/>
      </c>
      <c r="X530" s="74"/>
      <c r="Y530" s="105" t="str">
        <f t="shared" si="111"/>
        <v/>
      </c>
      <c r="Z530" s="76"/>
    </row>
    <row r="531" spans="1:26" s="29" customFormat="1" ht="21" customHeight="1" x14ac:dyDescent="0.2">
      <c r="A531" s="30"/>
      <c r="K531" s="107"/>
      <c r="L531" s="46"/>
      <c r="N531" s="71"/>
      <c r="O531" s="72" t="s">
        <v>52</v>
      </c>
      <c r="P531" s="72"/>
      <c r="Q531" s="72"/>
      <c r="R531" s="72">
        <v>0</v>
      </c>
      <c r="S531" s="63"/>
      <c r="T531" s="72" t="s">
        <v>52</v>
      </c>
      <c r="U531" s="105" t="str">
        <f>IF($J$1="September","",Y530)</f>
        <v/>
      </c>
      <c r="V531" s="74"/>
      <c r="W531" s="105" t="str">
        <f t="shared" si="110"/>
        <v/>
      </c>
      <c r="X531" s="74"/>
      <c r="Y531" s="105" t="str">
        <f t="shared" si="111"/>
        <v/>
      </c>
      <c r="Z531" s="76"/>
    </row>
    <row r="532" spans="1:26" s="29" customFormat="1" ht="21" customHeight="1" x14ac:dyDescent="0.2">
      <c r="A532" s="30"/>
      <c r="B532" s="404" t="s">
        <v>85</v>
      </c>
      <c r="C532" s="404"/>
      <c r="D532" s="404"/>
      <c r="E532" s="404"/>
      <c r="F532" s="404"/>
      <c r="G532" s="404"/>
      <c r="H532" s="404"/>
      <c r="I532" s="404"/>
      <c r="J532" s="404"/>
      <c r="K532" s="404"/>
      <c r="L532" s="46"/>
      <c r="N532" s="71"/>
      <c r="O532" s="72" t="s">
        <v>57</v>
      </c>
      <c r="P532" s="72"/>
      <c r="Q532" s="72"/>
      <c r="R532" s="72">
        <v>0</v>
      </c>
      <c r="S532" s="63"/>
      <c r="T532" s="72" t="s">
        <v>57</v>
      </c>
      <c r="U532" s="105" t="str">
        <f>IF($J$1="October","",Y531)</f>
        <v/>
      </c>
      <c r="V532" s="74"/>
      <c r="W532" s="105" t="str">
        <f t="shared" si="110"/>
        <v/>
      </c>
      <c r="X532" s="74"/>
      <c r="Y532" s="105" t="str">
        <f t="shared" si="111"/>
        <v/>
      </c>
      <c r="Z532" s="76"/>
    </row>
    <row r="533" spans="1:26" s="29" customFormat="1" ht="21" customHeight="1" x14ac:dyDescent="0.2">
      <c r="A533" s="30"/>
      <c r="B533" s="404"/>
      <c r="C533" s="404"/>
      <c r="D533" s="404"/>
      <c r="E533" s="404"/>
      <c r="F533" s="404"/>
      <c r="G533" s="404"/>
      <c r="H533" s="404"/>
      <c r="I533" s="404"/>
      <c r="J533" s="404"/>
      <c r="K533" s="404"/>
      <c r="L533" s="46"/>
      <c r="N533" s="71"/>
      <c r="O533" s="72" t="s">
        <v>58</v>
      </c>
      <c r="P533" s="72"/>
      <c r="Q533" s="72"/>
      <c r="R533" s="72">
        <v>0</v>
      </c>
      <c r="S533" s="63"/>
      <c r="T533" s="72" t="s">
        <v>58</v>
      </c>
      <c r="U533" s="105" t="str">
        <f>IF($J$1="November","",Y532)</f>
        <v/>
      </c>
      <c r="V533" s="74"/>
      <c r="W533" s="105" t="str">
        <f t="shared" si="110"/>
        <v/>
      </c>
      <c r="X533" s="74"/>
      <c r="Y533" s="105" t="str">
        <f t="shared" si="111"/>
        <v/>
      </c>
      <c r="Z533" s="76"/>
    </row>
    <row r="534" spans="1:26" s="29" customFormat="1" ht="21" customHeight="1" thickBot="1" x14ac:dyDescent="0.25">
      <c r="A534" s="5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1"/>
      <c r="N534" s="77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9"/>
    </row>
    <row r="535" spans="1:26" s="29" customFormat="1" ht="21" customHeight="1" thickBot="1" x14ac:dyDescent="0.25"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s="29" customFormat="1" ht="21" customHeight="1" x14ac:dyDescent="0.2">
      <c r="A536" s="408" t="s">
        <v>40</v>
      </c>
      <c r="B536" s="409"/>
      <c r="C536" s="409"/>
      <c r="D536" s="409"/>
      <c r="E536" s="409"/>
      <c r="F536" s="409"/>
      <c r="G536" s="409"/>
      <c r="H536" s="409"/>
      <c r="I536" s="409"/>
      <c r="J536" s="409"/>
      <c r="K536" s="409"/>
      <c r="L536" s="410"/>
      <c r="M536" s="28"/>
      <c r="N536" s="64"/>
      <c r="O536" s="405" t="s">
        <v>42</v>
      </c>
      <c r="P536" s="406"/>
      <c r="Q536" s="406"/>
      <c r="R536" s="407"/>
      <c r="S536" s="65"/>
      <c r="T536" s="405" t="s">
        <v>43</v>
      </c>
      <c r="U536" s="406"/>
      <c r="V536" s="406"/>
      <c r="W536" s="406"/>
      <c r="X536" s="406"/>
      <c r="Y536" s="407"/>
      <c r="Z536" s="66"/>
    </row>
    <row r="537" spans="1:26" s="29" customFormat="1" ht="21" customHeight="1" x14ac:dyDescent="0.2">
      <c r="A537" s="30"/>
      <c r="C537" s="395" t="s">
        <v>83</v>
      </c>
      <c r="D537" s="395"/>
      <c r="E537" s="395"/>
      <c r="F537" s="395"/>
      <c r="G537" s="31" t="str">
        <f>$J$1</f>
        <v>May</v>
      </c>
      <c r="H537" s="394">
        <f>$K$1</f>
        <v>2023</v>
      </c>
      <c r="I537" s="394"/>
      <c r="K537" s="32"/>
      <c r="L537" s="33"/>
      <c r="M537" s="32"/>
      <c r="N537" s="67"/>
      <c r="O537" s="68" t="s">
        <v>53</v>
      </c>
      <c r="P537" s="68" t="s">
        <v>7</v>
      </c>
      <c r="Q537" s="68" t="s">
        <v>6</v>
      </c>
      <c r="R537" s="68" t="s">
        <v>54</v>
      </c>
      <c r="S537" s="69"/>
      <c r="T537" s="68" t="s">
        <v>53</v>
      </c>
      <c r="U537" s="68" t="s">
        <v>55</v>
      </c>
      <c r="V537" s="68" t="s">
        <v>20</v>
      </c>
      <c r="W537" s="68" t="s">
        <v>19</v>
      </c>
      <c r="X537" s="68" t="s">
        <v>21</v>
      </c>
      <c r="Y537" s="68" t="s">
        <v>59</v>
      </c>
      <c r="Z537" s="70"/>
    </row>
    <row r="538" spans="1:26" s="29" customFormat="1" ht="21" customHeight="1" x14ac:dyDescent="0.2">
      <c r="A538" s="30"/>
      <c r="D538" s="35"/>
      <c r="E538" s="35"/>
      <c r="F538" s="35"/>
      <c r="G538" s="35"/>
      <c r="H538" s="35"/>
      <c r="J538" s="36" t="s">
        <v>1</v>
      </c>
      <c r="K538" s="37">
        <f>24500+2000</f>
        <v>26500</v>
      </c>
      <c r="L538" s="38"/>
      <c r="N538" s="71"/>
      <c r="O538" s="72" t="s">
        <v>45</v>
      </c>
      <c r="P538" s="72">
        <v>31</v>
      </c>
      <c r="Q538" s="72">
        <v>0</v>
      </c>
      <c r="R538" s="72"/>
      <c r="S538" s="73"/>
      <c r="T538" s="72" t="s">
        <v>45</v>
      </c>
      <c r="U538" s="74"/>
      <c r="V538" s="74"/>
      <c r="W538" s="74">
        <f>V538+U538</f>
        <v>0</v>
      </c>
      <c r="X538" s="74"/>
      <c r="Y538" s="74">
        <f>W538-X538</f>
        <v>0</v>
      </c>
      <c r="Z538" s="70"/>
    </row>
    <row r="539" spans="1:26" s="29" customFormat="1" ht="21" customHeight="1" x14ac:dyDescent="0.2">
      <c r="A539" s="30"/>
      <c r="B539" s="29" t="s">
        <v>0</v>
      </c>
      <c r="C539" s="40" t="s">
        <v>134</v>
      </c>
      <c r="H539" s="41"/>
      <c r="I539" s="35"/>
      <c r="L539" s="42"/>
      <c r="M539" s="28"/>
      <c r="N539" s="75"/>
      <c r="O539" s="72" t="s">
        <v>71</v>
      </c>
      <c r="P539" s="72">
        <v>28</v>
      </c>
      <c r="Q539" s="72">
        <v>0</v>
      </c>
      <c r="R539" s="72"/>
      <c r="S539" s="63"/>
      <c r="T539" s="72" t="s">
        <v>71</v>
      </c>
      <c r="U539" s="105">
        <f>Y538</f>
        <v>0</v>
      </c>
      <c r="V539" s="74">
        <v>15000</v>
      </c>
      <c r="W539" s="105">
        <f>IF(U539="","",U539+V539)</f>
        <v>15000</v>
      </c>
      <c r="X539" s="74">
        <v>5000</v>
      </c>
      <c r="Y539" s="105">
        <f>IF(W539="","",W539-X539)</f>
        <v>10000</v>
      </c>
      <c r="Z539" s="76"/>
    </row>
    <row r="540" spans="1:26" s="29" customFormat="1" ht="21" customHeight="1" x14ac:dyDescent="0.2">
      <c r="A540" s="30"/>
      <c r="B540" s="44" t="s">
        <v>41</v>
      </c>
      <c r="C540" s="40"/>
      <c r="F540" s="411" t="s">
        <v>43</v>
      </c>
      <c r="G540" s="411"/>
      <c r="I540" s="411" t="s">
        <v>44</v>
      </c>
      <c r="J540" s="411"/>
      <c r="K540" s="411"/>
      <c r="L540" s="46"/>
      <c r="N540" s="71"/>
      <c r="O540" s="72" t="s">
        <v>46</v>
      </c>
      <c r="P540" s="72">
        <v>31</v>
      </c>
      <c r="Q540" s="72">
        <v>0</v>
      </c>
      <c r="R540" s="72">
        <v>0</v>
      </c>
      <c r="S540" s="63"/>
      <c r="T540" s="72" t="s">
        <v>46</v>
      </c>
      <c r="U540" s="105">
        <f>IF($J$1="February","",Y539)</f>
        <v>10000</v>
      </c>
      <c r="V540" s="74"/>
      <c r="W540" s="105">
        <f t="shared" ref="W540:W549" si="112">IF(U540="","",U540+V540)</f>
        <v>10000</v>
      </c>
      <c r="X540" s="74"/>
      <c r="Y540" s="105">
        <f t="shared" ref="Y540:Y549" si="113">IF(W540="","",W540-X540)</f>
        <v>10000</v>
      </c>
      <c r="Z540" s="76"/>
    </row>
    <row r="541" spans="1:26" s="29" customFormat="1" ht="21" customHeight="1" x14ac:dyDescent="0.2">
      <c r="A541" s="30"/>
      <c r="H541" s="47"/>
      <c r="L541" s="34"/>
      <c r="N541" s="71"/>
      <c r="O541" s="72" t="s">
        <v>47</v>
      </c>
      <c r="P541" s="72">
        <v>30</v>
      </c>
      <c r="Q541" s="72">
        <v>0</v>
      </c>
      <c r="R541" s="72">
        <v>0</v>
      </c>
      <c r="S541" s="63"/>
      <c r="T541" s="72" t="s">
        <v>47</v>
      </c>
      <c r="U541" s="105">
        <f>IF($J$1="March","",Y540)</f>
        <v>10000</v>
      </c>
      <c r="V541" s="74"/>
      <c r="W541" s="105">
        <f t="shared" si="112"/>
        <v>10000</v>
      </c>
      <c r="X541" s="74">
        <v>5000</v>
      </c>
      <c r="Y541" s="105">
        <f t="shared" si="113"/>
        <v>5000</v>
      </c>
      <c r="Z541" s="76"/>
    </row>
    <row r="542" spans="1:26" s="29" customFormat="1" ht="21" customHeight="1" x14ac:dyDescent="0.2">
      <c r="A542" s="30"/>
      <c r="B542" s="389" t="s">
        <v>42</v>
      </c>
      <c r="C542" s="390"/>
      <c r="F542" s="48" t="s">
        <v>64</v>
      </c>
      <c r="G542" s="43">
        <f>IF($J$1="January",U538,IF($J$1="February",U539,IF($J$1="March",U540,IF($J$1="April",U541,IF($J$1="May",U542,IF($J$1="June",U543,IF($J$1="July",U544,IF($J$1="August",U545,IF($J$1="August",U545,IF($J$1="September",U546,IF($J$1="October",U547,IF($J$1="November",U548,IF($J$1="December",U549)))))))))))))</f>
        <v>5000</v>
      </c>
      <c r="H542" s="47"/>
      <c r="I542" s="49">
        <f>IF(C546&gt;0,$K$2,C544)</f>
        <v>31</v>
      </c>
      <c r="J542" s="50" t="s">
        <v>61</v>
      </c>
      <c r="K542" s="51">
        <f>K538/$K$2*I542</f>
        <v>26500</v>
      </c>
      <c r="L542" s="52"/>
      <c r="N542" s="71"/>
      <c r="O542" s="72" t="s">
        <v>48</v>
      </c>
      <c r="P542" s="72">
        <v>31</v>
      </c>
      <c r="Q542" s="72">
        <v>0</v>
      </c>
      <c r="R542" s="72">
        <v>0</v>
      </c>
      <c r="S542" s="63"/>
      <c r="T542" s="72" t="s">
        <v>48</v>
      </c>
      <c r="U542" s="105">
        <f>Y541</f>
        <v>5000</v>
      </c>
      <c r="V542" s="74"/>
      <c r="W542" s="105">
        <f t="shared" si="112"/>
        <v>5000</v>
      </c>
      <c r="X542" s="74">
        <v>5000</v>
      </c>
      <c r="Y542" s="105">
        <f t="shared" si="113"/>
        <v>0</v>
      </c>
      <c r="Z542" s="76"/>
    </row>
    <row r="543" spans="1:26" s="29" customFormat="1" ht="21" customHeight="1" x14ac:dyDescent="0.2">
      <c r="A543" s="30"/>
      <c r="B543" s="39"/>
      <c r="C543" s="39"/>
      <c r="F543" s="48" t="s">
        <v>20</v>
      </c>
      <c r="G543" s="43">
        <f>IF($J$1="January",V538,IF($J$1="February",V539,IF($J$1="March",V540,IF($J$1="April",V541,IF($J$1="May",V542,IF($J$1="June",V543,IF($J$1="July",V544,IF($J$1="August",V545,IF($J$1="August",V545,IF($J$1="September",V546,IF($J$1="October",V547,IF($J$1="November",V548,IF($J$1="December",V549)))))))))))))</f>
        <v>0</v>
      </c>
      <c r="H543" s="47"/>
      <c r="I543" s="84">
        <v>69</v>
      </c>
      <c r="J543" s="50" t="s">
        <v>62</v>
      </c>
      <c r="K543" s="53">
        <f>K538/$K$2/8*I543</f>
        <v>7372.9838709677424</v>
      </c>
      <c r="L543" s="54"/>
      <c r="N543" s="71"/>
      <c r="O543" s="72" t="s">
        <v>49</v>
      </c>
      <c r="P543" s="72"/>
      <c r="Q543" s="72"/>
      <c r="R543" s="72">
        <v>0</v>
      </c>
      <c r="S543" s="63"/>
      <c r="T543" s="72" t="s">
        <v>49</v>
      </c>
      <c r="U543" s="105"/>
      <c r="V543" s="74"/>
      <c r="W543" s="105" t="str">
        <f t="shared" si="112"/>
        <v/>
      </c>
      <c r="X543" s="74"/>
      <c r="Y543" s="105" t="str">
        <f t="shared" si="113"/>
        <v/>
      </c>
      <c r="Z543" s="76"/>
    </row>
    <row r="544" spans="1:26" s="29" customFormat="1" ht="21" customHeight="1" x14ac:dyDescent="0.2">
      <c r="A544" s="30"/>
      <c r="B544" s="48" t="s">
        <v>7</v>
      </c>
      <c r="C544" s="39">
        <f>IF($J$1="January",P538,IF($J$1="February",P539,IF($J$1="March",P540,IF($J$1="April",P541,IF($J$1="May",P542,IF($J$1="June",P543,IF($J$1="July",P544,IF($J$1="August",P545,IF($J$1="August",P545,IF($J$1="September",P546,IF($J$1="October",P547,IF($J$1="November",P548,IF($J$1="December",P549)))))))))))))</f>
        <v>31</v>
      </c>
      <c r="F544" s="48" t="s">
        <v>65</v>
      </c>
      <c r="G544" s="43">
        <f>IF($J$1="January",W538,IF($J$1="February",W539,IF($J$1="March",W540,IF($J$1="April",W541,IF($J$1="May",W542,IF($J$1="June",W543,IF($J$1="July",W544,IF($J$1="August",W545,IF($J$1="August",W545,IF($J$1="September",W546,IF($J$1="October",W547,IF($J$1="November",W548,IF($J$1="December",W549)))))))))))))</f>
        <v>5000</v>
      </c>
      <c r="H544" s="47"/>
      <c r="I544" s="402" t="s">
        <v>69</v>
      </c>
      <c r="J544" s="403"/>
      <c r="K544" s="53">
        <f>K542+K543</f>
        <v>33872.983870967742</v>
      </c>
      <c r="L544" s="54"/>
      <c r="N544" s="71"/>
      <c r="O544" s="72" t="s">
        <v>50</v>
      </c>
      <c r="P544" s="72"/>
      <c r="Q544" s="72"/>
      <c r="R544" s="72">
        <v>0</v>
      </c>
      <c r="S544" s="63"/>
      <c r="T544" s="72" t="s">
        <v>50</v>
      </c>
      <c r="U544" s="105"/>
      <c r="V544" s="74"/>
      <c r="W544" s="105" t="str">
        <f t="shared" si="112"/>
        <v/>
      </c>
      <c r="X544" s="74"/>
      <c r="Y544" s="105" t="str">
        <f t="shared" si="113"/>
        <v/>
      </c>
      <c r="Z544" s="76"/>
    </row>
    <row r="545" spans="1:27" s="29" customFormat="1" ht="21" customHeight="1" x14ac:dyDescent="0.2">
      <c r="A545" s="30"/>
      <c r="B545" s="48" t="s">
        <v>6</v>
      </c>
      <c r="C545" s="39">
        <f>IF($J$1="January",Q538,IF($J$1="February",Q539,IF($J$1="March",Q540,IF($J$1="April",Q541,IF($J$1="May",Q542,IF($J$1="June",Q543,IF($J$1="July",Q544,IF($J$1="August",Q545,IF($J$1="August",Q545,IF($J$1="September",Q546,IF($J$1="October",Q547,IF($J$1="November",Q548,IF($J$1="December",Q549)))))))))))))</f>
        <v>0</v>
      </c>
      <c r="F545" s="48" t="s">
        <v>21</v>
      </c>
      <c r="G545" s="43">
        <f>IF($J$1="January",X538,IF($J$1="February",X539,IF($J$1="March",X540,IF($J$1="April",X541,IF($J$1="May",X542,IF($J$1="June",X543,IF($J$1="July",X544,IF($J$1="August",X545,IF($J$1="August",X545,IF($J$1="September",X546,IF($J$1="October",X547,IF($J$1="November",X548,IF($J$1="December",X549)))))))))))))</f>
        <v>5000</v>
      </c>
      <c r="H545" s="47"/>
      <c r="I545" s="402" t="s">
        <v>70</v>
      </c>
      <c r="J545" s="403"/>
      <c r="K545" s="43">
        <f>G545</f>
        <v>5000</v>
      </c>
      <c r="L545" s="55"/>
      <c r="N545" s="71"/>
      <c r="O545" s="72" t="s">
        <v>51</v>
      </c>
      <c r="P545" s="72"/>
      <c r="Q545" s="72"/>
      <c r="R545" s="72">
        <v>0</v>
      </c>
      <c r="S545" s="63"/>
      <c r="T545" s="72" t="s">
        <v>51</v>
      </c>
      <c r="U545" s="105"/>
      <c r="V545" s="74"/>
      <c r="W545" s="105" t="str">
        <f t="shared" si="112"/>
        <v/>
      </c>
      <c r="X545" s="74"/>
      <c r="Y545" s="105" t="str">
        <f t="shared" si="113"/>
        <v/>
      </c>
      <c r="Z545" s="76"/>
    </row>
    <row r="546" spans="1:27" s="29" customFormat="1" ht="21" customHeight="1" x14ac:dyDescent="0.2">
      <c r="A546" s="30"/>
      <c r="B546" s="56" t="s">
        <v>68</v>
      </c>
      <c r="C546" s="39">
        <f>IF($J$1="January",R538,IF($J$1="February",R539,IF($J$1="March",R540,IF($J$1="April",R541,IF($J$1="May",R542,IF($J$1="June",R543,IF($J$1="July",R544,IF($J$1="August",R545,IF($J$1="August",R545,IF($J$1="September",R546,IF($J$1="October",R547,IF($J$1="November",R548,IF($J$1="December",R549)))))))))))))</f>
        <v>0</v>
      </c>
      <c r="F546" s="48" t="s">
        <v>140</v>
      </c>
      <c r="G546" s="43">
        <f>IF($J$1="January",Y538,IF($J$1="February",Y539,IF($J$1="March",Y540,IF($J$1="April",Y541,IF($J$1="May",Y542,IF($J$1="June",Y543,IF($J$1="July",Y544,IF($J$1="August",Y545,IF($J$1="August",Y545,IF($J$1="September",Y546,IF($J$1="October",Y547,IF($J$1="November",Y548,IF($J$1="December",Y549)))))))))))))</f>
        <v>0</v>
      </c>
      <c r="I546" s="391" t="s">
        <v>63</v>
      </c>
      <c r="J546" s="393"/>
      <c r="K546" s="57">
        <f>K544-K545</f>
        <v>28872.983870967742</v>
      </c>
      <c r="L546" s="58"/>
      <c r="N546" s="71"/>
      <c r="O546" s="72" t="s">
        <v>56</v>
      </c>
      <c r="P546" s="72"/>
      <c r="Q546" s="72"/>
      <c r="R546" s="72">
        <v>0</v>
      </c>
      <c r="S546" s="63"/>
      <c r="T546" s="72" t="s">
        <v>56</v>
      </c>
      <c r="U546" s="105"/>
      <c r="V546" s="74"/>
      <c r="W546" s="105" t="str">
        <f t="shared" si="112"/>
        <v/>
      </c>
      <c r="X546" s="74"/>
      <c r="Y546" s="105" t="str">
        <f t="shared" si="113"/>
        <v/>
      </c>
      <c r="Z546" s="76"/>
    </row>
    <row r="547" spans="1:27" s="29" customFormat="1" ht="21" customHeight="1" x14ac:dyDescent="0.2">
      <c r="A547" s="30"/>
      <c r="K547" s="107"/>
      <c r="L547" s="46"/>
      <c r="N547" s="71"/>
      <c r="O547" s="72" t="s">
        <v>52</v>
      </c>
      <c r="P547" s="72"/>
      <c r="Q547" s="72"/>
      <c r="R547" s="72">
        <v>0</v>
      </c>
      <c r="S547" s="63"/>
      <c r="T547" s="72" t="s">
        <v>52</v>
      </c>
      <c r="U547" s="105"/>
      <c r="V547" s="74"/>
      <c r="W547" s="105" t="str">
        <f t="shared" si="112"/>
        <v/>
      </c>
      <c r="X547" s="74"/>
      <c r="Y547" s="105" t="str">
        <f t="shared" si="113"/>
        <v/>
      </c>
      <c r="Z547" s="76"/>
    </row>
    <row r="548" spans="1:27" s="29" customFormat="1" ht="21" customHeight="1" x14ac:dyDescent="0.2">
      <c r="A548" s="30"/>
      <c r="B548" s="404" t="s">
        <v>85</v>
      </c>
      <c r="C548" s="404"/>
      <c r="D548" s="404"/>
      <c r="E548" s="404"/>
      <c r="F548" s="404"/>
      <c r="G548" s="404"/>
      <c r="H548" s="404"/>
      <c r="I548" s="404"/>
      <c r="J548" s="404"/>
      <c r="K548" s="404"/>
      <c r="L548" s="46"/>
      <c r="N548" s="71"/>
      <c r="O548" s="72" t="s">
        <v>57</v>
      </c>
      <c r="P548" s="72"/>
      <c r="Q548" s="72"/>
      <c r="R548" s="72">
        <v>0</v>
      </c>
      <c r="S548" s="63"/>
      <c r="T548" s="72" t="s">
        <v>57</v>
      </c>
      <c r="U548" s="105"/>
      <c r="V548" s="74"/>
      <c r="W548" s="105" t="str">
        <f t="shared" si="112"/>
        <v/>
      </c>
      <c r="X548" s="74"/>
      <c r="Y548" s="105" t="str">
        <f t="shared" si="113"/>
        <v/>
      </c>
      <c r="Z548" s="76"/>
    </row>
    <row r="549" spans="1:27" s="29" customFormat="1" ht="21" customHeight="1" x14ac:dyDescent="0.2">
      <c r="A549" s="30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6"/>
      <c r="N549" s="71"/>
      <c r="O549" s="72" t="s">
        <v>58</v>
      </c>
      <c r="P549" s="72"/>
      <c r="Q549" s="72"/>
      <c r="R549" s="72">
        <v>0</v>
      </c>
      <c r="S549" s="63"/>
      <c r="T549" s="72" t="s">
        <v>58</v>
      </c>
      <c r="U549" s="105">
        <v>0</v>
      </c>
      <c r="V549" s="74"/>
      <c r="W549" s="105">
        <f t="shared" si="112"/>
        <v>0</v>
      </c>
      <c r="X549" s="74"/>
      <c r="Y549" s="105">
        <f t="shared" si="113"/>
        <v>0</v>
      </c>
      <c r="Z549" s="76"/>
    </row>
    <row r="550" spans="1:27" s="29" customFormat="1" ht="21" customHeight="1" thickBot="1" x14ac:dyDescent="0.25">
      <c r="A550" s="5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1"/>
      <c r="N550" s="77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9"/>
    </row>
    <row r="551" spans="1:27" s="29" customFormat="1" ht="2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customHeight="1" x14ac:dyDescent="0.2">
      <c r="A552" s="408" t="s">
        <v>40</v>
      </c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10"/>
      <c r="M552" s="28"/>
      <c r="N552" s="64"/>
      <c r="O552" s="405" t="s">
        <v>42</v>
      </c>
      <c r="P552" s="406"/>
      <c r="Q552" s="406"/>
      <c r="R552" s="407"/>
      <c r="S552" s="65"/>
      <c r="T552" s="405" t="s">
        <v>43</v>
      </c>
      <c r="U552" s="406"/>
      <c r="V552" s="406"/>
      <c r="W552" s="406"/>
      <c r="X552" s="406"/>
      <c r="Y552" s="407"/>
      <c r="Z552" s="66"/>
      <c r="AA552" s="28"/>
    </row>
    <row r="553" spans="1:27" s="29" customFormat="1" ht="21.4" customHeight="1" x14ac:dyDescent="0.2">
      <c r="A553" s="30"/>
      <c r="C553" s="395" t="s">
        <v>83</v>
      </c>
      <c r="D553" s="395"/>
      <c r="E553" s="395"/>
      <c r="F553" s="395"/>
      <c r="G553" s="31" t="str">
        <f>$J$1</f>
        <v>May</v>
      </c>
      <c r="H553" s="394">
        <f>$K$1</f>
        <v>2023</v>
      </c>
      <c r="I553" s="394"/>
      <c r="K553" s="32"/>
      <c r="L553" s="33"/>
      <c r="M553" s="32"/>
      <c r="N553" s="67"/>
      <c r="O553" s="68" t="s">
        <v>53</v>
      </c>
      <c r="P553" s="68" t="s">
        <v>7</v>
      </c>
      <c r="Q553" s="68" t="s">
        <v>6</v>
      </c>
      <c r="R553" s="68" t="s">
        <v>54</v>
      </c>
      <c r="S553" s="69"/>
      <c r="T553" s="68" t="s">
        <v>53</v>
      </c>
      <c r="U553" s="68" t="s">
        <v>55</v>
      </c>
      <c r="V553" s="68" t="s">
        <v>20</v>
      </c>
      <c r="W553" s="68" t="s">
        <v>19</v>
      </c>
      <c r="X553" s="68" t="s">
        <v>21</v>
      </c>
      <c r="Y553" s="68" t="s">
        <v>59</v>
      </c>
      <c r="Z553" s="70"/>
      <c r="AA553" s="32"/>
    </row>
    <row r="554" spans="1:27" s="29" customFormat="1" ht="21.4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f>18000+3000+1000</f>
        <v>22000</v>
      </c>
      <c r="L554" s="38"/>
      <c r="N554" s="71"/>
      <c r="O554" s="72" t="s">
        <v>45</v>
      </c>
      <c r="P554" s="72">
        <v>31</v>
      </c>
      <c r="Q554" s="72">
        <v>0</v>
      </c>
      <c r="R554" s="72">
        <v>0</v>
      </c>
      <c r="S554" s="73"/>
      <c r="T554" s="72" t="s">
        <v>45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customHeight="1" x14ac:dyDescent="0.2">
      <c r="A555" s="30"/>
      <c r="B555" s="29" t="s">
        <v>0</v>
      </c>
      <c r="C555" s="40" t="s">
        <v>189</v>
      </c>
      <c r="H555" s="41"/>
      <c r="I555" s="35"/>
      <c r="L555" s="42"/>
      <c r="M555" s="28"/>
      <c r="N555" s="75"/>
      <c r="O555" s="72" t="s">
        <v>71</v>
      </c>
      <c r="P555" s="72">
        <v>27</v>
      </c>
      <c r="Q555" s="72">
        <v>1</v>
      </c>
      <c r="R555" s="72">
        <v>0</v>
      </c>
      <c r="S555" s="63"/>
      <c r="T555" s="72" t="s">
        <v>71</v>
      </c>
      <c r="U555" s="105">
        <f>IF($J$1="January","",Y554)</f>
        <v>0</v>
      </c>
      <c r="V555" s="74"/>
      <c r="W555" s="105">
        <f>IF(U555="","",U555+V555)</f>
        <v>0</v>
      </c>
      <c r="X555" s="74"/>
      <c r="Y555" s="105">
        <f>IF(W555="","",W555-X555)</f>
        <v>0</v>
      </c>
      <c r="Z555" s="76"/>
      <c r="AA555" s="28"/>
    </row>
    <row r="556" spans="1:27" s="29" customFormat="1" ht="21.4" customHeight="1" x14ac:dyDescent="0.2">
      <c r="A556" s="30"/>
      <c r="B556" s="44" t="s">
        <v>41</v>
      </c>
      <c r="C556" s="45"/>
      <c r="F556" s="411" t="s">
        <v>43</v>
      </c>
      <c r="G556" s="411"/>
      <c r="I556" s="411" t="s">
        <v>44</v>
      </c>
      <c r="J556" s="411"/>
      <c r="K556" s="411"/>
      <c r="L556" s="46"/>
      <c r="N556" s="71"/>
      <c r="O556" s="72" t="s">
        <v>46</v>
      </c>
      <c r="P556" s="72">
        <v>31</v>
      </c>
      <c r="Q556" s="72">
        <v>0</v>
      </c>
      <c r="R556" s="72">
        <f t="shared" ref="R556" si="114">IF(Q556="","",R555-Q556)</f>
        <v>0</v>
      </c>
      <c r="S556" s="63"/>
      <c r="T556" s="72" t="s">
        <v>46</v>
      </c>
      <c r="U556" s="105">
        <f>IF($J$1="February","",Y555)</f>
        <v>0</v>
      </c>
      <c r="V556" s="74"/>
      <c r="W556" s="105">
        <f t="shared" ref="W556:W565" si="115">IF(U556="","",U556+V556)</f>
        <v>0</v>
      </c>
      <c r="X556" s="74"/>
      <c r="Y556" s="105">
        <f t="shared" ref="Y556:Y565" si="116">IF(W556="","",W556-X556)</f>
        <v>0</v>
      </c>
      <c r="Z556" s="76"/>
    </row>
    <row r="557" spans="1:27" s="29" customFormat="1" ht="21.4" customHeight="1" x14ac:dyDescent="0.2">
      <c r="A557" s="30"/>
      <c r="H557" s="47"/>
      <c r="L557" s="34"/>
      <c r="N557" s="71"/>
      <c r="O557" s="72" t="s">
        <v>47</v>
      </c>
      <c r="P557" s="72">
        <v>30</v>
      </c>
      <c r="Q557" s="72">
        <v>0</v>
      </c>
      <c r="R557" s="72">
        <v>0</v>
      </c>
      <c r="S557" s="63"/>
      <c r="T557" s="72" t="s">
        <v>47</v>
      </c>
      <c r="U557" s="105">
        <f>IF($J$1="March","",Y556)</f>
        <v>0</v>
      </c>
      <c r="V557" s="74">
        <v>50000</v>
      </c>
      <c r="W557" s="105">
        <f t="shared" si="115"/>
        <v>50000</v>
      </c>
      <c r="X557" s="74">
        <v>5000</v>
      </c>
      <c r="Y557" s="105">
        <f t="shared" si="116"/>
        <v>45000</v>
      </c>
      <c r="Z557" s="76"/>
    </row>
    <row r="558" spans="1:27" s="29" customFormat="1" ht="21.4" customHeight="1" x14ac:dyDescent="0.2">
      <c r="A558" s="30"/>
      <c r="B558" s="389" t="s">
        <v>42</v>
      </c>
      <c r="C558" s="390"/>
      <c r="F558" s="48" t="s">
        <v>64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45000</v>
      </c>
      <c r="H558" s="47"/>
      <c r="I558" s="355">
        <f>IF(C562&gt;0,$K$2,C560)+4</f>
        <v>31</v>
      </c>
      <c r="J558" s="50" t="s">
        <v>61</v>
      </c>
      <c r="K558" s="51">
        <f>K554/$K$2*I558</f>
        <v>22000</v>
      </c>
      <c r="L558" s="52"/>
      <c r="N558" s="71"/>
      <c r="O558" s="72" t="s">
        <v>48</v>
      </c>
      <c r="P558" s="72">
        <v>27</v>
      </c>
      <c r="Q558" s="72">
        <v>4</v>
      </c>
      <c r="R558" s="72">
        <v>0</v>
      </c>
      <c r="S558" s="63"/>
      <c r="T558" s="72" t="s">
        <v>48</v>
      </c>
      <c r="U558" s="105">
        <f>Y557</f>
        <v>45000</v>
      </c>
      <c r="V558" s="74"/>
      <c r="W558" s="105">
        <f t="shared" si="115"/>
        <v>45000</v>
      </c>
      <c r="X558" s="74">
        <v>5000</v>
      </c>
      <c r="Y558" s="105">
        <f t="shared" si="116"/>
        <v>40000</v>
      </c>
      <c r="Z558" s="76"/>
    </row>
    <row r="559" spans="1:27" s="29" customFormat="1" ht="21.4" customHeight="1" x14ac:dyDescent="0.2">
      <c r="A559" s="30"/>
      <c r="B559" s="39"/>
      <c r="C559" s="39"/>
      <c r="F559" s="48" t="s">
        <v>20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>
        <v>41</v>
      </c>
      <c r="J559" s="50" t="s">
        <v>62</v>
      </c>
      <c r="K559" s="53">
        <f>K554/$K$2/8*I559</f>
        <v>3637.0967741935483</v>
      </c>
      <c r="L559" s="54"/>
      <c r="N559" s="71"/>
      <c r="O559" s="72" t="s">
        <v>49</v>
      </c>
      <c r="P559" s="72"/>
      <c r="Q559" s="72"/>
      <c r="R559" s="72">
        <v>0</v>
      </c>
      <c r="S559" s="63"/>
      <c r="T559" s="72" t="s">
        <v>49</v>
      </c>
      <c r="U559" s="105"/>
      <c r="V559" s="74"/>
      <c r="W559" s="105" t="str">
        <f t="shared" si="115"/>
        <v/>
      </c>
      <c r="X559" s="74"/>
      <c r="Y559" s="105" t="str">
        <f t="shared" si="116"/>
        <v/>
      </c>
      <c r="Z559" s="76"/>
    </row>
    <row r="560" spans="1:27" s="29" customFormat="1" ht="21.4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27</v>
      </c>
      <c r="F560" s="48" t="s">
        <v>65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45000</v>
      </c>
      <c r="H560" s="47"/>
      <c r="I560" s="402" t="s">
        <v>69</v>
      </c>
      <c r="J560" s="403"/>
      <c r="K560" s="53">
        <f>K558+K559</f>
        <v>25637.096774193549</v>
      </c>
      <c r="L560" s="54"/>
      <c r="N560" s="71"/>
      <c r="O560" s="72" t="s">
        <v>50</v>
      </c>
      <c r="P560" s="72"/>
      <c r="Q560" s="72"/>
      <c r="R560" s="72">
        <v>0</v>
      </c>
      <c r="S560" s="63"/>
      <c r="T560" s="72" t="s">
        <v>50</v>
      </c>
      <c r="U560" s="105" t="str">
        <f>IF($J$1="June","",Y559)</f>
        <v/>
      </c>
      <c r="V560" s="74"/>
      <c r="W560" s="105" t="str">
        <f t="shared" si="115"/>
        <v/>
      </c>
      <c r="X560" s="74"/>
      <c r="Y560" s="105" t="str">
        <f t="shared" si="116"/>
        <v/>
      </c>
      <c r="Z560" s="76"/>
    </row>
    <row r="561" spans="1:27" s="29" customFormat="1" ht="21.4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4</v>
      </c>
      <c r="F561" s="48" t="s">
        <v>21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5000</v>
      </c>
      <c r="H561" s="47"/>
      <c r="I561" s="402" t="s">
        <v>70</v>
      </c>
      <c r="J561" s="403"/>
      <c r="K561" s="43">
        <f>G561</f>
        <v>5000</v>
      </c>
      <c r="L561" s="55"/>
      <c r="N561" s="71"/>
      <c r="O561" s="72" t="s">
        <v>51</v>
      </c>
      <c r="P561" s="72"/>
      <c r="Q561" s="72"/>
      <c r="R561" s="72">
        <v>0</v>
      </c>
      <c r="S561" s="63"/>
      <c r="T561" s="72" t="s">
        <v>51</v>
      </c>
      <c r="U561" s="105" t="str">
        <f>IF($J$1="July","",Y560)</f>
        <v/>
      </c>
      <c r="V561" s="74"/>
      <c r="W561" s="105" t="str">
        <f t="shared" si="115"/>
        <v/>
      </c>
      <c r="X561" s="74"/>
      <c r="Y561" s="105" t="str">
        <f t="shared" si="116"/>
        <v/>
      </c>
      <c r="Z561" s="76"/>
    </row>
    <row r="562" spans="1:27" s="29" customFormat="1" ht="21.4" customHeight="1" x14ac:dyDescent="0.2">
      <c r="A562" s="30"/>
      <c r="B562" s="56" t="s">
        <v>68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67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40000</v>
      </c>
      <c r="I562" s="391" t="s">
        <v>63</v>
      </c>
      <c r="J562" s="393"/>
      <c r="K562" s="57">
        <f>K560-K561</f>
        <v>20637.096774193549</v>
      </c>
      <c r="L562" s="58"/>
      <c r="N562" s="71"/>
      <c r="O562" s="72" t="s">
        <v>56</v>
      </c>
      <c r="P562" s="72"/>
      <c r="Q562" s="72"/>
      <c r="R562" s="72">
        <f>R561-Q562</f>
        <v>0</v>
      </c>
      <c r="S562" s="63"/>
      <c r="T562" s="72" t="s">
        <v>56</v>
      </c>
      <c r="U562" s="105" t="str">
        <f>IF($J$1="August","",Y561)</f>
        <v/>
      </c>
      <c r="V562" s="74"/>
      <c r="W562" s="105" t="str">
        <f t="shared" si="115"/>
        <v/>
      </c>
      <c r="X562" s="74"/>
      <c r="Y562" s="105" t="str">
        <f t="shared" si="116"/>
        <v/>
      </c>
      <c r="Z562" s="76"/>
    </row>
    <row r="563" spans="1:27" s="29" customFormat="1" ht="21.4" customHeight="1" x14ac:dyDescent="0.2">
      <c r="A563" s="30"/>
      <c r="J563" s="47"/>
      <c r="K563" s="107"/>
      <c r="L563" s="46"/>
      <c r="N563" s="71"/>
      <c r="O563" s="72" t="s">
        <v>52</v>
      </c>
      <c r="P563" s="72"/>
      <c r="Q563" s="72"/>
      <c r="R563" s="72">
        <v>0</v>
      </c>
      <c r="S563" s="63"/>
      <c r="T563" s="72" t="s">
        <v>52</v>
      </c>
      <c r="U563" s="105" t="str">
        <f>IF($J$1="September","",Y562)</f>
        <v/>
      </c>
      <c r="V563" s="74"/>
      <c r="W563" s="105" t="str">
        <f t="shared" si="115"/>
        <v/>
      </c>
      <c r="X563" s="74"/>
      <c r="Y563" s="105" t="str">
        <f t="shared" si="116"/>
        <v/>
      </c>
      <c r="Z563" s="76"/>
    </row>
    <row r="564" spans="1:27" s="29" customFormat="1" ht="21.4" customHeight="1" x14ac:dyDescent="0.2">
      <c r="A564" s="30"/>
      <c r="B564" s="404" t="s">
        <v>85</v>
      </c>
      <c r="C564" s="404"/>
      <c r="D564" s="404"/>
      <c r="E564" s="404"/>
      <c r="F564" s="404"/>
      <c r="G564" s="404"/>
      <c r="H564" s="404"/>
      <c r="I564" s="404"/>
      <c r="J564" s="404"/>
      <c r="K564" s="404"/>
      <c r="L564" s="46"/>
      <c r="N564" s="71"/>
      <c r="O564" s="72" t="s">
        <v>57</v>
      </c>
      <c r="P564" s="72"/>
      <c r="Q564" s="72"/>
      <c r="R564" s="72">
        <v>0</v>
      </c>
      <c r="S564" s="63"/>
      <c r="T564" s="72" t="s">
        <v>57</v>
      </c>
      <c r="U564" s="105" t="str">
        <f>IF($J$1="October","",Y563)</f>
        <v/>
      </c>
      <c r="V564" s="74"/>
      <c r="W564" s="105" t="str">
        <f t="shared" si="115"/>
        <v/>
      </c>
      <c r="X564" s="74"/>
      <c r="Y564" s="105" t="str">
        <f t="shared" si="116"/>
        <v/>
      </c>
      <c r="Z564" s="76"/>
    </row>
    <row r="565" spans="1:27" s="29" customFormat="1" ht="21.4" customHeight="1" x14ac:dyDescent="0.2">
      <c r="A565" s="30"/>
      <c r="B565" s="404"/>
      <c r="C565" s="404"/>
      <c r="D565" s="404"/>
      <c r="E565" s="404"/>
      <c r="F565" s="404"/>
      <c r="G565" s="404"/>
      <c r="H565" s="404"/>
      <c r="I565" s="404"/>
      <c r="J565" s="404"/>
      <c r="K565" s="404"/>
      <c r="L565" s="46"/>
      <c r="N565" s="71"/>
      <c r="O565" s="72" t="s">
        <v>58</v>
      </c>
      <c r="P565" s="72"/>
      <c r="Q565" s="72"/>
      <c r="R565" s="72">
        <v>0</v>
      </c>
      <c r="S565" s="63"/>
      <c r="T565" s="72" t="s">
        <v>58</v>
      </c>
      <c r="U565" s="105" t="str">
        <f>IF($J$1="November","",Y564)</f>
        <v/>
      </c>
      <c r="V565" s="74"/>
      <c r="W565" s="105" t="str">
        <f t="shared" si="115"/>
        <v/>
      </c>
      <c r="X565" s="74"/>
      <c r="Y565" s="105" t="str">
        <f t="shared" si="116"/>
        <v/>
      </c>
      <c r="Z565" s="76"/>
    </row>
    <row r="566" spans="1:27" s="29" customFormat="1" ht="21.4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customHeight="1" thickBot="1" x14ac:dyDescent="0.25">
      <c r="A567" s="30"/>
      <c r="L567" s="46"/>
      <c r="N567" s="71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85"/>
    </row>
    <row r="568" spans="1:27" s="29" customFormat="1" ht="21.4" customHeight="1" x14ac:dyDescent="0.2">
      <c r="A568" s="408" t="s">
        <v>40</v>
      </c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10"/>
      <c r="M568" s="28"/>
      <c r="N568" s="64"/>
      <c r="O568" s="405" t="s">
        <v>42</v>
      </c>
      <c r="P568" s="406"/>
      <c r="Q568" s="406"/>
      <c r="R568" s="407"/>
      <c r="S568" s="65"/>
      <c r="T568" s="405" t="s">
        <v>43</v>
      </c>
      <c r="U568" s="406"/>
      <c r="V568" s="406"/>
      <c r="W568" s="406"/>
      <c r="X568" s="406"/>
      <c r="Y568" s="407"/>
      <c r="Z568" s="66"/>
      <c r="AA568" s="28"/>
    </row>
    <row r="569" spans="1:27" s="29" customFormat="1" ht="21.4" customHeight="1" x14ac:dyDescent="0.2">
      <c r="A569" s="30"/>
      <c r="C569" s="395" t="s">
        <v>83</v>
      </c>
      <c r="D569" s="395"/>
      <c r="E569" s="395"/>
      <c r="F569" s="395"/>
      <c r="G569" s="31" t="str">
        <f>$J$1</f>
        <v>May</v>
      </c>
      <c r="H569" s="394">
        <f>$K$1</f>
        <v>2023</v>
      </c>
      <c r="I569" s="394"/>
      <c r="K569" s="32"/>
      <c r="L569" s="33"/>
      <c r="M569" s="32"/>
      <c r="N569" s="67"/>
      <c r="O569" s="68" t="s">
        <v>53</v>
      </c>
      <c r="P569" s="68" t="s">
        <v>7</v>
      </c>
      <c r="Q569" s="68" t="s">
        <v>6</v>
      </c>
      <c r="R569" s="68" t="s">
        <v>54</v>
      </c>
      <c r="S569" s="69"/>
      <c r="T569" s="68" t="s">
        <v>53</v>
      </c>
      <c r="U569" s="68" t="s">
        <v>55</v>
      </c>
      <c r="V569" s="68" t="s">
        <v>20</v>
      </c>
      <c r="W569" s="68" t="s">
        <v>19</v>
      </c>
      <c r="X569" s="68" t="s">
        <v>21</v>
      </c>
      <c r="Y569" s="68" t="s">
        <v>59</v>
      </c>
      <c r="Z569" s="70"/>
      <c r="AA569" s="32"/>
    </row>
    <row r="570" spans="1:27" s="29" customFormat="1" ht="21.4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f>30000</f>
        <v>30000</v>
      </c>
      <c r="L570" s="38"/>
      <c r="N570" s="71"/>
      <c r="O570" s="72" t="s">
        <v>45</v>
      </c>
      <c r="P570" s="72">
        <v>31</v>
      </c>
      <c r="Q570" s="72">
        <v>0</v>
      </c>
      <c r="R570" s="72">
        <v>0</v>
      </c>
      <c r="S570" s="73"/>
      <c r="T570" s="72" t="s">
        <v>45</v>
      </c>
      <c r="U570" s="74">
        <v>26000</v>
      </c>
      <c r="V570" s="74"/>
      <c r="W570" s="74">
        <f>V570+U570</f>
        <v>26000</v>
      </c>
      <c r="X570" s="74">
        <v>5000</v>
      </c>
      <c r="Y570" s="74">
        <f>W570-X570</f>
        <v>21000</v>
      </c>
      <c r="Z570" s="70"/>
    </row>
    <row r="571" spans="1:27" s="29" customFormat="1" ht="21.4" customHeight="1" x14ac:dyDescent="0.2">
      <c r="A571" s="30"/>
      <c r="B571" s="29" t="s">
        <v>0</v>
      </c>
      <c r="C571" s="40" t="s">
        <v>191</v>
      </c>
      <c r="H571" s="41"/>
      <c r="I571" s="35"/>
      <c r="L571" s="42"/>
      <c r="M571" s="28"/>
      <c r="N571" s="75"/>
      <c r="O571" s="72" t="s">
        <v>71</v>
      </c>
      <c r="P571" s="72">
        <v>26</v>
      </c>
      <c r="Q571" s="72">
        <v>2</v>
      </c>
      <c r="R571" s="72">
        <v>0</v>
      </c>
      <c r="S571" s="63"/>
      <c r="T571" s="72" t="s">
        <v>71</v>
      </c>
      <c r="U571" s="105">
        <f>IF($J$1="January","",Y570)</f>
        <v>21000</v>
      </c>
      <c r="V571" s="74"/>
      <c r="W571" s="105">
        <f>IF(U571="","",U571+V571)</f>
        <v>21000</v>
      </c>
      <c r="X571" s="74">
        <v>5000</v>
      </c>
      <c r="Y571" s="105">
        <f>IF(W571="","",W571-X571)</f>
        <v>16000</v>
      </c>
      <c r="Z571" s="76"/>
      <c r="AA571" s="28"/>
    </row>
    <row r="572" spans="1:27" s="29" customFormat="1" ht="21.4" customHeight="1" x14ac:dyDescent="0.2">
      <c r="A572" s="30"/>
      <c r="B572" s="44" t="s">
        <v>41</v>
      </c>
      <c r="C572" s="45"/>
      <c r="F572" s="411" t="s">
        <v>43</v>
      </c>
      <c r="G572" s="411"/>
      <c r="I572" s="411" t="s">
        <v>44</v>
      </c>
      <c r="J572" s="411"/>
      <c r="K572" s="411"/>
      <c r="L572" s="46"/>
      <c r="N572" s="71"/>
      <c r="O572" s="72" t="s">
        <v>46</v>
      </c>
      <c r="P572" s="72">
        <v>28</v>
      </c>
      <c r="Q572" s="72">
        <v>3</v>
      </c>
      <c r="R572" s="72">
        <v>0</v>
      </c>
      <c r="S572" s="63"/>
      <c r="T572" s="72" t="s">
        <v>46</v>
      </c>
      <c r="U572" s="105">
        <f>IF($J$1="February","",Y571)</f>
        <v>16000</v>
      </c>
      <c r="V572" s="74">
        <v>40000</v>
      </c>
      <c r="W572" s="105">
        <f t="shared" ref="W572:W581" si="117">IF(U572="","",U572+V572)</f>
        <v>56000</v>
      </c>
      <c r="X572" s="74">
        <v>5000</v>
      </c>
      <c r="Y572" s="105">
        <f t="shared" ref="Y572:Y581" si="118">IF(W572="","",W572-X572)</f>
        <v>51000</v>
      </c>
      <c r="Z572" s="76"/>
    </row>
    <row r="573" spans="1:27" s="29" customFormat="1" ht="21.4" customHeight="1" x14ac:dyDescent="0.2">
      <c r="A573" s="30"/>
      <c r="H573" s="47"/>
      <c r="L573" s="34"/>
      <c r="N573" s="71"/>
      <c r="O573" s="72" t="s">
        <v>47</v>
      </c>
      <c r="P573" s="72">
        <v>29</v>
      </c>
      <c r="Q573" s="72">
        <v>1</v>
      </c>
      <c r="R573" s="72">
        <f t="shared" ref="R573:R581" si="119">IF(Q573="","",R572-Q573)</f>
        <v>-1</v>
      </c>
      <c r="S573" s="63"/>
      <c r="T573" s="72" t="s">
        <v>47</v>
      </c>
      <c r="U573" s="105">
        <f>IF($J$1="March","",Y572)</f>
        <v>51000</v>
      </c>
      <c r="V573" s="74"/>
      <c r="W573" s="105">
        <f t="shared" si="117"/>
        <v>51000</v>
      </c>
      <c r="X573" s="74">
        <v>5000</v>
      </c>
      <c r="Y573" s="105">
        <f t="shared" si="118"/>
        <v>46000</v>
      </c>
      <c r="Z573" s="76"/>
    </row>
    <row r="574" spans="1:27" s="29" customFormat="1" ht="21.4" customHeight="1" x14ac:dyDescent="0.2">
      <c r="A574" s="30"/>
      <c r="B574" s="389" t="s">
        <v>42</v>
      </c>
      <c r="C574" s="390"/>
      <c r="F574" s="48" t="s">
        <v>64</v>
      </c>
      <c r="G574" s="43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46000</v>
      </c>
      <c r="H574" s="47"/>
      <c r="I574" s="49">
        <f>IF(C578&gt;0,$K$2,C576)</f>
        <v>29</v>
      </c>
      <c r="J574" s="50" t="s">
        <v>61</v>
      </c>
      <c r="K574" s="51">
        <f>K570/$K$2*I574</f>
        <v>28064.516129032258</v>
      </c>
      <c r="L574" s="52"/>
      <c r="N574" s="71"/>
      <c r="O574" s="72" t="s">
        <v>48</v>
      </c>
      <c r="P574" s="72">
        <v>29</v>
      </c>
      <c r="Q574" s="72">
        <v>2</v>
      </c>
      <c r="R574" s="72">
        <v>0</v>
      </c>
      <c r="S574" s="63"/>
      <c r="T574" s="72" t="s">
        <v>48</v>
      </c>
      <c r="U574" s="105">
        <f>Y573</f>
        <v>46000</v>
      </c>
      <c r="V574" s="74">
        <v>9000</v>
      </c>
      <c r="W574" s="105">
        <f t="shared" si="117"/>
        <v>55000</v>
      </c>
      <c r="X574" s="74">
        <v>10000</v>
      </c>
      <c r="Y574" s="105">
        <f t="shared" si="118"/>
        <v>45000</v>
      </c>
      <c r="Z574" s="76"/>
    </row>
    <row r="575" spans="1:27" s="29" customFormat="1" ht="21.4" customHeight="1" x14ac:dyDescent="0.2">
      <c r="A575" s="30"/>
      <c r="B575" s="39"/>
      <c r="C575" s="39"/>
      <c r="F575" s="48" t="s">
        <v>20</v>
      </c>
      <c r="G575" s="43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9000</v>
      </c>
      <c r="H575" s="47"/>
      <c r="I575" s="84">
        <v>98</v>
      </c>
      <c r="J575" s="50" t="s">
        <v>62</v>
      </c>
      <c r="K575" s="53">
        <f>K570/$K$2/8*I575</f>
        <v>11854.838709677419</v>
      </c>
      <c r="L575" s="54"/>
      <c r="N575" s="71"/>
      <c r="O575" s="72" t="s">
        <v>49</v>
      </c>
      <c r="P575" s="72"/>
      <c r="Q575" s="72"/>
      <c r="R575" s="72">
        <v>0</v>
      </c>
      <c r="S575" s="63"/>
      <c r="T575" s="72" t="s">
        <v>49</v>
      </c>
      <c r="U575" s="105"/>
      <c r="V575" s="74"/>
      <c r="W575" s="105" t="str">
        <f t="shared" si="117"/>
        <v/>
      </c>
      <c r="X575" s="74"/>
      <c r="Y575" s="105" t="str">
        <f t="shared" si="118"/>
        <v/>
      </c>
      <c r="Z575" s="76"/>
    </row>
    <row r="576" spans="1:27" s="29" customFormat="1" ht="21.4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29</v>
      </c>
      <c r="F576" s="48" t="s">
        <v>65</v>
      </c>
      <c r="G576" s="43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>55000</v>
      </c>
      <c r="H576" s="47"/>
      <c r="I576" s="402" t="s">
        <v>69</v>
      </c>
      <c r="J576" s="403"/>
      <c r="K576" s="53">
        <f>K574+K575</f>
        <v>39919.354838709674</v>
      </c>
      <c r="L576" s="54"/>
      <c r="N576" s="71"/>
      <c r="O576" s="72" t="s">
        <v>50</v>
      </c>
      <c r="P576" s="72"/>
      <c r="Q576" s="72"/>
      <c r="R576" s="72" t="str">
        <f t="shared" si="119"/>
        <v/>
      </c>
      <c r="S576" s="63"/>
      <c r="T576" s="72" t="s">
        <v>50</v>
      </c>
      <c r="U576" s="105" t="str">
        <f>IF($J$1="June","",Y575)</f>
        <v/>
      </c>
      <c r="V576" s="74"/>
      <c r="W576" s="105" t="str">
        <f t="shared" si="117"/>
        <v/>
      </c>
      <c r="X576" s="74"/>
      <c r="Y576" s="105" t="str">
        <f t="shared" si="118"/>
        <v/>
      </c>
      <c r="Z576" s="76"/>
    </row>
    <row r="577" spans="1:27" s="29" customFormat="1" ht="21.4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2</v>
      </c>
      <c r="F577" s="48" t="s">
        <v>21</v>
      </c>
      <c r="G577" s="43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10000</v>
      </c>
      <c r="H577" s="47"/>
      <c r="I577" s="402" t="s">
        <v>70</v>
      </c>
      <c r="J577" s="403"/>
      <c r="K577" s="43">
        <f>G577</f>
        <v>10000</v>
      </c>
      <c r="L577" s="55"/>
      <c r="N577" s="71"/>
      <c r="O577" s="72" t="s">
        <v>51</v>
      </c>
      <c r="P577" s="72"/>
      <c r="Q577" s="72"/>
      <c r="R577" s="72">
        <v>0</v>
      </c>
      <c r="S577" s="63"/>
      <c r="T577" s="72" t="s">
        <v>51</v>
      </c>
      <c r="U577" s="105" t="str">
        <f>IF($J$1="July","",Y576)</f>
        <v/>
      </c>
      <c r="V577" s="74"/>
      <c r="W577" s="105" t="str">
        <f t="shared" si="117"/>
        <v/>
      </c>
      <c r="X577" s="74"/>
      <c r="Y577" s="105" t="str">
        <f t="shared" si="118"/>
        <v/>
      </c>
      <c r="Z577" s="76"/>
    </row>
    <row r="578" spans="1:27" s="29" customFormat="1" ht="21.4" customHeight="1" x14ac:dyDescent="0.2">
      <c r="A578" s="30"/>
      <c r="B578" s="56" t="s">
        <v>68</v>
      </c>
      <c r="C578" s="39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>0</v>
      </c>
      <c r="F578" s="48" t="s">
        <v>67</v>
      </c>
      <c r="G578" s="43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>45000</v>
      </c>
      <c r="I578" s="391" t="s">
        <v>63</v>
      </c>
      <c r="J578" s="393"/>
      <c r="K578" s="57">
        <f>K576-K577</f>
        <v>29919.354838709674</v>
      </c>
      <c r="L578" s="58"/>
      <c r="N578" s="71"/>
      <c r="O578" s="72" t="s">
        <v>56</v>
      </c>
      <c r="P578" s="72"/>
      <c r="Q578" s="72"/>
      <c r="R578" s="72" t="str">
        <f t="shared" si="119"/>
        <v/>
      </c>
      <c r="S578" s="63"/>
      <c r="T578" s="72" t="s">
        <v>56</v>
      </c>
      <c r="U578" s="105" t="str">
        <f>IF($J$1="August","",Y577)</f>
        <v/>
      </c>
      <c r="V578" s="74"/>
      <c r="W578" s="105" t="str">
        <f t="shared" si="117"/>
        <v/>
      </c>
      <c r="X578" s="74"/>
      <c r="Y578" s="105" t="str">
        <f t="shared" si="118"/>
        <v/>
      </c>
      <c r="Z578" s="76"/>
    </row>
    <row r="579" spans="1:27" s="29" customFormat="1" ht="21.4" customHeight="1" x14ac:dyDescent="0.2">
      <c r="A579" s="30"/>
      <c r="L579" s="46"/>
      <c r="N579" s="71"/>
      <c r="O579" s="72" t="s">
        <v>52</v>
      </c>
      <c r="P579" s="72"/>
      <c r="Q579" s="72"/>
      <c r="R579" s="72" t="str">
        <f t="shared" si="119"/>
        <v/>
      </c>
      <c r="S579" s="63"/>
      <c r="T579" s="72" t="s">
        <v>52</v>
      </c>
      <c r="U579" s="105" t="str">
        <f>IF($J$1="September","",Y578)</f>
        <v/>
      </c>
      <c r="V579" s="74"/>
      <c r="W579" s="105" t="str">
        <f t="shared" si="117"/>
        <v/>
      </c>
      <c r="X579" s="74"/>
      <c r="Y579" s="105" t="str">
        <f t="shared" si="118"/>
        <v/>
      </c>
      <c r="Z579" s="76"/>
    </row>
    <row r="580" spans="1:27" s="29" customFormat="1" ht="21.4" customHeight="1" x14ac:dyDescent="0.2">
      <c r="A580" s="30"/>
      <c r="B580" s="404" t="s">
        <v>85</v>
      </c>
      <c r="C580" s="404"/>
      <c r="D580" s="404"/>
      <c r="E580" s="404"/>
      <c r="F580" s="404"/>
      <c r="G580" s="404"/>
      <c r="H580" s="404"/>
      <c r="I580" s="404"/>
      <c r="J580" s="404"/>
      <c r="K580" s="404"/>
      <c r="L580" s="46"/>
      <c r="N580" s="71"/>
      <c r="O580" s="72" t="s">
        <v>57</v>
      </c>
      <c r="P580" s="72"/>
      <c r="Q580" s="72"/>
      <c r="R580" s="72">
        <v>0</v>
      </c>
      <c r="S580" s="63"/>
      <c r="T580" s="72" t="s">
        <v>57</v>
      </c>
      <c r="U580" s="105" t="str">
        <f>IF($J$1="October","",Y579)</f>
        <v/>
      </c>
      <c r="V580" s="74"/>
      <c r="W580" s="105" t="str">
        <f t="shared" si="117"/>
        <v/>
      </c>
      <c r="X580" s="74"/>
      <c r="Y580" s="105" t="str">
        <f t="shared" si="118"/>
        <v/>
      </c>
      <c r="Z580" s="76"/>
    </row>
    <row r="581" spans="1:27" s="29" customFormat="1" ht="21.4" customHeight="1" x14ac:dyDescent="0.2">
      <c r="A581" s="30"/>
      <c r="B581" s="404"/>
      <c r="C581" s="404"/>
      <c r="D581" s="404"/>
      <c r="E581" s="404"/>
      <c r="F581" s="404"/>
      <c r="G581" s="404"/>
      <c r="H581" s="404"/>
      <c r="I581" s="404"/>
      <c r="J581" s="404"/>
      <c r="K581" s="404"/>
      <c r="L581" s="46"/>
      <c r="N581" s="71"/>
      <c r="O581" s="72" t="s">
        <v>58</v>
      </c>
      <c r="P581" s="72"/>
      <c r="Q581" s="72"/>
      <c r="R581" s="72" t="str">
        <f t="shared" si="119"/>
        <v/>
      </c>
      <c r="S581" s="63"/>
      <c r="T581" s="72" t="s">
        <v>58</v>
      </c>
      <c r="U581" s="105" t="str">
        <f>IF($J$1="November","",Y580)</f>
        <v/>
      </c>
      <c r="V581" s="74"/>
      <c r="W581" s="105" t="str">
        <f t="shared" si="117"/>
        <v/>
      </c>
      <c r="X581" s="74"/>
      <c r="Y581" s="105" t="str">
        <f t="shared" si="118"/>
        <v/>
      </c>
      <c r="Z581" s="76"/>
    </row>
    <row r="582" spans="1:27" s="29" customFormat="1" ht="21.4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.4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43" t="s">
        <v>40</v>
      </c>
      <c r="B584" s="444"/>
      <c r="C584" s="444"/>
      <c r="D584" s="444"/>
      <c r="E584" s="444"/>
      <c r="F584" s="444"/>
      <c r="G584" s="444"/>
      <c r="H584" s="444"/>
      <c r="I584" s="444"/>
      <c r="J584" s="444"/>
      <c r="K584" s="444"/>
      <c r="L584" s="445"/>
      <c r="M584" s="28"/>
      <c r="N584" s="64"/>
      <c r="O584" s="405" t="s">
        <v>42</v>
      </c>
      <c r="P584" s="406"/>
      <c r="Q584" s="406"/>
      <c r="R584" s="407"/>
      <c r="S584" s="65"/>
      <c r="T584" s="405" t="s">
        <v>43</v>
      </c>
      <c r="U584" s="406"/>
      <c r="V584" s="406"/>
      <c r="W584" s="406"/>
      <c r="X584" s="406"/>
      <c r="Y584" s="407"/>
      <c r="Z584" s="66"/>
      <c r="AA584" s="28"/>
    </row>
    <row r="585" spans="1:27" s="29" customFormat="1" ht="21" customHeight="1" x14ac:dyDescent="0.2">
      <c r="A585" s="291"/>
      <c r="C585" s="395" t="s">
        <v>83</v>
      </c>
      <c r="D585" s="395"/>
      <c r="E585" s="395"/>
      <c r="F585" s="395"/>
      <c r="G585" s="31" t="str">
        <f>$J$1</f>
        <v>May</v>
      </c>
      <c r="H585" s="394">
        <f>$K$1</f>
        <v>2023</v>
      </c>
      <c r="I585" s="394"/>
      <c r="K585" s="32"/>
      <c r="L585" s="292"/>
      <c r="M585" s="32"/>
      <c r="N585" s="67"/>
      <c r="O585" s="68" t="s">
        <v>53</v>
      </c>
      <c r="P585" s="68" t="s">
        <v>7</v>
      </c>
      <c r="Q585" s="68" t="s">
        <v>6</v>
      </c>
      <c r="R585" s="68" t="s">
        <v>54</v>
      </c>
      <c r="S585" s="69"/>
      <c r="T585" s="68" t="s">
        <v>53</v>
      </c>
      <c r="U585" s="68" t="s">
        <v>55</v>
      </c>
      <c r="V585" s="68" t="s">
        <v>20</v>
      </c>
      <c r="W585" s="68" t="s">
        <v>19</v>
      </c>
      <c r="X585" s="68" t="s">
        <v>21</v>
      </c>
      <c r="Y585" s="68" t="s">
        <v>59</v>
      </c>
      <c r="Z585" s="70"/>
      <c r="AA585" s="32"/>
    </row>
    <row r="586" spans="1:27" s="29" customFormat="1" ht="21" customHeight="1" x14ac:dyDescent="0.2">
      <c r="A586" s="291"/>
      <c r="D586" s="35"/>
      <c r="E586" s="35"/>
      <c r="F586" s="35"/>
      <c r="G586" s="35"/>
      <c r="H586" s="35"/>
      <c r="J586" s="36" t="s">
        <v>1</v>
      </c>
      <c r="K586" s="37">
        <v>28000</v>
      </c>
      <c r="L586" s="293"/>
      <c r="N586" s="71"/>
      <c r="O586" s="72" t="s">
        <v>45</v>
      </c>
      <c r="P586" s="72">
        <v>31</v>
      </c>
      <c r="Q586" s="72">
        <v>0</v>
      </c>
      <c r="R586" s="72"/>
      <c r="S586" s="73"/>
      <c r="T586" s="72" t="s">
        <v>45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291"/>
      <c r="B587" s="29" t="s">
        <v>0</v>
      </c>
      <c r="C587" s="40" t="s">
        <v>106</v>
      </c>
      <c r="H587" s="41"/>
      <c r="I587" s="35"/>
      <c r="L587" s="294"/>
      <c r="M587" s="28"/>
      <c r="N587" s="75"/>
      <c r="O587" s="72" t="s">
        <v>71</v>
      </c>
      <c r="P587" s="72">
        <v>28</v>
      </c>
      <c r="Q587" s="72">
        <v>0</v>
      </c>
      <c r="R587" s="72">
        <f t="shared" ref="R587:R597" si="120">IF(Q587="","",R586-Q587)</f>
        <v>0</v>
      </c>
      <c r="S587" s="63"/>
      <c r="T587" s="72" t="s">
        <v>71</v>
      </c>
      <c r="U587" s="105"/>
      <c r="V587" s="74"/>
      <c r="W587" s="105" t="str">
        <f>IF(U587="","",U587+V587)</f>
        <v/>
      </c>
      <c r="X587" s="74"/>
      <c r="Y587" s="105" t="str">
        <f>IF(W587="","",W587-X587)</f>
        <v/>
      </c>
      <c r="Z587" s="76"/>
      <c r="AA587" s="28"/>
    </row>
    <row r="588" spans="1:27" s="29" customFormat="1" ht="21" customHeight="1" x14ac:dyDescent="0.2">
      <c r="A588" s="291"/>
      <c r="B588" s="44" t="s">
        <v>41</v>
      </c>
      <c r="C588" s="45"/>
      <c r="F588" s="411" t="s">
        <v>43</v>
      </c>
      <c r="G588" s="411"/>
      <c r="I588" s="411" t="s">
        <v>44</v>
      </c>
      <c r="J588" s="411"/>
      <c r="K588" s="411"/>
      <c r="L588" s="295"/>
      <c r="N588" s="71"/>
      <c r="O588" s="72" t="s">
        <v>46</v>
      </c>
      <c r="P588" s="72">
        <v>31</v>
      </c>
      <c r="Q588" s="72">
        <v>0</v>
      </c>
      <c r="R588" s="72">
        <f t="shared" si="120"/>
        <v>0</v>
      </c>
      <c r="S588" s="63"/>
      <c r="T588" s="72" t="s">
        <v>46</v>
      </c>
      <c r="U588" s="105"/>
      <c r="V588" s="74"/>
      <c r="W588" s="105" t="str">
        <f t="shared" ref="W588:W597" si="121">IF(U588="","",U588+V588)</f>
        <v/>
      </c>
      <c r="X588" s="74"/>
      <c r="Y588" s="105" t="str">
        <f t="shared" ref="Y588:Y597" si="122">IF(W588="","",W588-X588)</f>
        <v/>
      </c>
      <c r="Z588" s="76"/>
    </row>
    <row r="589" spans="1:27" s="29" customFormat="1" ht="21" customHeight="1" x14ac:dyDescent="0.2">
      <c r="A589" s="291"/>
      <c r="H589" s="47"/>
      <c r="L589" s="296"/>
      <c r="N589" s="71"/>
      <c r="O589" s="72" t="s">
        <v>47</v>
      </c>
      <c r="P589" s="72">
        <v>30</v>
      </c>
      <c r="Q589" s="72"/>
      <c r="R589" s="72"/>
      <c r="S589" s="63"/>
      <c r="T589" s="72" t="s">
        <v>47</v>
      </c>
      <c r="U589" s="105"/>
      <c r="V589" s="74"/>
      <c r="W589" s="105" t="str">
        <f t="shared" si="121"/>
        <v/>
      </c>
      <c r="X589" s="74"/>
      <c r="Y589" s="105" t="str">
        <f t="shared" si="122"/>
        <v/>
      </c>
      <c r="Z589" s="76"/>
    </row>
    <row r="590" spans="1:27" s="29" customFormat="1" ht="21" customHeight="1" x14ac:dyDescent="0.2">
      <c r="A590" s="291"/>
      <c r="B590" s="389" t="s">
        <v>42</v>
      </c>
      <c r="C590" s="390"/>
      <c r="F590" s="48" t="s">
        <v>64</v>
      </c>
      <c r="G590" s="43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7"/>
      <c r="I590" s="49">
        <f>IF(C594&gt;0,$K$2,C592)</f>
        <v>31</v>
      </c>
      <c r="J590" s="50" t="s">
        <v>61</v>
      </c>
      <c r="K590" s="51">
        <f>K586/$K$2*I590</f>
        <v>28000</v>
      </c>
      <c r="L590" s="297"/>
      <c r="N590" s="71"/>
      <c r="O590" s="72" t="s">
        <v>48</v>
      </c>
      <c r="P590" s="72">
        <v>31</v>
      </c>
      <c r="Q590" s="72">
        <v>0</v>
      </c>
      <c r="R590" s="72">
        <f t="shared" si="120"/>
        <v>0</v>
      </c>
      <c r="S590" s="63"/>
      <c r="T590" s="72" t="s">
        <v>48</v>
      </c>
      <c r="U590" s="105"/>
      <c r="V590" s="74"/>
      <c r="W590" s="105" t="str">
        <f t="shared" si="121"/>
        <v/>
      </c>
      <c r="X590" s="74"/>
      <c r="Y590" s="105" t="str">
        <f t="shared" si="122"/>
        <v/>
      </c>
      <c r="Z590" s="76"/>
    </row>
    <row r="591" spans="1:27" s="29" customFormat="1" ht="21" customHeight="1" x14ac:dyDescent="0.2">
      <c r="A591" s="291"/>
      <c r="B591" s="39"/>
      <c r="C591" s="39"/>
      <c r="F591" s="48" t="s">
        <v>20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49"/>
      <c r="J591" s="50" t="s">
        <v>62</v>
      </c>
      <c r="K591" s="93">
        <f>K586/$K$2/8*I591</f>
        <v>0</v>
      </c>
      <c r="L591" s="298"/>
      <c r="N591" s="71"/>
      <c r="O591" s="72" t="s">
        <v>49</v>
      </c>
      <c r="P591" s="72"/>
      <c r="Q591" s="72"/>
      <c r="R591" s="72" t="str">
        <f t="shared" si="120"/>
        <v/>
      </c>
      <c r="S591" s="63"/>
      <c r="T591" s="72" t="s">
        <v>49</v>
      </c>
      <c r="U591" s="105"/>
      <c r="V591" s="74"/>
      <c r="W591" s="105" t="str">
        <f t="shared" si="121"/>
        <v/>
      </c>
      <c r="X591" s="74"/>
      <c r="Y591" s="105" t="str">
        <f t="shared" si="122"/>
        <v/>
      </c>
      <c r="Z591" s="76"/>
    </row>
    <row r="592" spans="1:27" s="29" customFormat="1" ht="21" customHeight="1" x14ac:dyDescent="0.2">
      <c r="A592" s="291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31</v>
      </c>
      <c r="F592" s="48" t="s">
        <v>65</v>
      </c>
      <c r="G592" s="43" t="str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/>
      </c>
      <c r="H592" s="47"/>
      <c r="I592" s="402" t="s">
        <v>69</v>
      </c>
      <c r="J592" s="403"/>
      <c r="K592" s="53">
        <f>K590+K591</f>
        <v>28000</v>
      </c>
      <c r="L592" s="298"/>
      <c r="N592" s="71"/>
      <c r="O592" s="72" t="s">
        <v>50</v>
      </c>
      <c r="P592" s="72"/>
      <c r="Q592" s="72"/>
      <c r="R592" s="72" t="str">
        <f t="shared" si="120"/>
        <v/>
      </c>
      <c r="S592" s="63"/>
      <c r="T592" s="72" t="s">
        <v>50</v>
      </c>
      <c r="U592" s="105"/>
      <c r="V592" s="74"/>
      <c r="W592" s="105">
        <f>V592+U592</f>
        <v>0</v>
      </c>
      <c r="X592" s="74"/>
      <c r="Y592" s="105">
        <f t="shared" si="122"/>
        <v>0</v>
      </c>
      <c r="Z592" s="76"/>
    </row>
    <row r="593" spans="1:27" s="29" customFormat="1" ht="21" customHeight="1" x14ac:dyDescent="0.2">
      <c r="A593" s="291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0</v>
      </c>
      <c r="F593" s="48" t="s">
        <v>21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02" t="s">
        <v>70</v>
      </c>
      <c r="J593" s="403"/>
      <c r="K593" s="43">
        <f>G593</f>
        <v>0</v>
      </c>
      <c r="L593" s="299"/>
      <c r="N593" s="71"/>
      <c r="O593" s="72" t="s">
        <v>51</v>
      </c>
      <c r="P593" s="72"/>
      <c r="Q593" s="72"/>
      <c r="R593" s="72" t="str">
        <f t="shared" si="120"/>
        <v/>
      </c>
      <c r="S593" s="63"/>
      <c r="T593" s="72" t="s">
        <v>51</v>
      </c>
      <c r="U593" s="105">
        <f>Y592</f>
        <v>0</v>
      </c>
      <c r="V593" s="74"/>
      <c r="W593" s="105">
        <f t="shared" si="121"/>
        <v>0</v>
      </c>
      <c r="X593" s="74"/>
      <c r="Y593" s="105">
        <f t="shared" si="122"/>
        <v>0</v>
      </c>
      <c r="Z593" s="76"/>
    </row>
    <row r="594" spans="1:27" s="29" customFormat="1" ht="21" customHeight="1" x14ac:dyDescent="0.2">
      <c r="A594" s="291"/>
      <c r="B594" s="56" t="s">
        <v>68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F594" s="48" t="s">
        <v>67</v>
      </c>
      <c r="G594" s="43" t="str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/>
      </c>
      <c r="I594" s="391" t="s">
        <v>63</v>
      </c>
      <c r="J594" s="393"/>
      <c r="K594" s="57">
        <f>K592-K593</f>
        <v>28000</v>
      </c>
      <c r="L594" s="300"/>
      <c r="N594" s="71"/>
      <c r="O594" s="72" t="s">
        <v>56</v>
      </c>
      <c r="P594" s="72"/>
      <c r="Q594" s="72"/>
      <c r="R594" s="72" t="str">
        <f t="shared" si="120"/>
        <v/>
      </c>
      <c r="S594" s="63"/>
      <c r="T594" s="72" t="s">
        <v>56</v>
      </c>
      <c r="U594" s="105">
        <f>Y593</f>
        <v>0</v>
      </c>
      <c r="V594" s="74"/>
      <c r="W594" s="105">
        <f t="shared" si="121"/>
        <v>0</v>
      </c>
      <c r="X594" s="74"/>
      <c r="Y594" s="105">
        <f t="shared" si="122"/>
        <v>0</v>
      </c>
      <c r="Z594" s="76"/>
    </row>
    <row r="595" spans="1:27" s="29" customFormat="1" ht="21" customHeight="1" x14ac:dyDescent="0.2">
      <c r="A595" s="291"/>
      <c r="K595" s="107"/>
      <c r="L595" s="295"/>
      <c r="N595" s="71"/>
      <c r="O595" s="72" t="s">
        <v>52</v>
      </c>
      <c r="P595" s="72"/>
      <c r="Q595" s="72"/>
      <c r="R595" s="72" t="str">
        <f t="shared" si="120"/>
        <v/>
      </c>
      <c r="S595" s="63"/>
      <c r="T595" s="72" t="s">
        <v>52</v>
      </c>
      <c r="U595" s="105">
        <f>Y594</f>
        <v>0</v>
      </c>
      <c r="V595" s="74"/>
      <c r="W595" s="105">
        <f t="shared" si="121"/>
        <v>0</v>
      </c>
      <c r="X595" s="74"/>
      <c r="Y595" s="105">
        <f t="shared" si="122"/>
        <v>0</v>
      </c>
      <c r="Z595" s="76"/>
    </row>
    <row r="596" spans="1:27" s="29" customFormat="1" ht="21" customHeight="1" x14ac:dyDescent="0.2">
      <c r="A596" s="291"/>
      <c r="B596" s="404" t="s">
        <v>85</v>
      </c>
      <c r="C596" s="404"/>
      <c r="D596" s="404"/>
      <c r="E596" s="404"/>
      <c r="F596" s="404"/>
      <c r="G596" s="404"/>
      <c r="H596" s="404"/>
      <c r="I596" s="404"/>
      <c r="J596" s="404"/>
      <c r="K596" s="404"/>
      <c r="L596" s="295"/>
      <c r="N596" s="71"/>
      <c r="O596" s="72" t="s">
        <v>57</v>
      </c>
      <c r="P596" s="72"/>
      <c r="Q596" s="72"/>
      <c r="R596" s="72" t="str">
        <f t="shared" si="120"/>
        <v/>
      </c>
      <c r="S596" s="63"/>
      <c r="T596" s="72" t="s">
        <v>57</v>
      </c>
      <c r="U596" s="105">
        <f>Y595</f>
        <v>0</v>
      </c>
      <c r="V596" s="74"/>
      <c r="W596" s="105">
        <f t="shared" si="121"/>
        <v>0</v>
      </c>
      <c r="X596" s="74"/>
      <c r="Y596" s="105">
        <f t="shared" si="122"/>
        <v>0</v>
      </c>
      <c r="Z596" s="76"/>
    </row>
    <row r="597" spans="1:27" s="29" customFormat="1" ht="21" customHeight="1" x14ac:dyDescent="0.2">
      <c r="A597" s="291"/>
      <c r="B597" s="404"/>
      <c r="C597" s="404"/>
      <c r="D597" s="404"/>
      <c r="E597" s="404"/>
      <c r="F597" s="404"/>
      <c r="G597" s="404"/>
      <c r="H597" s="404"/>
      <c r="I597" s="404"/>
      <c r="J597" s="404"/>
      <c r="K597" s="404"/>
      <c r="L597" s="295"/>
      <c r="N597" s="71"/>
      <c r="O597" s="72" t="s">
        <v>58</v>
      </c>
      <c r="P597" s="72"/>
      <c r="Q597" s="72"/>
      <c r="R597" s="72" t="str">
        <f t="shared" si="120"/>
        <v/>
      </c>
      <c r="S597" s="63"/>
      <c r="T597" s="72" t="s">
        <v>58</v>
      </c>
      <c r="U597" s="105">
        <f>Y596</f>
        <v>0</v>
      </c>
      <c r="V597" s="74"/>
      <c r="W597" s="105">
        <f t="shared" si="121"/>
        <v>0</v>
      </c>
      <c r="X597" s="74"/>
      <c r="Y597" s="105">
        <f t="shared" si="122"/>
        <v>0</v>
      </c>
      <c r="Z597" s="76"/>
    </row>
    <row r="598" spans="1:27" s="29" customFormat="1" ht="21" customHeight="1" thickBot="1" x14ac:dyDescent="0.25">
      <c r="A598" s="301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302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7" s="29" customFormat="1" ht="21" customHeight="1" x14ac:dyDescent="0.2">
      <c r="A599" s="408" t="s">
        <v>40</v>
      </c>
      <c r="B599" s="409"/>
      <c r="C599" s="409"/>
      <c r="D599" s="409"/>
      <c r="E599" s="409"/>
      <c r="F599" s="409"/>
      <c r="G599" s="409"/>
      <c r="H599" s="409"/>
      <c r="I599" s="409"/>
      <c r="J599" s="409"/>
      <c r="K599" s="409"/>
      <c r="L599" s="410"/>
      <c r="M599" s="28"/>
      <c r="N599" s="64"/>
      <c r="O599" s="405" t="s">
        <v>42</v>
      </c>
      <c r="P599" s="406"/>
      <c r="Q599" s="406"/>
      <c r="R599" s="407"/>
      <c r="S599" s="65"/>
      <c r="T599" s="405" t="s">
        <v>43</v>
      </c>
      <c r="U599" s="406"/>
      <c r="V599" s="406"/>
      <c r="W599" s="406"/>
      <c r="X599" s="406"/>
      <c r="Y599" s="407"/>
      <c r="Z599" s="66"/>
      <c r="AA599" s="28"/>
    </row>
    <row r="600" spans="1:27" s="29" customFormat="1" ht="21" customHeight="1" x14ac:dyDescent="0.2">
      <c r="A600" s="30"/>
      <c r="C600" s="395" t="s">
        <v>83</v>
      </c>
      <c r="D600" s="395"/>
      <c r="E600" s="395"/>
      <c r="F600" s="395"/>
      <c r="G600" s="31" t="str">
        <f>$J$1</f>
        <v>May</v>
      </c>
      <c r="H600" s="394">
        <f>$K$1</f>
        <v>2023</v>
      </c>
      <c r="I600" s="394"/>
      <c r="K600" s="32"/>
      <c r="L600" s="33"/>
      <c r="M600" s="32"/>
      <c r="N600" s="67"/>
      <c r="O600" s="68" t="s">
        <v>53</v>
      </c>
      <c r="P600" s="68" t="s">
        <v>7</v>
      </c>
      <c r="Q600" s="68" t="s">
        <v>6</v>
      </c>
      <c r="R600" s="68" t="s">
        <v>54</v>
      </c>
      <c r="S600" s="69"/>
      <c r="T600" s="68" t="s">
        <v>53</v>
      </c>
      <c r="U600" s="68" t="s">
        <v>55</v>
      </c>
      <c r="V600" s="68" t="s">
        <v>20</v>
      </c>
      <c r="W600" s="68" t="s">
        <v>19</v>
      </c>
      <c r="X600" s="68" t="s">
        <v>21</v>
      </c>
      <c r="Y600" s="68" t="s">
        <v>59</v>
      </c>
      <c r="Z600" s="70"/>
      <c r="AA600" s="32"/>
    </row>
    <row r="601" spans="1:27" s="29" customFormat="1" ht="21" customHeight="1" x14ac:dyDescent="0.2">
      <c r="A601" s="30"/>
      <c r="D601" s="35"/>
      <c r="E601" s="35"/>
      <c r="F601" s="35"/>
      <c r="G601" s="35"/>
      <c r="H601" s="35"/>
      <c r="J601" s="36" t="s">
        <v>1</v>
      </c>
      <c r="K601" s="37">
        <f>30000+5000</f>
        <v>35000</v>
      </c>
      <c r="L601" s="38"/>
      <c r="N601" s="71"/>
      <c r="O601" s="72" t="s">
        <v>45</v>
      </c>
      <c r="P601" s="72">
        <v>31</v>
      </c>
      <c r="Q601" s="72">
        <v>0</v>
      </c>
      <c r="R601" s="72">
        <f>15-Q601+5</f>
        <v>20</v>
      </c>
      <c r="S601" s="73"/>
      <c r="T601" s="72" t="s">
        <v>45</v>
      </c>
      <c r="U601" s="74">
        <v>20000</v>
      </c>
      <c r="V601" s="74">
        <v>10000</v>
      </c>
      <c r="W601" s="74">
        <f>V601+U601</f>
        <v>30000</v>
      </c>
      <c r="X601" s="74">
        <v>5000</v>
      </c>
      <c r="Y601" s="74">
        <f>W601-X601</f>
        <v>25000</v>
      </c>
      <c r="Z601" s="70"/>
    </row>
    <row r="602" spans="1:27" s="29" customFormat="1" ht="21" customHeight="1" x14ac:dyDescent="0.2">
      <c r="A602" s="30"/>
      <c r="B602" s="29" t="s">
        <v>0</v>
      </c>
      <c r="C602" s="40" t="s">
        <v>78</v>
      </c>
      <c r="H602" s="41"/>
      <c r="I602" s="35"/>
      <c r="L602" s="42"/>
      <c r="M602" s="28"/>
      <c r="N602" s="75"/>
      <c r="O602" s="72" t="s">
        <v>71</v>
      </c>
      <c r="P602" s="72">
        <v>28</v>
      </c>
      <c r="Q602" s="72">
        <v>0</v>
      </c>
      <c r="R602" s="72">
        <f t="shared" ref="R602:R612" si="123">IF(Q602="","",R601-Q602)</f>
        <v>20</v>
      </c>
      <c r="S602" s="63"/>
      <c r="T602" s="72" t="s">
        <v>71</v>
      </c>
      <c r="U602" s="105">
        <f>Y601</f>
        <v>25000</v>
      </c>
      <c r="V602" s="74">
        <v>5000</v>
      </c>
      <c r="W602" s="105">
        <f>IF(U602="","",U602+V602)</f>
        <v>30000</v>
      </c>
      <c r="X602" s="74">
        <v>5000</v>
      </c>
      <c r="Y602" s="105">
        <f>IF(W602="","",W602-X602)</f>
        <v>25000</v>
      </c>
      <c r="Z602" s="76"/>
      <c r="AA602" s="28"/>
    </row>
    <row r="603" spans="1:27" s="29" customFormat="1" ht="21" customHeight="1" x14ac:dyDescent="0.2">
      <c r="A603" s="30"/>
      <c r="B603" s="44" t="s">
        <v>41</v>
      </c>
      <c r="C603" s="45"/>
      <c r="F603" s="411" t="s">
        <v>43</v>
      </c>
      <c r="G603" s="411"/>
      <c r="I603" s="411" t="s">
        <v>44</v>
      </c>
      <c r="J603" s="411"/>
      <c r="K603" s="411"/>
      <c r="L603" s="46"/>
      <c r="N603" s="71"/>
      <c r="O603" s="72" t="s">
        <v>46</v>
      </c>
      <c r="P603" s="72">
        <v>31</v>
      </c>
      <c r="Q603" s="72">
        <v>0</v>
      </c>
      <c r="R603" s="72">
        <f t="shared" si="123"/>
        <v>20</v>
      </c>
      <c r="S603" s="63"/>
      <c r="T603" s="72" t="s">
        <v>46</v>
      </c>
      <c r="U603" s="105">
        <f>Y602</f>
        <v>25000</v>
      </c>
      <c r="V603" s="74"/>
      <c r="W603" s="105">
        <f t="shared" ref="W603:W612" si="124">IF(U603="","",U603+V603)</f>
        <v>25000</v>
      </c>
      <c r="X603" s="74"/>
      <c r="Y603" s="105">
        <f t="shared" ref="Y603:Y612" si="125">IF(W603="","",W603-X603)</f>
        <v>25000</v>
      </c>
      <c r="Z603" s="76"/>
    </row>
    <row r="604" spans="1:27" s="29" customFormat="1" ht="21" customHeight="1" x14ac:dyDescent="0.2">
      <c r="A604" s="30"/>
      <c r="H604" s="47"/>
      <c r="L604" s="34"/>
      <c r="N604" s="71"/>
      <c r="O604" s="72" t="s">
        <v>47</v>
      </c>
      <c r="P604" s="72">
        <v>30</v>
      </c>
      <c r="Q604" s="72">
        <v>0</v>
      </c>
      <c r="R604" s="72">
        <f t="shared" si="123"/>
        <v>20</v>
      </c>
      <c r="S604" s="63"/>
      <c r="T604" s="72" t="s">
        <v>47</v>
      </c>
      <c r="U604" s="105">
        <f>Y603</f>
        <v>25000</v>
      </c>
      <c r="V604" s="74"/>
      <c r="W604" s="105">
        <f t="shared" si="124"/>
        <v>25000</v>
      </c>
      <c r="X604" s="74">
        <v>5000</v>
      </c>
      <c r="Y604" s="105">
        <f t="shared" si="125"/>
        <v>20000</v>
      </c>
      <c r="Z604" s="76"/>
    </row>
    <row r="605" spans="1:27" s="29" customFormat="1" ht="21" customHeight="1" x14ac:dyDescent="0.2">
      <c r="A605" s="30"/>
      <c r="B605" s="389" t="s">
        <v>42</v>
      </c>
      <c r="C605" s="390"/>
      <c r="F605" s="48" t="s">
        <v>64</v>
      </c>
      <c r="G605" s="43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20000</v>
      </c>
      <c r="H605" s="47"/>
      <c r="I605" s="49">
        <f>IF(C609&gt;0,$K$2,C607)</f>
        <v>31</v>
      </c>
      <c r="J605" s="50" t="s">
        <v>61</v>
      </c>
      <c r="K605" s="51">
        <f>K601/$K$2*I605</f>
        <v>35000</v>
      </c>
      <c r="L605" s="52"/>
      <c r="N605" s="71"/>
      <c r="O605" s="72" t="s">
        <v>48</v>
      </c>
      <c r="P605" s="72">
        <v>31</v>
      </c>
      <c r="Q605" s="72">
        <v>0</v>
      </c>
      <c r="R605" s="72">
        <f t="shared" si="123"/>
        <v>20</v>
      </c>
      <c r="S605" s="63"/>
      <c r="T605" s="72" t="s">
        <v>48</v>
      </c>
      <c r="U605" s="105">
        <f>Y604</f>
        <v>20000</v>
      </c>
      <c r="V605" s="74">
        <v>5000</v>
      </c>
      <c r="W605" s="105">
        <f t="shared" si="124"/>
        <v>25000</v>
      </c>
      <c r="X605" s="74">
        <v>5000</v>
      </c>
      <c r="Y605" s="105">
        <f t="shared" si="125"/>
        <v>20000</v>
      </c>
      <c r="Z605" s="76"/>
    </row>
    <row r="606" spans="1:27" s="29" customFormat="1" ht="21" customHeight="1" x14ac:dyDescent="0.2">
      <c r="A606" s="30"/>
      <c r="B606" s="39"/>
      <c r="C606" s="39"/>
      <c r="F606" s="48" t="s">
        <v>20</v>
      </c>
      <c r="G606" s="43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5000</v>
      </c>
      <c r="H606" s="47"/>
      <c r="I606" s="84">
        <v>64</v>
      </c>
      <c r="J606" s="50" t="s">
        <v>62</v>
      </c>
      <c r="K606" s="53">
        <f>K601/$K$2/8*I606</f>
        <v>9032.2580645161288</v>
      </c>
      <c r="L606" s="54"/>
      <c r="N606" s="71"/>
      <c r="O606" s="72" t="s">
        <v>49</v>
      </c>
      <c r="P606" s="72"/>
      <c r="Q606" s="72"/>
      <c r="R606" s="72" t="str">
        <f t="shared" si="123"/>
        <v/>
      </c>
      <c r="S606" s="63"/>
      <c r="T606" s="72" t="s">
        <v>49</v>
      </c>
      <c r="U606" s="105"/>
      <c r="V606" s="74"/>
      <c r="W606" s="105" t="str">
        <f t="shared" si="124"/>
        <v/>
      </c>
      <c r="X606" s="74"/>
      <c r="Y606" s="105" t="str">
        <f t="shared" si="125"/>
        <v/>
      </c>
      <c r="Z606" s="76"/>
    </row>
    <row r="607" spans="1:27" s="29" customFormat="1" ht="21" customHeight="1" x14ac:dyDescent="0.2">
      <c r="A607" s="30"/>
      <c r="B607" s="48" t="s">
        <v>7</v>
      </c>
      <c r="C607" s="39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31</v>
      </c>
      <c r="F607" s="48" t="s">
        <v>65</v>
      </c>
      <c r="G607" s="43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25000</v>
      </c>
      <c r="H607" s="47"/>
      <c r="I607" s="402" t="s">
        <v>69</v>
      </c>
      <c r="J607" s="403"/>
      <c r="K607" s="53">
        <f>K605+K606</f>
        <v>44032.258064516129</v>
      </c>
      <c r="L607" s="54"/>
      <c r="N607" s="71"/>
      <c r="O607" s="72" t="s">
        <v>50</v>
      </c>
      <c r="P607" s="72"/>
      <c r="Q607" s="72"/>
      <c r="R607" s="72" t="str">
        <f t="shared" si="123"/>
        <v/>
      </c>
      <c r="S607" s="63"/>
      <c r="T607" s="72" t="s">
        <v>50</v>
      </c>
      <c r="U607" s="105" t="str">
        <f t="shared" ref="U607" si="126">Y606</f>
        <v/>
      </c>
      <c r="V607" s="74"/>
      <c r="W607" s="105" t="str">
        <f t="shared" si="124"/>
        <v/>
      </c>
      <c r="X607" s="74"/>
      <c r="Y607" s="105" t="str">
        <f t="shared" si="125"/>
        <v/>
      </c>
      <c r="Z607" s="76"/>
    </row>
    <row r="608" spans="1:27" s="29" customFormat="1" ht="21" customHeight="1" x14ac:dyDescent="0.2">
      <c r="A608" s="30"/>
      <c r="B608" s="48" t="s">
        <v>6</v>
      </c>
      <c r="C608" s="39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F608" s="48" t="s">
        <v>21</v>
      </c>
      <c r="G608" s="43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5000</v>
      </c>
      <c r="H608" s="47"/>
      <c r="I608" s="402" t="s">
        <v>70</v>
      </c>
      <c r="J608" s="403"/>
      <c r="K608" s="43">
        <f>G608</f>
        <v>5000</v>
      </c>
      <c r="L608" s="55"/>
      <c r="N608" s="71"/>
      <c r="O608" s="72" t="s">
        <v>51</v>
      </c>
      <c r="P608" s="72"/>
      <c r="Q608" s="72"/>
      <c r="R608" s="72" t="str">
        <f t="shared" si="123"/>
        <v/>
      </c>
      <c r="S608" s="63"/>
      <c r="T608" s="72" t="s">
        <v>51</v>
      </c>
      <c r="U608" s="105" t="str">
        <f>Y607</f>
        <v/>
      </c>
      <c r="V608" s="74"/>
      <c r="W608" s="105" t="str">
        <f t="shared" si="124"/>
        <v/>
      </c>
      <c r="X608" s="74"/>
      <c r="Y608" s="105" t="str">
        <f t="shared" si="125"/>
        <v/>
      </c>
      <c r="Z608" s="76"/>
    </row>
    <row r="609" spans="1:27" s="29" customFormat="1" ht="21" customHeight="1" x14ac:dyDescent="0.2">
      <c r="A609" s="30"/>
      <c r="B609" s="56" t="s">
        <v>68</v>
      </c>
      <c r="C609" s="39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20</v>
      </c>
      <c r="F609" s="48" t="s">
        <v>67</v>
      </c>
      <c r="G609" s="43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20000</v>
      </c>
      <c r="I609" s="391" t="s">
        <v>63</v>
      </c>
      <c r="J609" s="393"/>
      <c r="K609" s="57">
        <f>K607-K608</f>
        <v>39032.258064516129</v>
      </c>
      <c r="L609" s="58"/>
      <c r="N609" s="71"/>
      <c r="O609" s="72" t="s">
        <v>56</v>
      </c>
      <c r="P609" s="72"/>
      <c r="Q609" s="72"/>
      <c r="R609" s="72" t="str">
        <f t="shared" si="123"/>
        <v/>
      </c>
      <c r="S609" s="63"/>
      <c r="T609" s="72" t="s">
        <v>56</v>
      </c>
      <c r="U609" s="105" t="str">
        <f>Y608</f>
        <v/>
      </c>
      <c r="V609" s="74"/>
      <c r="W609" s="105" t="str">
        <f t="shared" si="124"/>
        <v/>
      </c>
      <c r="X609" s="74"/>
      <c r="Y609" s="105" t="str">
        <f t="shared" si="125"/>
        <v/>
      </c>
      <c r="Z609" s="76"/>
    </row>
    <row r="610" spans="1:27" s="29" customFormat="1" ht="21" customHeight="1" x14ac:dyDescent="0.2">
      <c r="A610" s="30"/>
      <c r="K610" s="107"/>
      <c r="L610" s="46"/>
      <c r="N610" s="71"/>
      <c r="O610" s="72" t="s">
        <v>52</v>
      </c>
      <c r="P610" s="72"/>
      <c r="Q610" s="72"/>
      <c r="R610" s="72" t="str">
        <f t="shared" si="123"/>
        <v/>
      </c>
      <c r="S610" s="63"/>
      <c r="T610" s="72" t="s">
        <v>52</v>
      </c>
      <c r="U610" s="105" t="str">
        <f>Y609</f>
        <v/>
      </c>
      <c r="V610" s="74"/>
      <c r="W610" s="105" t="str">
        <f t="shared" si="124"/>
        <v/>
      </c>
      <c r="X610" s="74"/>
      <c r="Y610" s="105" t="str">
        <f t="shared" si="125"/>
        <v/>
      </c>
      <c r="Z610" s="76"/>
    </row>
    <row r="611" spans="1:27" s="29" customFormat="1" ht="21" customHeight="1" x14ac:dyDescent="0.2">
      <c r="A611" s="30"/>
      <c r="B611" s="404" t="s">
        <v>85</v>
      </c>
      <c r="C611" s="404"/>
      <c r="D611" s="404"/>
      <c r="E611" s="404"/>
      <c r="F611" s="404"/>
      <c r="G611" s="404"/>
      <c r="H611" s="404"/>
      <c r="I611" s="404"/>
      <c r="J611" s="404"/>
      <c r="K611" s="404"/>
      <c r="L611" s="46"/>
      <c r="N611" s="71"/>
      <c r="O611" s="72" t="s">
        <v>57</v>
      </c>
      <c r="P611" s="72"/>
      <c r="Q611" s="72"/>
      <c r="R611" s="72" t="str">
        <f t="shared" si="123"/>
        <v/>
      </c>
      <c r="S611" s="63"/>
      <c r="T611" s="72" t="s">
        <v>57</v>
      </c>
      <c r="U611" s="105" t="str">
        <f>Y610</f>
        <v/>
      </c>
      <c r="V611" s="74"/>
      <c r="W611" s="105" t="str">
        <f t="shared" si="124"/>
        <v/>
      </c>
      <c r="X611" s="74"/>
      <c r="Y611" s="105" t="str">
        <f t="shared" si="125"/>
        <v/>
      </c>
      <c r="Z611" s="76"/>
    </row>
    <row r="612" spans="1:27" s="29" customFormat="1" ht="21" customHeight="1" x14ac:dyDescent="0.2">
      <c r="A612" s="30"/>
      <c r="B612" s="404"/>
      <c r="C612" s="404"/>
      <c r="D612" s="404"/>
      <c r="E612" s="404"/>
      <c r="F612" s="404"/>
      <c r="G612" s="404"/>
      <c r="H612" s="404"/>
      <c r="I612" s="404"/>
      <c r="J612" s="404"/>
      <c r="K612" s="404"/>
      <c r="L612" s="46"/>
      <c r="N612" s="71"/>
      <c r="O612" s="72" t="s">
        <v>58</v>
      </c>
      <c r="P612" s="72"/>
      <c r="Q612" s="72"/>
      <c r="R612" s="72" t="str">
        <f t="shared" si="123"/>
        <v/>
      </c>
      <c r="S612" s="63"/>
      <c r="T612" s="72" t="s">
        <v>58</v>
      </c>
      <c r="U612" s="105" t="str">
        <f>Y611</f>
        <v/>
      </c>
      <c r="V612" s="74"/>
      <c r="W612" s="105" t="str">
        <f t="shared" si="124"/>
        <v/>
      </c>
      <c r="X612" s="74"/>
      <c r="Y612" s="105" t="str">
        <f t="shared" si="125"/>
        <v/>
      </c>
      <c r="Z612" s="76"/>
    </row>
    <row r="613" spans="1:27" s="29" customFormat="1" ht="21" customHeight="1" thickBot="1" x14ac:dyDescent="0.25">
      <c r="A613" s="5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1"/>
      <c r="N613" s="77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9"/>
    </row>
    <row r="614" spans="1:27" s="29" customFormat="1" ht="21" customHeight="1" thickBot="1" x14ac:dyDescent="0.25"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7" s="29" customFormat="1" ht="21" customHeight="1" x14ac:dyDescent="0.2">
      <c r="A615" s="412" t="s">
        <v>40</v>
      </c>
      <c r="B615" s="413"/>
      <c r="C615" s="413"/>
      <c r="D615" s="413"/>
      <c r="E615" s="413"/>
      <c r="F615" s="413"/>
      <c r="G615" s="413"/>
      <c r="H615" s="413"/>
      <c r="I615" s="413"/>
      <c r="J615" s="413"/>
      <c r="K615" s="413"/>
      <c r="L615" s="414"/>
      <c r="M615" s="28"/>
      <c r="N615" s="64"/>
      <c r="O615" s="405" t="s">
        <v>42</v>
      </c>
      <c r="P615" s="406"/>
      <c r="Q615" s="406"/>
      <c r="R615" s="407"/>
      <c r="S615" s="65"/>
      <c r="T615" s="405" t="s">
        <v>43</v>
      </c>
      <c r="U615" s="406"/>
      <c r="V615" s="406"/>
      <c r="W615" s="406"/>
      <c r="X615" s="406"/>
      <c r="Y615" s="407"/>
      <c r="Z615" s="66"/>
      <c r="AA615" s="28"/>
    </row>
    <row r="616" spans="1:27" s="29" customFormat="1" ht="21" customHeight="1" x14ac:dyDescent="0.2">
      <c r="A616" s="30"/>
      <c r="C616" s="395" t="s">
        <v>83</v>
      </c>
      <c r="D616" s="395"/>
      <c r="E616" s="395"/>
      <c r="F616" s="395"/>
      <c r="G616" s="31" t="str">
        <f>$J$1</f>
        <v>May</v>
      </c>
      <c r="H616" s="394">
        <f>$K$1</f>
        <v>2023</v>
      </c>
      <c r="I616" s="394"/>
      <c r="K616" s="32"/>
      <c r="L616" s="33"/>
      <c r="M616" s="32"/>
      <c r="N616" s="67"/>
      <c r="O616" s="68" t="s">
        <v>53</v>
      </c>
      <c r="P616" s="68" t="s">
        <v>7</v>
      </c>
      <c r="Q616" s="68" t="s">
        <v>6</v>
      </c>
      <c r="R616" s="68" t="s">
        <v>54</v>
      </c>
      <c r="S616" s="69"/>
      <c r="T616" s="68" t="s">
        <v>53</v>
      </c>
      <c r="U616" s="68" t="s">
        <v>55</v>
      </c>
      <c r="V616" s="68" t="s">
        <v>20</v>
      </c>
      <c r="W616" s="68" t="s">
        <v>19</v>
      </c>
      <c r="X616" s="68" t="s">
        <v>21</v>
      </c>
      <c r="Y616" s="68" t="s">
        <v>59</v>
      </c>
      <c r="Z616" s="70"/>
      <c r="AA616" s="32"/>
    </row>
    <row r="617" spans="1:27" s="29" customFormat="1" ht="21" customHeight="1" x14ac:dyDescent="0.2">
      <c r="A617" s="30"/>
      <c r="D617" s="35"/>
      <c r="E617" s="35"/>
      <c r="F617" s="35"/>
      <c r="G617" s="35"/>
      <c r="H617" s="35"/>
      <c r="J617" s="36" t="s">
        <v>1</v>
      </c>
      <c r="K617" s="37"/>
      <c r="L617" s="38"/>
      <c r="N617" s="71"/>
      <c r="O617" s="72" t="s">
        <v>45</v>
      </c>
      <c r="P617" s="72"/>
      <c r="Q617" s="72"/>
      <c r="R617" s="72"/>
      <c r="S617" s="73"/>
      <c r="T617" s="72" t="s">
        <v>45</v>
      </c>
      <c r="U617" s="74"/>
      <c r="V617" s="74"/>
      <c r="W617" s="74">
        <f>V617+U617</f>
        <v>0</v>
      </c>
      <c r="X617" s="74"/>
      <c r="Y617" s="74">
        <f>W617-X617</f>
        <v>0</v>
      </c>
      <c r="Z617" s="70"/>
    </row>
    <row r="618" spans="1:27" s="29" customFormat="1" ht="21" customHeight="1" x14ac:dyDescent="0.2">
      <c r="A618" s="30"/>
      <c r="B618" s="29" t="s">
        <v>0</v>
      </c>
      <c r="C618" s="40" t="s">
        <v>204</v>
      </c>
      <c r="H618" s="41"/>
      <c r="I618" s="35"/>
      <c r="L618" s="42"/>
      <c r="M618" s="28"/>
      <c r="N618" s="75"/>
      <c r="O618" s="72" t="s">
        <v>71</v>
      </c>
      <c r="P618" s="72"/>
      <c r="Q618" s="72"/>
      <c r="R618" s="72" t="str">
        <f t="shared" ref="R618:R625" si="127">IF(Q618="","",R617-Q618)</f>
        <v/>
      </c>
      <c r="S618" s="63"/>
      <c r="T618" s="72" t="s">
        <v>71</v>
      </c>
      <c r="U618" s="105">
        <f>Y617</f>
        <v>0</v>
      </c>
      <c r="V618" s="74"/>
      <c r="W618" s="105">
        <f>IF(U618="","",U618+V618)</f>
        <v>0</v>
      </c>
      <c r="X618" s="74"/>
      <c r="Y618" s="105">
        <f>IF(W618="","",W618-X618)</f>
        <v>0</v>
      </c>
      <c r="Z618" s="76"/>
      <c r="AA618" s="28"/>
    </row>
    <row r="619" spans="1:27" s="29" customFormat="1" ht="21" customHeight="1" x14ac:dyDescent="0.2">
      <c r="A619" s="30"/>
      <c r="B619" s="44" t="s">
        <v>41</v>
      </c>
      <c r="C619" s="45"/>
      <c r="F619" s="411" t="s">
        <v>43</v>
      </c>
      <c r="G619" s="411"/>
      <c r="I619" s="411" t="s">
        <v>44</v>
      </c>
      <c r="J619" s="411"/>
      <c r="K619" s="411"/>
      <c r="L619" s="46"/>
      <c r="N619" s="71"/>
      <c r="O619" s="72" t="s">
        <v>46</v>
      </c>
      <c r="P619" s="72"/>
      <c r="Q619" s="72"/>
      <c r="R619" s="72" t="str">
        <f t="shared" si="127"/>
        <v/>
      </c>
      <c r="S619" s="63"/>
      <c r="T619" s="72" t="s">
        <v>46</v>
      </c>
      <c r="U619" s="105">
        <f>Y618</f>
        <v>0</v>
      </c>
      <c r="V619" s="74">
        <v>2000</v>
      </c>
      <c r="W619" s="105">
        <f t="shared" ref="W619:W628" si="128">IF(U619="","",U619+V619)</f>
        <v>2000</v>
      </c>
      <c r="X619" s="74"/>
      <c r="Y619" s="105">
        <f t="shared" ref="Y619:Y628" si="129">IF(W619="","",W619-X619)</f>
        <v>2000</v>
      </c>
      <c r="Z619" s="76"/>
    </row>
    <row r="620" spans="1:27" s="29" customFormat="1" ht="21" customHeight="1" x14ac:dyDescent="0.2">
      <c r="A620" s="30"/>
      <c r="H620" s="47"/>
      <c r="L620" s="34"/>
      <c r="N620" s="71"/>
      <c r="O620" s="72" t="s">
        <v>47</v>
      </c>
      <c r="P620" s="72"/>
      <c r="Q620" s="72"/>
      <c r="R620" s="72" t="str">
        <f t="shared" si="127"/>
        <v/>
      </c>
      <c r="S620" s="63"/>
      <c r="T620" s="72" t="s">
        <v>47</v>
      </c>
      <c r="U620" s="105">
        <f>IF($J$1="March","",Y619)</f>
        <v>2000</v>
      </c>
      <c r="V620" s="74"/>
      <c r="W620" s="105">
        <f t="shared" si="128"/>
        <v>2000</v>
      </c>
      <c r="X620" s="74">
        <v>2000</v>
      </c>
      <c r="Y620" s="105">
        <f t="shared" si="129"/>
        <v>0</v>
      </c>
      <c r="Z620" s="76"/>
    </row>
    <row r="621" spans="1:27" s="29" customFormat="1" ht="21" customHeight="1" x14ac:dyDescent="0.2">
      <c r="A621" s="30"/>
      <c r="B621" s="389" t="s">
        <v>42</v>
      </c>
      <c r="C621" s="390"/>
      <c r="F621" s="48" t="s">
        <v>64</v>
      </c>
      <c r="G621" s="93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7"/>
      <c r="I621" s="49">
        <f>IF(C625&gt;0,$K$2,C623)</f>
        <v>31</v>
      </c>
      <c r="J621" s="50" t="s">
        <v>61</v>
      </c>
      <c r="K621" s="51">
        <f>K617/$K$2*I621</f>
        <v>0</v>
      </c>
      <c r="L621" s="52"/>
      <c r="N621" s="71"/>
      <c r="O621" s="72" t="s">
        <v>48</v>
      </c>
      <c r="P621" s="72"/>
      <c r="Q621" s="72"/>
      <c r="R621" s="72" t="str">
        <f t="shared" si="127"/>
        <v/>
      </c>
      <c r="S621" s="63"/>
      <c r="T621" s="72" t="s">
        <v>48</v>
      </c>
      <c r="U621" s="105">
        <f>Y620</f>
        <v>0</v>
      </c>
      <c r="V621" s="74"/>
      <c r="W621" s="105">
        <f t="shared" si="128"/>
        <v>0</v>
      </c>
      <c r="X621" s="74"/>
      <c r="Y621" s="105">
        <f t="shared" si="129"/>
        <v>0</v>
      </c>
      <c r="Z621" s="76"/>
    </row>
    <row r="622" spans="1:27" s="29" customFormat="1" ht="21" customHeight="1" x14ac:dyDescent="0.2">
      <c r="A622" s="30"/>
      <c r="B622" s="39"/>
      <c r="C622" s="39"/>
      <c r="F622" s="48" t="s">
        <v>20</v>
      </c>
      <c r="G622" s="93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7"/>
      <c r="I622" s="84"/>
      <c r="J622" s="50" t="s">
        <v>62</v>
      </c>
      <c r="K622" s="53">
        <f>K617/$K$2/8*I622</f>
        <v>0</v>
      </c>
      <c r="L622" s="54"/>
      <c r="N622" s="71"/>
      <c r="O622" s="72" t="s">
        <v>49</v>
      </c>
      <c r="P622" s="72"/>
      <c r="Q622" s="72"/>
      <c r="R622" s="72" t="str">
        <f t="shared" si="127"/>
        <v/>
      </c>
      <c r="S622" s="63"/>
      <c r="T622" s="72" t="s">
        <v>49</v>
      </c>
      <c r="U622" s="105"/>
      <c r="V622" s="74"/>
      <c r="W622" s="105" t="str">
        <f t="shared" si="128"/>
        <v/>
      </c>
      <c r="X622" s="74"/>
      <c r="Y622" s="105" t="str">
        <f t="shared" si="129"/>
        <v/>
      </c>
      <c r="Z622" s="76"/>
    </row>
    <row r="623" spans="1:27" s="29" customFormat="1" ht="21" customHeight="1" x14ac:dyDescent="0.2">
      <c r="A623" s="30"/>
      <c r="B623" s="48" t="s">
        <v>7</v>
      </c>
      <c r="C623" s="39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0</v>
      </c>
      <c r="F623" s="48" t="s">
        <v>65</v>
      </c>
      <c r="G623" s="93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7"/>
      <c r="I623" s="402" t="s">
        <v>69</v>
      </c>
      <c r="J623" s="403"/>
      <c r="K623" s="53">
        <f>K621+K622</f>
        <v>0</v>
      </c>
      <c r="L623" s="54"/>
      <c r="N623" s="71"/>
      <c r="O623" s="72" t="s">
        <v>50</v>
      </c>
      <c r="P623" s="72"/>
      <c r="Q623" s="72"/>
      <c r="R623" s="72" t="str">
        <f t="shared" si="127"/>
        <v/>
      </c>
      <c r="S623" s="63"/>
      <c r="T623" s="72" t="s">
        <v>50</v>
      </c>
      <c r="U623" s="105"/>
      <c r="V623" s="74"/>
      <c r="W623" s="105" t="str">
        <f t="shared" si="128"/>
        <v/>
      </c>
      <c r="X623" s="74"/>
      <c r="Y623" s="105" t="str">
        <f t="shared" si="129"/>
        <v/>
      </c>
      <c r="Z623" s="76"/>
    </row>
    <row r="624" spans="1:27" s="29" customFormat="1" ht="21" customHeight="1" x14ac:dyDescent="0.2">
      <c r="A624" s="30"/>
      <c r="B624" s="48" t="s">
        <v>6</v>
      </c>
      <c r="C624" s="39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0</v>
      </c>
      <c r="F624" s="48" t="s">
        <v>21</v>
      </c>
      <c r="G624" s="93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7"/>
      <c r="I624" s="402" t="s">
        <v>70</v>
      </c>
      <c r="J624" s="403"/>
      <c r="K624" s="43">
        <f>G624</f>
        <v>0</v>
      </c>
      <c r="L624" s="55"/>
      <c r="N624" s="71"/>
      <c r="O624" s="72" t="s">
        <v>51</v>
      </c>
      <c r="P624" s="72"/>
      <c r="Q624" s="72"/>
      <c r="R624" s="72" t="str">
        <f t="shared" si="127"/>
        <v/>
      </c>
      <c r="S624" s="63"/>
      <c r="T624" s="72" t="s">
        <v>51</v>
      </c>
      <c r="U624" s="105">
        <v>0</v>
      </c>
      <c r="V624" s="74"/>
      <c r="W624" s="105">
        <f t="shared" si="128"/>
        <v>0</v>
      </c>
      <c r="X624" s="74"/>
      <c r="Y624" s="105">
        <f t="shared" si="129"/>
        <v>0</v>
      </c>
      <c r="Z624" s="76"/>
    </row>
    <row r="625" spans="1:27" s="29" customFormat="1" ht="21" customHeight="1" x14ac:dyDescent="0.2">
      <c r="A625" s="30"/>
      <c r="B625" s="56" t="s">
        <v>68</v>
      </c>
      <c r="C625" s="39" t="str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/>
      </c>
      <c r="F625" s="48" t="s">
        <v>67</v>
      </c>
      <c r="G625" s="93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I625" s="391" t="s">
        <v>63</v>
      </c>
      <c r="J625" s="393"/>
      <c r="K625" s="57"/>
      <c r="L625" s="58"/>
      <c r="N625" s="71"/>
      <c r="O625" s="72" t="s">
        <v>56</v>
      </c>
      <c r="P625" s="72"/>
      <c r="Q625" s="72"/>
      <c r="R625" s="72" t="str">
        <f t="shared" si="127"/>
        <v/>
      </c>
      <c r="S625" s="63"/>
      <c r="T625" s="72" t="s">
        <v>56</v>
      </c>
      <c r="U625" s="105">
        <f>IF($J$1="August","",Y624)</f>
        <v>0</v>
      </c>
      <c r="V625" s="74"/>
      <c r="W625" s="105">
        <f t="shared" si="128"/>
        <v>0</v>
      </c>
      <c r="X625" s="74"/>
      <c r="Y625" s="105">
        <f t="shared" si="129"/>
        <v>0</v>
      </c>
      <c r="Z625" s="76"/>
    </row>
    <row r="626" spans="1:27" s="29" customFormat="1" ht="21" customHeight="1" x14ac:dyDescent="0.2">
      <c r="A626" s="30"/>
      <c r="I626" s="424"/>
      <c r="J626" s="424"/>
      <c r="L626" s="46"/>
      <c r="N626" s="71"/>
      <c r="O626" s="72" t="s">
        <v>52</v>
      </c>
      <c r="P626" s="72"/>
      <c r="Q626" s="72"/>
      <c r="R626" s="72"/>
      <c r="S626" s="63"/>
      <c r="T626" s="72" t="s">
        <v>52</v>
      </c>
      <c r="U626" s="105">
        <f>IF($J$1="September","",Y625)</f>
        <v>0</v>
      </c>
      <c r="V626" s="74"/>
      <c r="W626" s="105">
        <f t="shared" si="128"/>
        <v>0</v>
      </c>
      <c r="X626" s="74"/>
      <c r="Y626" s="105">
        <f t="shared" si="129"/>
        <v>0</v>
      </c>
      <c r="Z626" s="76"/>
    </row>
    <row r="627" spans="1:27" s="29" customFormat="1" ht="21" customHeight="1" x14ac:dyDescent="0.2">
      <c r="A627" s="30"/>
      <c r="B627" s="404" t="s">
        <v>85</v>
      </c>
      <c r="C627" s="404"/>
      <c r="D627" s="404"/>
      <c r="E627" s="404"/>
      <c r="F627" s="404"/>
      <c r="G627" s="404"/>
      <c r="H627" s="404"/>
      <c r="I627" s="404"/>
      <c r="J627" s="404"/>
      <c r="K627" s="404"/>
      <c r="L627" s="46"/>
      <c r="N627" s="71"/>
      <c r="O627" s="72" t="s">
        <v>57</v>
      </c>
      <c r="P627" s="72"/>
      <c r="Q627" s="72"/>
      <c r="R627" s="72"/>
      <c r="S627" s="63"/>
      <c r="T627" s="72" t="s">
        <v>57</v>
      </c>
      <c r="U627" s="105">
        <f>IF($J$1="October","",Y626)</f>
        <v>0</v>
      </c>
      <c r="V627" s="74"/>
      <c r="W627" s="105">
        <f t="shared" si="128"/>
        <v>0</v>
      </c>
      <c r="X627" s="74"/>
      <c r="Y627" s="105">
        <f t="shared" si="129"/>
        <v>0</v>
      </c>
      <c r="Z627" s="76"/>
    </row>
    <row r="628" spans="1:27" s="29" customFormat="1" ht="21" customHeight="1" x14ac:dyDescent="0.2">
      <c r="A628" s="30"/>
      <c r="B628" s="404"/>
      <c r="C628" s="404"/>
      <c r="D628" s="404"/>
      <c r="E628" s="404"/>
      <c r="F628" s="404"/>
      <c r="G628" s="404"/>
      <c r="H628" s="404"/>
      <c r="I628" s="404"/>
      <c r="J628" s="404"/>
      <c r="K628" s="404"/>
      <c r="L628" s="46"/>
      <c r="N628" s="71"/>
      <c r="O628" s="72" t="s">
        <v>58</v>
      </c>
      <c r="P628" s="72"/>
      <c r="Q628" s="72"/>
      <c r="R628" s="72" t="str">
        <f t="shared" ref="R628" si="130">IF(Q628="","",R627-Q628)</f>
        <v/>
      </c>
      <c r="S628" s="63"/>
      <c r="T628" s="72" t="s">
        <v>58</v>
      </c>
      <c r="U628" s="105">
        <f>IF($J$1="November","",Y627)</f>
        <v>0</v>
      </c>
      <c r="V628" s="74"/>
      <c r="W628" s="105">
        <f t="shared" si="128"/>
        <v>0</v>
      </c>
      <c r="X628" s="74"/>
      <c r="Y628" s="105">
        <f t="shared" si="129"/>
        <v>0</v>
      </c>
      <c r="Z628" s="76"/>
    </row>
    <row r="629" spans="1:27" s="29" customFormat="1" ht="21" customHeight="1" thickBot="1" x14ac:dyDescent="0.25">
      <c r="A629" s="5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1"/>
      <c r="N629" s="77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9"/>
    </row>
    <row r="630" spans="1:27" s="29" customFormat="1" ht="21" customHeight="1" thickBot="1" x14ac:dyDescent="0.25">
      <c r="A630" s="30"/>
      <c r="L630" s="46"/>
      <c r="N630" s="71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85"/>
    </row>
    <row r="631" spans="1:27" s="29" customFormat="1" ht="21" customHeight="1" x14ac:dyDescent="0.2">
      <c r="A631" s="408" t="s">
        <v>40</v>
      </c>
      <c r="B631" s="409"/>
      <c r="C631" s="409"/>
      <c r="D631" s="409"/>
      <c r="E631" s="409"/>
      <c r="F631" s="409"/>
      <c r="G631" s="409"/>
      <c r="H631" s="409"/>
      <c r="I631" s="409"/>
      <c r="J631" s="409"/>
      <c r="K631" s="409"/>
      <c r="L631" s="410"/>
      <c r="M631" s="28"/>
      <c r="N631" s="64"/>
      <c r="O631" s="405" t="s">
        <v>42</v>
      </c>
      <c r="P631" s="406"/>
      <c r="Q631" s="406"/>
      <c r="R631" s="407"/>
      <c r="S631" s="65"/>
      <c r="T631" s="405" t="s">
        <v>43</v>
      </c>
      <c r="U631" s="406"/>
      <c r="V631" s="406"/>
      <c r="W631" s="406"/>
      <c r="X631" s="406"/>
      <c r="Y631" s="407"/>
      <c r="Z631" s="66"/>
      <c r="AA631" s="28"/>
    </row>
    <row r="632" spans="1:27" s="29" customFormat="1" ht="21" customHeight="1" x14ac:dyDescent="0.2">
      <c r="A632" s="30"/>
      <c r="C632" s="395" t="s">
        <v>83</v>
      </c>
      <c r="D632" s="395"/>
      <c r="E632" s="395"/>
      <c r="F632" s="395"/>
      <c r="G632" s="31" t="str">
        <f>$J$1</f>
        <v>May</v>
      </c>
      <c r="H632" s="394">
        <f>$K$1</f>
        <v>2023</v>
      </c>
      <c r="I632" s="394"/>
      <c r="K632" s="32"/>
      <c r="L632" s="33"/>
      <c r="M632" s="32"/>
      <c r="N632" s="67"/>
      <c r="O632" s="68" t="s">
        <v>53</v>
      </c>
      <c r="P632" s="68" t="s">
        <v>7</v>
      </c>
      <c r="Q632" s="68" t="s">
        <v>6</v>
      </c>
      <c r="R632" s="68" t="s">
        <v>54</v>
      </c>
      <c r="S632" s="69"/>
      <c r="T632" s="68" t="s">
        <v>53</v>
      </c>
      <c r="U632" s="68" t="s">
        <v>55</v>
      </c>
      <c r="V632" s="68" t="s">
        <v>20</v>
      </c>
      <c r="W632" s="68" t="s">
        <v>19</v>
      </c>
      <c r="X632" s="68" t="s">
        <v>21</v>
      </c>
      <c r="Y632" s="68" t="s">
        <v>59</v>
      </c>
      <c r="Z632" s="70"/>
      <c r="AA632" s="32"/>
    </row>
    <row r="633" spans="1:27" s="29" customFormat="1" ht="21" customHeight="1" x14ac:dyDescent="0.2">
      <c r="A633" s="30"/>
      <c r="D633" s="35"/>
      <c r="E633" s="35"/>
      <c r="F633" s="35"/>
      <c r="G633" s="35"/>
      <c r="H633" s="35"/>
      <c r="J633" s="36" t="s">
        <v>1</v>
      </c>
      <c r="K633" s="37">
        <v>30000</v>
      </c>
      <c r="L633" s="38"/>
      <c r="N633" s="71"/>
      <c r="O633" s="72" t="s">
        <v>45</v>
      </c>
      <c r="P633" s="72"/>
      <c r="Q633" s="72"/>
      <c r="R633" s="72">
        <v>0</v>
      </c>
      <c r="S633" s="73"/>
      <c r="T633" s="72" t="s">
        <v>45</v>
      </c>
      <c r="U633" s="74"/>
      <c r="V633" s="74"/>
      <c r="W633" s="74">
        <f>V633+U633</f>
        <v>0</v>
      </c>
      <c r="X633" s="74"/>
      <c r="Y633" s="74">
        <f>W633-X633</f>
        <v>0</v>
      </c>
      <c r="Z633" s="70"/>
    </row>
    <row r="634" spans="1:27" s="29" customFormat="1" ht="21" customHeight="1" x14ac:dyDescent="0.2">
      <c r="A634" s="30"/>
      <c r="B634" s="29" t="s">
        <v>0</v>
      </c>
      <c r="C634" s="40" t="s">
        <v>226</v>
      </c>
      <c r="H634" s="41"/>
      <c r="I634" s="35"/>
      <c r="L634" s="42"/>
      <c r="M634" s="28"/>
      <c r="N634" s="75"/>
      <c r="O634" s="72" t="s">
        <v>71</v>
      </c>
      <c r="P634" s="72"/>
      <c r="Q634" s="72"/>
      <c r="R634" s="72">
        <v>0</v>
      </c>
      <c r="S634" s="63"/>
      <c r="T634" s="72" t="s">
        <v>71</v>
      </c>
      <c r="U634" s="105">
        <f>Y633</f>
        <v>0</v>
      </c>
      <c r="V634" s="74"/>
      <c r="W634" s="105">
        <f>IF(U634="","",U634+V634)</f>
        <v>0</v>
      </c>
      <c r="X634" s="74"/>
      <c r="Y634" s="105">
        <f>IF(W634="","",W634-X634)</f>
        <v>0</v>
      </c>
      <c r="Z634" s="76"/>
      <c r="AA634" s="28"/>
    </row>
    <row r="635" spans="1:27" s="29" customFormat="1" ht="21" customHeight="1" x14ac:dyDescent="0.2">
      <c r="A635" s="30"/>
      <c r="B635" s="44" t="s">
        <v>41</v>
      </c>
      <c r="C635" s="45"/>
      <c r="F635" s="411" t="s">
        <v>43</v>
      </c>
      <c r="G635" s="411"/>
      <c r="I635" s="411" t="s">
        <v>44</v>
      </c>
      <c r="J635" s="411"/>
      <c r="K635" s="411"/>
      <c r="L635" s="46"/>
      <c r="N635" s="71"/>
      <c r="O635" s="72" t="s">
        <v>46</v>
      </c>
      <c r="P635" s="72"/>
      <c r="Q635" s="72"/>
      <c r="R635" s="72">
        <v>0</v>
      </c>
      <c r="S635" s="63"/>
      <c r="T635" s="72" t="s">
        <v>46</v>
      </c>
      <c r="U635" s="105">
        <f>Y634</f>
        <v>0</v>
      </c>
      <c r="V635" s="74"/>
      <c r="W635" s="105">
        <f t="shared" ref="W635:W637" si="131">IF(U635="","",U635+V635)</f>
        <v>0</v>
      </c>
      <c r="X635" s="74"/>
      <c r="Y635" s="105">
        <f t="shared" ref="Y635:Y637" si="132">IF(W635="","",W635-X635)</f>
        <v>0</v>
      </c>
      <c r="Z635" s="76"/>
    </row>
    <row r="636" spans="1:27" s="29" customFormat="1" ht="21" customHeight="1" x14ac:dyDescent="0.2">
      <c r="A636" s="30"/>
      <c r="H636" s="47"/>
      <c r="L636" s="34"/>
      <c r="N636" s="71"/>
      <c r="O636" s="72" t="s">
        <v>47</v>
      </c>
      <c r="P636" s="72">
        <v>25</v>
      </c>
      <c r="Q636" s="72">
        <v>5</v>
      </c>
      <c r="R636" s="72">
        <v>0</v>
      </c>
      <c r="S636" s="63"/>
      <c r="T636" s="72" t="s">
        <v>47</v>
      </c>
      <c r="U636" s="105">
        <f>IF($J$1="March","",Y635)</f>
        <v>0</v>
      </c>
      <c r="V636" s="74">
        <v>28000</v>
      </c>
      <c r="W636" s="105">
        <f t="shared" si="131"/>
        <v>28000</v>
      </c>
      <c r="X636" s="74">
        <v>28000</v>
      </c>
      <c r="Y636" s="105">
        <f t="shared" si="132"/>
        <v>0</v>
      </c>
      <c r="Z636" s="76"/>
    </row>
    <row r="637" spans="1:27" s="29" customFormat="1" ht="21" customHeight="1" x14ac:dyDescent="0.2">
      <c r="A637" s="30"/>
      <c r="B637" s="389" t="s">
        <v>42</v>
      </c>
      <c r="C637" s="390"/>
      <c r="F637" s="48" t="s">
        <v>64</v>
      </c>
      <c r="G637" s="109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0</v>
      </c>
      <c r="H637" s="47"/>
      <c r="I637" s="49">
        <f>IF(C641&gt;0,$K$2,C639)</f>
        <v>28</v>
      </c>
      <c r="J637" s="50" t="s">
        <v>61</v>
      </c>
      <c r="K637" s="51">
        <f>K633/$K$2*I637</f>
        <v>27096.774193548386</v>
      </c>
      <c r="L637" s="52"/>
      <c r="N637" s="71"/>
      <c r="O637" s="72" t="s">
        <v>48</v>
      </c>
      <c r="P637" s="72">
        <v>28</v>
      </c>
      <c r="Q637" s="72">
        <v>3</v>
      </c>
      <c r="R637" s="72">
        <v>0</v>
      </c>
      <c r="S637" s="63"/>
      <c r="T637" s="72" t="s">
        <v>48</v>
      </c>
      <c r="U637" s="105">
        <f>Y636</f>
        <v>0</v>
      </c>
      <c r="V637" s="74">
        <v>2500</v>
      </c>
      <c r="W637" s="105">
        <f t="shared" si="131"/>
        <v>2500</v>
      </c>
      <c r="X637" s="74">
        <v>2500</v>
      </c>
      <c r="Y637" s="105">
        <f t="shared" si="132"/>
        <v>0</v>
      </c>
      <c r="Z637" s="76"/>
    </row>
    <row r="638" spans="1:27" s="29" customFormat="1" ht="21" customHeight="1" x14ac:dyDescent="0.2">
      <c r="A638" s="30"/>
      <c r="B638" s="39"/>
      <c r="C638" s="39"/>
      <c r="F638" s="48" t="s">
        <v>20</v>
      </c>
      <c r="G638" s="109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2500</v>
      </c>
      <c r="H638" s="47"/>
      <c r="I638" s="84">
        <v>126</v>
      </c>
      <c r="J638" s="50" t="s">
        <v>62</v>
      </c>
      <c r="K638" s="53">
        <f>K633/$K$2/8*I638</f>
        <v>15241.935483870968</v>
      </c>
      <c r="L638" s="54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5"/>
      <c r="V638" s="74"/>
      <c r="W638" s="105" t="str">
        <f t="shared" ref="W638:W644" si="133">IF(U638="","",U638+V638)</f>
        <v/>
      </c>
      <c r="X638" s="176"/>
      <c r="Y638" s="105" t="str">
        <f t="shared" ref="Y638:Y644" si="134">IF(W638="","",W638-X638)</f>
        <v/>
      </c>
      <c r="Z638" s="76"/>
    </row>
    <row r="639" spans="1:27" s="29" customFormat="1" ht="21" customHeight="1" x14ac:dyDescent="0.2">
      <c r="A639" s="30"/>
      <c r="B639" s="48" t="s">
        <v>7</v>
      </c>
      <c r="C639" s="39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28</v>
      </c>
      <c r="F639" s="48" t="s">
        <v>65</v>
      </c>
      <c r="G639" s="109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2500</v>
      </c>
      <c r="H639" s="47"/>
      <c r="I639" s="402" t="s">
        <v>69</v>
      </c>
      <c r="J639" s="403"/>
      <c r="K639" s="53">
        <f>K637+K638</f>
        <v>42338.709677419356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5"/>
      <c r="V639" s="74"/>
      <c r="W639" s="105" t="str">
        <f t="shared" si="133"/>
        <v/>
      </c>
      <c r="X639" s="176"/>
      <c r="Y639" s="105" t="str">
        <f t="shared" si="134"/>
        <v/>
      </c>
      <c r="Z639" s="76"/>
    </row>
    <row r="640" spans="1:27" s="29" customFormat="1" ht="21" customHeight="1" x14ac:dyDescent="0.2">
      <c r="A640" s="30"/>
      <c r="B640" s="48" t="s">
        <v>6</v>
      </c>
      <c r="C640" s="39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3</v>
      </c>
      <c r="F640" s="48" t="s">
        <v>21</v>
      </c>
      <c r="G640" s="109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2500</v>
      </c>
      <c r="H640" s="47"/>
      <c r="I640" s="402" t="s">
        <v>70</v>
      </c>
      <c r="J640" s="403"/>
      <c r="K640" s="43">
        <f>G640</f>
        <v>2500</v>
      </c>
      <c r="L640" s="55"/>
      <c r="N640" s="71"/>
      <c r="O640" s="72" t="s">
        <v>51</v>
      </c>
      <c r="P640" s="72"/>
      <c r="Q640" s="72"/>
      <c r="R640" s="72">
        <v>0</v>
      </c>
      <c r="S640" s="63"/>
      <c r="T640" s="72" t="s">
        <v>51</v>
      </c>
      <c r="U640" s="105"/>
      <c r="V640" s="74"/>
      <c r="W640" s="105" t="str">
        <f t="shared" si="133"/>
        <v/>
      </c>
      <c r="X640" s="176"/>
      <c r="Y640" s="105" t="str">
        <f t="shared" si="134"/>
        <v/>
      </c>
      <c r="Z640" s="76"/>
    </row>
    <row r="641" spans="1:26" s="29" customFormat="1" ht="21" customHeight="1" x14ac:dyDescent="0.2">
      <c r="A641" s="30"/>
      <c r="B641" s="56" t="s">
        <v>68</v>
      </c>
      <c r="C641" s="39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0</v>
      </c>
      <c r="F641" s="48" t="s">
        <v>67</v>
      </c>
      <c r="G641" s="109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0</v>
      </c>
      <c r="I641" s="391" t="s">
        <v>63</v>
      </c>
      <c r="J641" s="393"/>
      <c r="K641" s="57">
        <f>K639-K640</f>
        <v>39838.709677419356</v>
      </c>
      <c r="L641" s="58"/>
      <c r="N641" s="71"/>
      <c r="O641" s="72" t="s">
        <v>56</v>
      </c>
      <c r="P641" s="72"/>
      <c r="Q641" s="72"/>
      <c r="R641" s="72">
        <v>0</v>
      </c>
      <c r="S641" s="63"/>
      <c r="T641" s="72" t="s">
        <v>56</v>
      </c>
      <c r="U641" s="105"/>
      <c r="V641" s="74"/>
      <c r="W641" s="105" t="str">
        <f t="shared" si="133"/>
        <v/>
      </c>
      <c r="X641" s="74"/>
      <c r="Y641" s="105" t="str">
        <f t="shared" si="134"/>
        <v/>
      </c>
      <c r="Z641" s="76"/>
    </row>
    <row r="642" spans="1:26" s="29" customFormat="1" ht="21" customHeight="1" x14ac:dyDescent="0.2">
      <c r="A642" s="30"/>
      <c r="L642" s="46"/>
      <c r="N642" s="71"/>
      <c r="O642" s="72" t="s">
        <v>52</v>
      </c>
      <c r="P642" s="72"/>
      <c r="Q642" s="72"/>
      <c r="R642" s="72">
        <v>0</v>
      </c>
      <c r="S642" s="63"/>
      <c r="T642" s="72" t="s">
        <v>52</v>
      </c>
      <c r="U642" s="105"/>
      <c r="V642" s="74"/>
      <c r="W642" s="105" t="str">
        <f t="shared" si="133"/>
        <v/>
      </c>
      <c r="X642" s="74"/>
      <c r="Y642" s="105" t="str">
        <f t="shared" si="134"/>
        <v/>
      </c>
      <c r="Z642" s="76"/>
    </row>
    <row r="643" spans="1:26" s="29" customFormat="1" ht="21" customHeight="1" x14ac:dyDescent="0.2">
      <c r="A643" s="30"/>
      <c r="B643" s="404" t="s">
        <v>85</v>
      </c>
      <c r="C643" s="404"/>
      <c r="D643" s="404"/>
      <c r="E643" s="404"/>
      <c r="F643" s="404"/>
      <c r="G643" s="404"/>
      <c r="H643" s="404"/>
      <c r="I643" s="404"/>
      <c r="J643" s="404"/>
      <c r="K643" s="404"/>
      <c r="L643" s="46"/>
      <c r="N643" s="71"/>
      <c r="O643" s="72" t="s">
        <v>57</v>
      </c>
      <c r="P643" s="72"/>
      <c r="Q643" s="72"/>
      <c r="R643" s="72">
        <v>0</v>
      </c>
      <c r="S643" s="63"/>
      <c r="T643" s="72" t="s">
        <v>57</v>
      </c>
      <c r="U643" s="105"/>
      <c r="V643" s="74"/>
      <c r="W643" s="105" t="str">
        <f t="shared" si="133"/>
        <v/>
      </c>
      <c r="X643" s="74"/>
      <c r="Y643" s="105" t="str">
        <f t="shared" si="134"/>
        <v/>
      </c>
      <c r="Z643" s="76"/>
    </row>
    <row r="644" spans="1:26" s="29" customFormat="1" ht="21" customHeight="1" x14ac:dyDescent="0.2">
      <c r="A644" s="30"/>
      <c r="B644" s="404"/>
      <c r="C644" s="404"/>
      <c r="D644" s="404"/>
      <c r="E644" s="404"/>
      <c r="F644" s="404"/>
      <c r="G644" s="404"/>
      <c r="H644" s="404"/>
      <c r="I644" s="404"/>
      <c r="J644" s="404"/>
      <c r="K644" s="404"/>
      <c r="L644" s="46"/>
      <c r="N644" s="71"/>
      <c r="O644" s="72" t="s">
        <v>58</v>
      </c>
      <c r="P644" s="72"/>
      <c r="Q644" s="72"/>
      <c r="R644" s="72">
        <v>0</v>
      </c>
      <c r="S644" s="63"/>
      <c r="T644" s="72" t="s">
        <v>58</v>
      </c>
      <c r="U644" s="105"/>
      <c r="V644" s="74"/>
      <c r="W644" s="105" t="str">
        <f t="shared" si="133"/>
        <v/>
      </c>
      <c r="X644" s="74"/>
      <c r="Y644" s="105" t="str">
        <f t="shared" si="134"/>
        <v/>
      </c>
      <c r="Z644" s="76"/>
    </row>
    <row r="645" spans="1:26" s="29" customFormat="1" ht="21" customHeight="1" thickBot="1" x14ac:dyDescent="0.25">
      <c r="A645" s="5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1"/>
      <c r="N645" s="77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9"/>
    </row>
    <row r="646" spans="1:26" s="29" customFormat="1" ht="21" customHeight="1" thickBot="1" x14ac:dyDescent="0.25"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s="29" customFormat="1" ht="21" customHeight="1" x14ac:dyDescent="0.2">
      <c r="A647" s="408" t="s">
        <v>40</v>
      </c>
      <c r="B647" s="409"/>
      <c r="C647" s="409"/>
      <c r="D647" s="409"/>
      <c r="E647" s="409"/>
      <c r="F647" s="409"/>
      <c r="G647" s="409"/>
      <c r="H647" s="409"/>
      <c r="I647" s="409"/>
      <c r="J647" s="409"/>
      <c r="K647" s="409"/>
      <c r="L647" s="410"/>
      <c r="M647" s="28"/>
      <c r="N647" s="64"/>
      <c r="O647" s="405" t="s">
        <v>42</v>
      </c>
      <c r="P647" s="406"/>
      <c r="Q647" s="406"/>
      <c r="R647" s="407"/>
      <c r="S647" s="65"/>
      <c r="T647" s="405" t="s">
        <v>43</v>
      </c>
      <c r="U647" s="406"/>
      <c r="V647" s="406"/>
      <c r="W647" s="406"/>
      <c r="X647" s="406"/>
      <c r="Y647" s="407"/>
      <c r="Z647" s="66"/>
    </row>
    <row r="648" spans="1:26" s="29" customFormat="1" ht="21" customHeight="1" x14ac:dyDescent="0.2">
      <c r="A648" s="30"/>
      <c r="C648" s="395" t="s">
        <v>83</v>
      </c>
      <c r="D648" s="395"/>
      <c r="E648" s="395"/>
      <c r="F648" s="395"/>
      <c r="G648" s="31" t="str">
        <f>$J$1</f>
        <v>May</v>
      </c>
      <c r="H648" s="394">
        <f>$K$1</f>
        <v>2023</v>
      </c>
      <c r="I648" s="394"/>
      <c r="K648" s="32"/>
      <c r="L648" s="33"/>
      <c r="M648" s="32"/>
      <c r="N648" s="67"/>
      <c r="O648" s="68" t="s">
        <v>53</v>
      </c>
      <c r="P648" s="68" t="s">
        <v>7</v>
      </c>
      <c r="Q648" s="68" t="s">
        <v>6</v>
      </c>
      <c r="R648" s="68" t="s">
        <v>54</v>
      </c>
      <c r="S648" s="69"/>
      <c r="T648" s="68" t="s">
        <v>53</v>
      </c>
      <c r="U648" s="68" t="s">
        <v>55</v>
      </c>
      <c r="V648" s="68" t="s">
        <v>20</v>
      </c>
      <c r="W648" s="68" t="s">
        <v>19</v>
      </c>
      <c r="X648" s="68" t="s">
        <v>21</v>
      </c>
      <c r="Y648" s="68" t="s">
        <v>59</v>
      </c>
      <c r="Z648" s="70"/>
    </row>
    <row r="649" spans="1:26" s="29" customFormat="1" ht="21" customHeight="1" x14ac:dyDescent="0.2">
      <c r="A649" s="30"/>
      <c r="D649" s="35"/>
      <c r="E649" s="35"/>
      <c r="F649" s="35"/>
      <c r="G649" s="35"/>
      <c r="H649" s="35"/>
      <c r="J649" s="36" t="s">
        <v>1</v>
      </c>
      <c r="K649" s="37">
        <v>1400</v>
      </c>
      <c r="L649" s="38"/>
      <c r="N649" s="71"/>
      <c r="O649" s="72" t="s">
        <v>45</v>
      </c>
      <c r="P649" s="72"/>
      <c r="Q649" s="72"/>
      <c r="R649" s="72">
        <f>15-Q649+3</f>
        <v>18</v>
      </c>
      <c r="S649" s="73"/>
      <c r="T649" s="72" t="s">
        <v>45</v>
      </c>
      <c r="U649" s="74"/>
      <c r="V649" s="74"/>
      <c r="W649" s="74"/>
      <c r="X649" s="74"/>
      <c r="Y649" s="74"/>
      <c r="Z649" s="70"/>
    </row>
    <row r="650" spans="1:26" s="29" customFormat="1" ht="21" customHeight="1" x14ac:dyDescent="0.2">
      <c r="A650" s="30"/>
      <c r="B650" s="29" t="s">
        <v>0</v>
      </c>
      <c r="C650" s="40" t="s">
        <v>143</v>
      </c>
      <c r="H650" s="41"/>
      <c r="I650" s="35"/>
      <c r="L650" s="42"/>
      <c r="M650" s="28"/>
      <c r="N650" s="75"/>
      <c r="O650" s="72" t="s">
        <v>71</v>
      </c>
      <c r="P650" s="72"/>
      <c r="Q650" s="72"/>
      <c r="R650" s="128">
        <f>R649-Q650+5</f>
        <v>23</v>
      </c>
      <c r="S650" s="63"/>
      <c r="T650" s="72" t="s">
        <v>71</v>
      </c>
      <c r="U650" s="105"/>
      <c r="V650" s="74"/>
      <c r="W650" s="105"/>
      <c r="X650" s="74"/>
      <c r="Y650" s="105"/>
      <c r="Z650" s="76"/>
    </row>
    <row r="651" spans="1:26" s="29" customFormat="1" ht="21" customHeight="1" x14ac:dyDescent="0.2">
      <c r="A651" s="30"/>
      <c r="B651" s="44" t="s">
        <v>41</v>
      </c>
      <c r="C651" s="40"/>
      <c r="F651" s="411" t="s">
        <v>43</v>
      </c>
      <c r="G651" s="411"/>
      <c r="I651" s="411" t="s">
        <v>44</v>
      </c>
      <c r="J651" s="411"/>
      <c r="K651" s="411"/>
      <c r="L651" s="46"/>
      <c r="N651" s="71"/>
      <c r="O651" s="72" t="s">
        <v>46</v>
      </c>
      <c r="P651" s="72"/>
      <c r="Q651" s="72"/>
      <c r="R651" s="128">
        <f>R650-Q651+5</f>
        <v>28</v>
      </c>
      <c r="S651" s="63"/>
      <c r="T651" s="72" t="s">
        <v>46</v>
      </c>
      <c r="U651" s="105"/>
      <c r="V651" s="74"/>
      <c r="W651" s="105"/>
      <c r="X651" s="74"/>
      <c r="Y651" s="105"/>
      <c r="Z651" s="76"/>
    </row>
    <row r="652" spans="1:26" s="29" customFormat="1" ht="21" customHeight="1" x14ac:dyDescent="0.2">
      <c r="A652" s="30"/>
      <c r="H652" s="47"/>
      <c r="L652" s="34"/>
      <c r="N652" s="71"/>
      <c r="O652" s="72" t="s">
        <v>47</v>
      </c>
      <c r="P652" s="72">
        <v>25</v>
      </c>
      <c r="Q652" s="72">
        <v>5</v>
      </c>
      <c r="R652" s="72">
        <v>0</v>
      </c>
      <c r="S652" s="63"/>
      <c r="T652" s="72" t="s">
        <v>47</v>
      </c>
      <c r="U652" s="105"/>
      <c r="V652" s="74"/>
      <c r="W652" s="105"/>
      <c r="X652" s="74"/>
      <c r="Y652" s="105"/>
      <c r="Z652" s="76"/>
    </row>
    <row r="653" spans="1:26" s="29" customFormat="1" ht="21" customHeight="1" x14ac:dyDescent="0.2">
      <c r="A653" s="30"/>
      <c r="B653" s="389" t="s">
        <v>42</v>
      </c>
      <c r="C653" s="390"/>
      <c r="F653" s="48" t="s">
        <v>64</v>
      </c>
      <c r="G653" s="43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47"/>
      <c r="I653" s="49"/>
      <c r="J653" s="50" t="s">
        <v>61</v>
      </c>
      <c r="K653" s="51">
        <f>K649*I653</f>
        <v>0</v>
      </c>
      <c r="L653" s="52"/>
      <c r="N653" s="71"/>
      <c r="O653" s="72" t="s">
        <v>48</v>
      </c>
      <c r="P653" s="72">
        <v>28</v>
      </c>
      <c r="Q653" s="72">
        <v>3</v>
      </c>
      <c r="R653" s="72">
        <v>0</v>
      </c>
      <c r="S653" s="63"/>
      <c r="T653" s="72" t="s">
        <v>48</v>
      </c>
      <c r="U653" s="105"/>
      <c r="V653" s="74"/>
      <c r="W653" s="105"/>
      <c r="X653" s="74"/>
      <c r="Y653" s="105"/>
      <c r="Z653" s="76"/>
    </row>
    <row r="654" spans="1:26" s="29" customFormat="1" ht="21" customHeight="1" x14ac:dyDescent="0.2">
      <c r="A654" s="30"/>
      <c r="B654" s="39"/>
      <c r="C654" s="39"/>
      <c r="F654" s="48" t="s">
        <v>20</v>
      </c>
      <c r="G654" s="43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7"/>
      <c r="I654" s="84"/>
      <c r="J654" s="50" t="s">
        <v>62</v>
      </c>
      <c r="K654" s="53">
        <f>K649/8*I654</f>
        <v>0</v>
      </c>
      <c r="L654" s="54"/>
      <c r="N654" s="71"/>
      <c r="O654" s="72" t="s">
        <v>49</v>
      </c>
      <c r="P654" s="72"/>
      <c r="Q654" s="72"/>
      <c r="R654" s="72">
        <v>0</v>
      </c>
      <c r="S654" s="63"/>
      <c r="T654" s="72" t="s">
        <v>49</v>
      </c>
      <c r="U654" s="105"/>
      <c r="V654" s="74"/>
      <c r="W654" s="105"/>
      <c r="X654" s="74"/>
      <c r="Y654" s="105"/>
      <c r="Z654" s="76"/>
    </row>
    <row r="655" spans="1:26" s="29" customFormat="1" ht="21" customHeight="1" x14ac:dyDescent="0.2">
      <c r="A655" s="30"/>
      <c r="B655" s="48" t="s">
        <v>7</v>
      </c>
      <c r="C655" s="39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28</v>
      </c>
      <c r="F655" s="48" t="s">
        <v>65</v>
      </c>
      <c r="G655" s="43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47"/>
      <c r="I655" s="402" t="s">
        <v>69</v>
      </c>
      <c r="J655" s="403"/>
      <c r="K655" s="53">
        <f>K653+K654</f>
        <v>0</v>
      </c>
      <c r="L655" s="54"/>
      <c r="N655" s="71"/>
      <c r="O655" s="72" t="s">
        <v>50</v>
      </c>
      <c r="P655" s="72"/>
      <c r="Q655" s="72"/>
      <c r="R655" s="72">
        <v>0</v>
      </c>
      <c r="S655" s="63"/>
      <c r="T655" s="72" t="s">
        <v>50</v>
      </c>
      <c r="U655" s="105"/>
      <c r="V655" s="74"/>
      <c r="W655" s="105"/>
      <c r="X655" s="74"/>
      <c r="Y655" s="105"/>
      <c r="Z655" s="76"/>
    </row>
    <row r="656" spans="1:26" s="29" customFormat="1" ht="21" customHeight="1" x14ac:dyDescent="0.2">
      <c r="A656" s="30"/>
      <c r="B656" s="48" t="s">
        <v>6</v>
      </c>
      <c r="C656" s="39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3</v>
      </c>
      <c r="F656" s="48" t="s">
        <v>21</v>
      </c>
      <c r="G656" s="43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47"/>
      <c r="I656" s="402" t="s">
        <v>70</v>
      </c>
      <c r="J656" s="403"/>
      <c r="K656" s="43">
        <f>G656</f>
        <v>0</v>
      </c>
      <c r="L656" s="55"/>
      <c r="N656" s="71"/>
      <c r="O656" s="72" t="s">
        <v>51</v>
      </c>
      <c r="P656" s="72"/>
      <c r="Q656" s="72"/>
      <c r="R656" s="72">
        <v>0</v>
      </c>
      <c r="S656" s="63"/>
      <c r="T656" s="72" t="s">
        <v>51</v>
      </c>
      <c r="U656" s="105"/>
      <c r="V656" s="74"/>
      <c r="W656" s="105"/>
      <c r="X656" s="74"/>
      <c r="Y656" s="105"/>
      <c r="Z656" s="76"/>
    </row>
    <row r="657" spans="1:26" s="29" customFormat="1" ht="21" customHeight="1" x14ac:dyDescent="0.2">
      <c r="A657" s="30"/>
      <c r="B657" s="56" t="s">
        <v>68</v>
      </c>
      <c r="C657" s="39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0</v>
      </c>
      <c r="F657" s="48" t="s">
        <v>67</v>
      </c>
      <c r="G657" s="43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I657" s="391" t="s">
        <v>63</v>
      </c>
      <c r="J657" s="393"/>
      <c r="K657" s="57">
        <f>K655-K656</f>
        <v>0</v>
      </c>
      <c r="L657" s="58"/>
      <c r="N657" s="71"/>
      <c r="O657" s="72" t="s">
        <v>56</v>
      </c>
      <c r="P657" s="72"/>
      <c r="Q657" s="72"/>
      <c r="R657" s="72">
        <v>0</v>
      </c>
      <c r="S657" s="63"/>
      <c r="T657" s="72" t="s">
        <v>56</v>
      </c>
      <c r="U657" s="105"/>
      <c r="V657" s="74"/>
      <c r="W657" s="105"/>
      <c r="X657" s="74"/>
      <c r="Y657" s="105"/>
      <c r="Z657" s="76"/>
    </row>
    <row r="658" spans="1:26" s="29" customFormat="1" ht="21" customHeight="1" x14ac:dyDescent="0.2">
      <c r="A658" s="30"/>
      <c r="L658" s="46"/>
      <c r="N658" s="71"/>
      <c r="O658" s="72" t="s">
        <v>52</v>
      </c>
      <c r="P658" s="72"/>
      <c r="Q658" s="72"/>
      <c r="R658" s="72">
        <v>0</v>
      </c>
      <c r="S658" s="63"/>
      <c r="T658" s="72" t="s">
        <v>52</v>
      </c>
      <c r="U658" s="105"/>
      <c r="V658" s="74"/>
      <c r="W658" s="105"/>
      <c r="X658" s="74"/>
      <c r="Y658" s="105"/>
      <c r="Z658" s="76"/>
    </row>
    <row r="659" spans="1:26" s="29" customFormat="1" ht="21" customHeight="1" x14ac:dyDescent="0.2">
      <c r="A659" s="30"/>
      <c r="B659" s="404" t="s">
        <v>85</v>
      </c>
      <c r="C659" s="404"/>
      <c r="D659" s="404"/>
      <c r="E659" s="404"/>
      <c r="F659" s="404"/>
      <c r="G659" s="404"/>
      <c r="H659" s="404"/>
      <c r="I659" s="404"/>
      <c r="J659" s="404"/>
      <c r="K659" s="404"/>
      <c r="L659" s="46"/>
      <c r="N659" s="71"/>
      <c r="O659" s="72" t="s">
        <v>57</v>
      </c>
      <c r="P659" s="72"/>
      <c r="Q659" s="72">
        <v>0</v>
      </c>
      <c r="R659" s="72">
        <v>0</v>
      </c>
      <c r="S659" s="63"/>
      <c r="T659" s="72" t="s">
        <v>57</v>
      </c>
      <c r="U659" s="105">
        <f>IF($J$1="October","",Y658)</f>
        <v>0</v>
      </c>
      <c r="V659" s="74"/>
      <c r="W659" s="105">
        <f t="shared" ref="W659:W660" si="135">IF(U659="","",U659+V659)</f>
        <v>0</v>
      </c>
      <c r="X659" s="74"/>
      <c r="Y659" s="105">
        <f t="shared" ref="Y659:Y660" si="136">IF(W659="","",W659-X659)</f>
        <v>0</v>
      </c>
      <c r="Z659" s="76"/>
    </row>
    <row r="660" spans="1:26" s="29" customFormat="1" ht="21" customHeight="1" x14ac:dyDescent="0.2">
      <c r="A660" s="30"/>
      <c r="B660" s="404"/>
      <c r="C660" s="404"/>
      <c r="D660" s="404"/>
      <c r="E660" s="404"/>
      <c r="F660" s="404"/>
      <c r="G660" s="404"/>
      <c r="H660" s="404"/>
      <c r="I660" s="404"/>
      <c r="J660" s="404"/>
      <c r="K660" s="404"/>
      <c r="L660" s="46"/>
      <c r="N660" s="71"/>
      <c r="O660" s="72" t="s">
        <v>58</v>
      </c>
      <c r="P660" s="72"/>
      <c r="Q660" s="72"/>
      <c r="R660" s="72">
        <v>0</v>
      </c>
      <c r="S660" s="63"/>
      <c r="T660" s="72" t="s">
        <v>58</v>
      </c>
      <c r="U660" s="105">
        <f>IF($J$1="November","",Y659)</f>
        <v>0</v>
      </c>
      <c r="V660" s="74"/>
      <c r="W660" s="105">
        <f t="shared" si="135"/>
        <v>0</v>
      </c>
      <c r="X660" s="74"/>
      <c r="Y660" s="105">
        <f t="shared" si="136"/>
        <v>0</v>
      </c>
      <c r="Z660" s="76"/>
    </row>
    <row r="661" spans="1:26" s="29" customFormat="1" ht="21" customHeight="1" thickBot="1" x14ac:dyDescent="0.25">
      <c r="A661" s="5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1"/>
      <c r="N661" s="77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9"/>
    </row>
    <row r="662" spans="1:26" ht="15.75" thickBot="1" x14ac:dyDescent="0.3"/>
    <row r="663" spans="1:26" s="29" customFormat="1" ht="21.4" customHeight="1" x14ac:dyDescent="0.2">
      <c r="A663" s="408" t="s">
        <v>40</v>
      </c>
      <c r="B663" s="409"/>
      <c r="C663" s="409"/>
      <c r="D663" s="409"/>
      <c r="E663" s="409"/>
      <c r="F663" s="409"/>
      <c r="G663" s="409"/>
      <c r="H663" s="409"/>
      <c r="I663" s="409"/>
      <c r="J663" s="409"/>
      <c r="K663" s="409"/>
      <c r="L663" s="410"/>
      <c r="M663" s="28"/>
      <c r="N663" s="64"/>
      <c r="O663" s="405" t="s">
        <v>42</v>
      </c>
      <c r="P663" s="406"/>
      <c r="Q663" s="406"/>
      <c r="R663" s="407"/>
      <c r="S663" s="65"/>
      <c r="T663" s="405" t="s">
        <v>43</v>
      </c>
      <c r="U663" s="406"/>
      <c r="V663" s="406"/>
      <c r="W663" s="406"/>
      <c r="X663" s="406"/>
      <c r="Y663" s="407"/>
      <c r="Z663" s="63"/>
    </row>
    <row r="664" spans="1:26" s="29" customFormat="1" ht="21.4" customHeight="1" x14ac:dyDescent="0.2">
      <c r="A664" s="30"/>
      <c r="C664" s="395" t="s">
        <v>83</v>
      </c>
      <c r="D664" s="395"/>
      <c r="E664" s="395"/>
      <c r="F664" s="395"/>
      <c r="G664" s="31" t="str">
        <f>$J$1</f>
        <v>May</v>
      </c>
      <c r="H664" s="394">
        <f>$K$1</f>
        <v>2023</v>
      </c>
      <c r="I664" s="394"/>
      <c r="K664" s="32"/>
      <c r="L664" s="33"/>
      <c r="M664" s="32"/>
      <c r="N664" s="67"/>
      <c r="O664" s="68" t="s">
        <v>53</v>
      </c>
      <c r="P664" s="68" t="s">
        <v>7</v>
      </c>
      <c r="Q664" s="68" t="s">
        <v>6</v>
      </c>
      <c r="R664" s="68" t="s">
        <v>54</v>
      </c>
      <c r="S664" s="69"/>
      <c r="T664" s="68" t="s">
        <v>53</v>
      </c>
      <c r="U664" s="68" t="s">
        <v>55</v>
      </c>
      <c r="V664" s="68" t="s">
        <v>20</v>
      </c>
      <c r="W664" s="68" t="s">
        <v>19</v>
      </c>
      <c r="X664" s="68" t="s">
        <v>21</v>
      </c>
      <c r="Y664" s="68" t="s">
        <v>59</v>
      </c>
      <c r="Z664" s="63"/>
    </row>
    <row r="665" spans="1:26" s="29" customFormat="1" ht="21.4" customHeight="1" x14ac:dyDescent="0.2">
      <c r="A665" s="30"/>
      <c r="D665" s="35"/>
      <c r="E665" s="35"/>
      <c r="F665" s="35"/>
      <c r="G665" s="35"/>
      <c r="H665" s="35"/>
      <c r="J665" s="36" t="s">
        <v>1</v>
      </c>
      <c r="K665" s="37"/>
      <c r="L665" s="38"/>
      <c r="N665" s="71"/>
      <c r="O665" s="72" t="s">
        <v>45</v>
      </c>
      <c r="P665" s="72"/>
      <c r="Q665" s="72"/>
      <c r="R665" s="72">
        <v>0</v>
      </c>
      <c r="S665" s="73"/>
      <c r="T665" s="72" t="s">
        <v>45</v>
      </c>
      <c r="U665" s="74"/>
      <c r="V665" s="74"/>
      <c r="W665" s="74">
        <f>V665+U665</f>
        <v>0</v>
      </c>
      <c r="X665" s="74"/>
      <c r="Y665" s="74">
        <f>W665-X665</f>
        <v>0</v>
      </c>
      <c r="Z665" s="63"/>
    </row>
    <row r="666" spans="1:26" s="29" customFormat="1" ht="21.4" customHeight="1" x14ac:dyDescent="0.2">
      <c r="A666" s="30"/>
      <c r="B666" s="29" t="s">
        <v>0</v>
      </c>
      <c r="C666" s="40" t="s">
        <v>226</v>
      </c>
      <c r="H666" s="41"/>
      <c r="I666" s="35"/>
      <c r="L666" s="42"/>
      <c r="M666" s="28"/>
      <c r="N666" s="75"/>
      <c r="O666" s="72" t="s">
        <v>71</v>
      </c>
      <c r="P666" s="72"/>
      <c r="Q666" s="72"/>
      <c r="R666" s="72">
        <v>0</v>
      </c>
      <c r="S666" s="63"/>
      <c r="T666" s="72" t="s">
        <v>71</v>
      </c>
      <c r="U666" s="105">
        <f>Y665</f>
        <v>0</v>
      </c>
      <c r="V666" s="74"/>
      <c r="W666" s="105">
        <f>IF(U666="","",U666+V666)</f>
        <v>0</v>
      </c>
      <c r="X666" s="74"/>
      <c r="Y666" s="105">
        <f>IF(W666="","",W666-X666)</f>
        <v>0</v>
      </c>
      <c r="Z666" s="63"/>
    </row>
    <row r="667" spans="1:26" s="29" customFormat="1" ht="21.4" customHeight="1" x14ac:dyDescent="0.2">
      <c r="A667" s="30"/>
      <c r="B667" s="44" t="s">
        <v>41</v>
      </c>
      <c r="C667" s="45"/>
      <c r="F667" s="411" t="s">
        <v>43</v>
      </c>
      <c r="G667" s="411"/>
      <c r="I667" s="411" t="s">
        <v>44</v>
      </c>
      <c r="J667" s="411"/>
      <c r="K667" s="411"/>
      <c r="L667" s="46"/>
      <c r="N667" s="71"/>
      <c r="O667" s="72" t="s">
        <v>46</v>
      </c>
      <c r="P667" s="72"/>
      <c r="Q667" s="72"/>
      <c r="R667" s="72">
        <v>0</v>
      </c>
      <c r="S667" s="63"/>
      <c r="T667" s="72" t="s">
        <v>46</v>
      </c>
      <c r="U667" s="105">
        <f>Y666</f>
        <v>0</v>
      </c>
      <c r="V667" s="74"/>
      <c r="W667" s="105">
        <f t="shared" ref="W667:W669" si="137">IF(U667="","",U667+V667)</f>
        <v>0</v>
      </c>
      <c r="X667" s="74"/>
      <c r="Y667" s="105">
        <f t="shared" ref="Y667:Y669" si="138">IF(W667="","",W667-X667)</f>
        <v>0</v>
      </c>
      <c r="Z667" s="63"/>
    </row>
    <row r="668" spans="1:26" s="29" customFormat="1" ht="21.4" customHeight="1" x14ac:dyDescent="0.2">
      <c r="A668" s="30"/>
      <c r="H668" s="47"/>
      <c r="L668" s="34"/>
      <c r="N668" s="71"/>
      <c r="O668" s="72" t="s">
        <v>47</v>
      </c>
      <c r="P668" s="72">
        <v>25</v>
      </c>
      <c r="Q668" s="72">
        <v>5</v>
      </c>
      <c r="R668" s="72">
        <v>0</v>
      </c>
      <c r="S668" s="63"/>
      <c r="T668" s="72" t="s">
        <v>47</v>
      </c>
      <c r="U668" s="105">
        <f>IF($J$1="March","",Y667)</f>
        <v>0</v>
      </c>
      <c r="V668" s="74"/>
      <c r="W668" s="105">
        <f t="shared" si="137"/>
        <v>0</v>
      </c>
      <c r="X668" s="74"/>
      <c r="Y668" s="105">
        <f t="shared" si="138"/>
        <v>0</v>
      </c>
      <c r="Z668" s="63"/>
    </row>
    <row r="669" spans="1:26" s="29" customFormat="1" ht="21.4" customHeight="1" x14ac:dyDescent="0.2">
      <c r="A669" s="30"/>
      <c r="B669" s="389" t="s">
        <v>42</v>
      </c>
      <c r="C669" s="390"/>
      <c r="F669" s="48" t="s">
        <v>64</v>
      </c>
      <c r="G669" s="43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7"/>
      <c r="I669" s="49"/>
      <c r="J669" s="50" t="s">
        <v>61</v>
      </c>
      <c r="K669" s="51">
        <f>K665/$K$2*I669</f>
        <v>0</v>
      </c>
      <c r="L669" s="52"/>
      <c r="N669" s="71"/>
      <c r="O669" s="72" t="s">
        <v>48</v>
      </c>
      <c r="P669" s="72">
        <v>28</v>
      </c>
      <c r="Q669" s="72">
        <v>3</v>
      </c>
      <c r="R669" s="72">
        <v>0</v>
      </c>
      <c r="S669" s="63"/>
      <c r="T669" s="72" t="s">
        <v>48</v>
      </c>
      <c r="U669" s="105">
        <f>Y668</f>
        <v>0</v>
      </c>
      <c r="V669" s="74"/>
      <c r="W669" s="105">
        <f t="shared" si="137"/>
        <v>0</v>
      </c>
      <c r="X669" s="74"/>
      <c r="Y669" s="105">
        <f t="shared" si="138"/>
        <v>0</v>
      </c>
      <c r="Z669" s="63"/>
    </row>
    <row r="670" spans="1:26" s="29" customFormat="1" ht="21.4" customHeight="1" x14ac:dyDescent="0.2">
      <c r="A670" s="30"/>
      <c r="B670" s="39"/>
      <c r="C670" s="39"/>
      <c r="F670" s="48" t="s">
        <v>20</v>
      </c>
      <c r="G670" s="43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7"/>
      <c r="I670" s="84"/>
      <c r="J670" s="50" t="s">
        <v>62</v>
      </c>
      <c r="K670" s="53">
        <f>K665/$K$2/8*I670</f>
        <v>0</v>
      </c>
      <c r="L670" s="54"/>
      <c r="N670" s="71"/>
      <c r="O670" s="72" t="s">
        <v>49</v>
      </c>
      <c r="P670" s="72"/>
      <c r="Q670" s="72"/>
      <c r="R670" s="72">
        <v>0</v>
      </c>
      <c r="S670" s="63"/>
      <c r="T670" s="72" t="s">
        <v>49</v>
      </c>
      <c r="U670" s="105"/>
      <c r="V670" s="74"/>
      <c r="W670" s="105"/>
      <c r="X670" s="74"/>
      <c r="Y670" s="105"/>
      <c r="Z670" s="63"/>
    </row>
    <row r="671" spans="1:26" s="29" customFormat="1" ht="21.4" customHeight="1" x14ac:dyDescent="0.2">
      <c r="A671" s="30"/>
      <c r="B671" s="48" t="s">
        <v>7</v>
      </c>
      <c r="C671" s="39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28</v>
      </c>
      <c r="F671" s="48" t="s">
        <v>65</v>
      </c>
      <c r="G671" s="43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7"/>
      <c r="I671" s="402" t="s">
        <v>69</v>
      </c>
      <c r="J671" s="403"/>
      <c r="K671" s="53">
        <f>K669+K670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5"/>
      <c r="V671" s="74"/>
      <c r="W671" s="105"/>
      <c r="X671" s="74"/>
      <c r="Y671" s="105"/>
      <c r="Z671" s="63"/>
    </row>
    <row r="672" spans="1:26" s="29" customFormat="1" ht="21.4" customHeight="1" x14ac:dyDescent="0.2">
      <c r="A672" s="30"/>
      <c r="B672" s="48" t="s">
        <v>6</v>
      </c>
      <c r="C672" s="39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3</v>
      </c>
      <c r="F672" s="48" t="s">
        <v>21</v>
      </c>
      <c r="G672" s="43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7"/>
      <c r="I672" s="402" t="s">
        <v>70</v>
      </c>
      <c r="J672" s="403"/>
      <c r="K672" s="43">
        <f>G672</f>
        <v>0</v>
      </c>
      <c r="L672" s="55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5"/>
      <c r="V672" s="74"/>
      <c r="W672" s="105"/>
      <c r="X672" s="74"/>
      <c r="Y672" s="105"/>
      <c r="Z672" s="63"/>
    </row>
    <row r="673" spans="1:26" s="29" customFormat="1" ht="21.4" customHeight="1" x14ac:dyDescent="0.2">
      <c r="A673" s="30"/>
      <c r="B673" s="56" t="s">
        <v>68</v>
      </c>
      <c r="C673" s="39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F673" s="48" t="s">
        <v>67</v>
      </c>
      <c r="G673" s="43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I673" s="391" t="s">
        <v>63</v>
      </c>
      <c r="J673" s="393"/>
      <c r="K673" s="57">
        <f>K671-K672</f>
        <v>0</v>
      </c>
      <c r="L673" s="58"/>
      <c r="N673" s="71"/>
      <c r="O673" s="72" t="s">
        <v>56</v>
      </c>
      <c r="P673" s="72"/>
      <c r="Q673" s="72"/>
      <c r="R673" s="72" t="str">
        <f t="shared" ref="R673:R675" si="139">IF(Q673="","",R672-Q673)</f>
        <v/>
      </c>
      <c r="S673" s="63"/>
      <c r="T673" s="72" t="s">
        <v>56</v>
      </c>
      <c r="U673" s="105"/>
      <c r="V673" s="74"/>
      <c r="W673" s="105"/>
      <c r="X673" s="74"/>
      <c r="Y673" s="105"/>
      <c r="Z673" s="63"/>
    </row>
    <row r="674" spans="1:26" s="29" customFormat="1" ht="21.4" customHeight="1" x14ac:dyDescent="0.2">
      <c r="A674" s="30"/>
      <c r="K674" s="107"/>
      <c r="L674" s="46"/>
      <c r="N674" s="71"/>
      <c r="O674" s="72" t="s">
        <v>52</v>
      </c>
      <c r="P674" s="72"/>
      <c r="Q674" s="72"/>
      <c r="R674" s="72" t="str">
        <f t="shared" si="139"/>
        <v/>
      </c>
      <c r="S674" s="63"/>
      <c r="T674" s="72" t="s">
        <v>52</v>
      </c>
      <c r="U674" s="105"/>
      <c r="V674" s="74"/>
      <c r="W674" s="105"/>
      <c r="X674" s="74"/>
      <c r="Y674" s="105"/>
      <c r="Z674" s="63"/>
    </row>
    <row r="675" spans="1:26" s="29" customFormat="1" ht="21.4" customHeight="1" x14ac:dyDescent="0.2">
      <c r="A675" s="30"/>
      <c r="B675" s="404" t="s">
        <v>85</v>
      </c>
      <c r="C675" s="404"/>
      <c r="D675" s="404"/>
      <c r="E675" s="404"/>
      <c r="F675" s="404"/>
      <c r="G675" s="404"/>
      <c r="H675" s="404"/>
      <c r="I675" s="404"/>
      <c r="J675" s="404"/>
      <c r="K675" s="404"/>
      <c r="L675" s="46"/>
      <c r="N675" s="71"/>
      <c r="O675" s="72" t="s">
        <v>57</v>
      </c>
      <c r="P675" s="72"/>
      <c r="Q675" s="72"/>
      <c r="R675" s="72" t="str">
        <f t="shared" si="139"/>
        <v/>
      </c>
      <c r="S675" s="63"/>
      <c r="T675" s="72" t="s">
        <v>57</v>
      </c>
      <c r="U675" s="105"/>
      <c r="V675" s="74"/>
      <c r="W675" s="105"/>
      <c r="X675" s="74"/>
      <c r="Y675" s="105"/>
      <c r="Z675" s="63"/>
    </row>
    <row r="676" spans="1:26" s="29" customFormat="1" ht="21.4" customHeight="1" x14ac:dyDescent="0.2">
      <c r="A676" s="30"/>
      <c r="B676" s="404"/>
      <c r="C676" s="404"/>
      <c r="D676" s="404"/>
      <c r="E676" s="404"/>
      <c r="F676" s="404"/>
      <c r="G676" s="404"/>
      <c r="H676" s="404"/>
      <c r="I676" s="404"/>
      <c r="J676" s="404"/>
      <c r="K676" s="404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5"/>
      <c r="V676" s="74"/>
      <c r="W676" s="105"/>
      <c r="X676" s="74"/>
      <c r="Y676" s="105"/>
      <c r="Z676" s="63"/>
    </row>
    <row r="677" spans="1:26" s="29" customFormat="1" ht="21.4" customHeight="1" thickBot="1" x14ac:dyDescent="0.25">
      <c r="A677" s="5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1"/>
      <c r="N677" s="77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63"/>
    </row>
    <row r="678" spans="1:26" s="29" customFormat="1" ht="21" customHeight="1" thickBot="1" x14ac:dyDescent="0.25"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s="29" customFormat="1" ht="21.4" customHeight="1" x14ac:dyDescent="0.2">
      <c r="A679" s="408" t="s">
        <v>40</v>
      </c>
      <c r="B679" s="409"/>
      <c r="C679" s="409"/>
      <c r="D679" s="409"/>
      <c r="E679" s="409"/>
      <c r="F679" s="409"/>
      <c r="G679" s="409"/>
      <c r="H679" s="409"/>
      <c r="I679" s="409"/>
      <c r="J679" s="409"/>
      <c r="K679" s="409"/>
      <c r="L679" s="410"/>
      <c r="M679" s="28"/>
      <c r="N679" s="64"/>
      <c r="O679" s="405" t="s">
        <v>42</v>
      </c>
      <c r="P679" s="406"/>
      <c r="Q679" s="406"/>
      <c r="R679" s="407"/>
      <c r="S679" s="65"/>
      <c r="T679" s="405" t="s">
        <v>43</v>
      </c>
      <c r="U679" s="406"/>
      <c r="V679" s="406"/>
      <c r="W679" s="406"/>
      <c r="X679" s="406"/>
      <c r="Y679" s="407"/>
      <c r="Z679" s="63"/>
    </row>
    <row r="680" spans="1:26" s="29" customFormat="1" ht="21.4" customHeight="1" x14ac:dyDescent="0.2">
      <c r="A680" s="30"/>
      <c r="C680" s="395" t="s">
        <v>83</v>
      </c>
      <c r="D680" s="395"/>
      <c r="E680" s="395"/>
      <c r="F680" s="395"/>
      <c r="G680" s="31" t="str">
        <f>$J$1</f>
        <v>May</v>
      </c>
      <c r="H680" s="394">
        <f>$K$1</f>
        <v>2023</v>
      </c>
      <c r="I680" s="394"/>
      <c r="K680" s="32"/>
      <c r="L680" s="33"/>
      <c r="M680" s="32"/>
      <c r="N680" s="67"/>
      <c r="O680" s="68" t="s">
        <v>53</v>
      </c>
      <c r="P680" s="68" t="s">
        <v>7</v>
      </c>
      <c r="Q680" s="68" t="s">
        <v>6</v>
      </c>
      <c r="R680" s="68" t="s">
        <v>54</v>
      </c>
      <c r="S680" s="69"/>
      <c r="T680" s="68" t="s">
        <v>53</v>
      </c>
      <c r="U680" s="68" t="s">
        <v>55</v>
      </c>
      <c r="V680" s="68" t="s">
        <v>20</v>
      </c>
      <c r="W680" s="68" t="s">
        <v>19</v>
      </c>
      <c r="X680" s="68" t="s">
        <v>21</v>
      </c>
      <c r="Y680" s="68" t="s">
        <v>59</v>
      </c>
      <c r="Z680" s="63"/>
    </row>
    <row r="681" spans="1:26" s="29" customFormat="1" ht="21.4" customHeight="1" x14ac:dyDescent="0.2">
      <c r="A681" s="30"/>
      <c r="D681" s="35"/>
      <c r="E681" s="35"/>
      <c r="F681" s="35"/>
      <c r="G681" s="35"/>
      <c r="H681" s="35"/>
      <c r="J681" s="36" t="s">
        <v>1</v>
      </c>
      <c r="K681" s="37"/>
      <c r="L681" s="38"/>
      <c r="N681" s="71"/>
      <c r="O681" s="72" t="s">
        <v>45</v>
      </c>
      <c r="P681" s="72"/>
      <c r="Q681" s="72"/>
      <c r="R681" s="72">
        <v>15</v>
      </c>
      <c r="S681" s="73"/>
      <c r="T681" s="72" t="s">
        <v>45</v>
      </c>
      <c r="U681" s="74"/>
      <c r="V681" s="74"/>
      <c r="W681" s="74"/>
      <c r="X681" s="74"/>
      <c r="Y681" s="74"/>
      <c r="Z681" s="63"/>
    </row>
    <row r="682" spans="1:26" s="29" customFormat="1" ht="21.4" customHeight="1" x14ac:dyDescent="0.2">
      <c r="A682" s="30"/>
      <c r="B682" s="29" t="s">
        <v>0</v>
      </c>
      <c r="C682" s="40"/>
      <c r="H682" s="41"/>
      <c r="I682" s="35"/>
      <c r="L682" s="42"/>
      <c r="M682" s="28"/>
      <c r="N682" s="75"/>
      <c r="O682" s="72" t="s">
        <v>71</v>
      </c>
      <c r="P682" s="72"/>
      <c r="Q682" s="72"/>
      <c r="R682" s="72">
        <f>R681-Q682</f>
        <v>15</v>
      </c>
      <c r="S682" s="63"/>
      <c r="T682" s="72" t="s">
        <v>71</v>
      </c>
      <c r="U682" s="105"/>
      <c r="V682" s="74"/>
      <c r="W682" s="105" t="str">
        <f>IF(U682="","",U682+V682)</f>
        <v/>
      </c>
      <c r="X682" s="74"/>
      <c r="Y682" s="105" t="str">
        <f>IF(W682="","",W682-X682)</f>
        <v/>
      </c>
      <c r="Z682" s="63"/>
    </row>
    <row r="683" spans="1:26" s="29" customFormat="1" ht="21.4" customHeight="1" x14ac:dyDescent="0.2">
      <c r="A683" s="30"/>
      <c r="B683" s="44" t="s">
        <v>41</v>
      </c>
      <c r="C683" s="45"/>
      <c r="F683" s="411" t="s">
        <v>43</v>
      </c>
      <c r="G683" s="411"/>
      <c r="I683" s="411" t="s">
        <v>44</v>
      </c>
      <c r="J683" s="411"/>
      <c r="K683" s="411"/>
      <c r="L683" s="46"/>
      <c r="N683" s="71"/>
      <c r="O683" s="72" t="s">
        <v>46</v>
      </c>
      <c r="P683" s="72"/>
      <c r="Q683" s="72"/>
      <c r="R683" s="72">
        <v>0</v>
      </c>
      <c r="S683" s="63"/>
      <c r="T683" s="72" t="s">
        <v>46</v>
      </c>
      <c r="U683" s="105"/>
      <c r="V683" s="74"/>
      <c r="W683" s="105" t="str">
        <f t="shared" ref="W683:W692" si="140">IF(U683="","",U683+V683)</f>
        <v/>
      </c>
      <c r="X683" s="74"/>
      <c r="Y683" s="105" t="str">
        <f t="shared" ref="Y683:Y692" si="141">IF(W683="","",W683-X683)</f>
        <v/>
      </c>
      <c r="Z683" s="63"/>
    </row>
    <row r="684" spans="1:26" s="29" customFormat="1" ht="21.4" customHeight="1" x14ac:dyDescent="0.2">
      <c r="A684" s="30"/>
      <c r="H684" s="47"/>
      <c r="L684" s="34"/>
      <c r="N684" s="71"/>
      <c r="O684" s="72" t="s">
        <v>47</v>
      </c>
      <c r="P684" s="72"/>
      <c r="Q684" s="72"/>
      <c r="R684" s="72" t="str">
        <f t="shared" ref="R684:R692" si="142">IF(Q684="","",R683-Q684)</f>
        <v/>
      </c>
      <c r="S684" s="63"/>
      <c r="T684" s="72" t="s">
        <v>47</v>
      </c>
      <c r="U684" s="105"/>
      <c r="V684" s="74"/>
      <c r="W684" s="105" t="str">
        <f t="shared" si="140"/>
        <v/>
      </c>
      <c r="X684" s="74"/>
      <c r="Y684" s="105" t="str">
        <f t="shared" si="141"/>
        <v/>
      </c>
      <c r="Z684" s="63"/>
    </row>
    <row r="685" spans="1:26" s="29" customFormat="1" ht="21.4" customHeight="1" x14ac:dyDescent="0.2">
      <c r="A685" s="30"/>
      <c r="B685" s="389" t="s">
        <v>42</v>
      </c>
      <c r="C685" s="390"/>
      <c r="F685" s="48" t="s">
        <v>64</v>
      </c>
      <c r="G685" s="43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0</v>
      </c>
      <c r="H685" s="47"/>
      <c r="I685" s="49">
        <f>IF(C689&gt;0,$K$2,C687)</f>
        <v>31</v>
      </c>
      <c r="J685" s="50" t="s">
        <v>61</v>
      </c>
      <c r="K685" s="51">
        <f>K681/$K$2*I685</f>
        <v>0</v>
      </c>
      <c r="L685" s="52"/>
      <c r="N685" s="71"/>
      <c r="O685" s="72" t="s">
        <v>48</v>
      </c>
      <c r="P685" s="72"/>
      <c r="Q685" s="72"/>
      <c r="R685" s="72" t="str">
        <f t="shared" si="142"/>
        <v/>
      </c>
      <c r="S685" s="63"/>
      <c r="T685" s="72" t="s">
        <v>48</v>
      </c>
      <c r="U685" s="105"/>
      <c r="V685" s="74"/>
      <c r="W685" s="105" t="str">
        <f t="shared" si="140"/>
        <v/>
      </c>
      <c r="X685" s="74"/>
      <c r="Y685" s="105" t="str">
        <f t="shared" si="141"/>
        <v/>
      </c>
      <c r="Z685" s="63"/>
    </row>
    <row r="686" spans="1:26" s="29" customFormat="1" ht="21.4" customHeight="1" x14ac:dyDescent="0.2">
      <c r="A686" s="30"/>
      <c r="B686" s="39"/>
      <c r="C686" s="39"/>
      <c r="F686" s="48" t="s">
        <v>20</v>
      </c>
      <c r="G686" s="43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7"/>
      <c r="I686" s="84"/>
      <c r="J686" s="50" t="s">
        <v>62</v>
      </c>
      <c r="K686" s="53">
        <f>K681/$K$2/8*I686</f>
        <v>0</v>
      </c>
      <c r="L686" s="54"/>
      <c r="N686" s="71"/>
      <c r="O686" s="72" t="s">
        <v>49</v>
      </c>
      <c r="P686" s="72"/>
      <c r="Q686" s="72"/>
      <c r="R686" s="72" t="str">
        <f t="shared" si="142"/>
        <v/>
      </c>
      <c r="S686" s="63"/>
      <c r="T686" s="72" t="s">
        <v>49</v>
      </c>
      <c r="U686" s="105"/>
      <c r="V686" s="74"/>
      <c r="W686" s="105" t="str">
        <f t="shared" si="140"/>
        <v/>
      </c>
      <c r="X686" s="74"/>
      <c r="Y686" s="105" t="str">
        <f t="shared" si="141"/>
        <v/>
      </c>
      <c r="Z686" s="63"/>
    </row>
    <row r="687" spans="1:26" s="29" customFormat="1" ht="21.4" customHeight="1" x14ac:dyDescent="0.2">
      <c r="A687" s="30"/>
      <c r="B687" s="48" t="s">
        <v>7</v>
      </c>
      <c r="C687" s="39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0</v>
      </c>
      <c r="F687" s="48" t="s">
        <v>65</v>
      </c>
      <c r="G687" s="43" t="str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/>
      </c>
      <c r="H687" s="47"/>
      <c r="I687" s="402" t="s">
        <v>69</v>
      </c>
      <c r="J687" s="403"/>
      <c r="K687" s="53">
        <f>K685+K686</f>
        <v>0</v>
      </c>
      <c r="L687" s="54"/>
      <c r="N687" s="71"/>
      <c r="O687" s="72" t="s">
        <v>50</v>
      </c>
      <c r="P687" s="72"/>
      <c r="Q687" s="72"/>
      <c r="R687" s="72" t="str">
        <f t="shared" si="142"/>
        <v/>
      </c>
      <c r="S687" s="63"/>
      <c r="T687" s="72" t="s">
        <v>50</v>
      </c>
      <c r="U687" s="105"/>
      <c r="V687" s="74"/>
      <c r="W687" s="105" t="str">
        <f t="shared" si="140"/>
        <v/>
      </c>
      <c r="X687" s="74"/>
      <c r="Y687" s="105" t="str">
        <f t="shared" si="141"/>
        <v/>
      </c>
      <c r="Z687" s="63"/>
    </row>
    <row r="688" spans="1:26" s="29" customFormat="1" ht="21.4" customHeight="1" x14ac:dyDescent="0.2">
      <c r="A688" s="30"/>
      <c r="B688" s="48" t="s">
        <v>6</v>
      </c>
      <c r="C688" s="39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0</v>
      </c>
      <c r="F688" s="48" t="s">
        <v>21</v>
      </c>
      <c r="G688" s="43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0</v>
      </c>
      <c r="H688" s="47"/>
      <c r="I688" s="402" t="s">
        <v>70</v>
      </c>
      <c r="J688" s="403"/>
      <c r="K688" s="43">
        <f>G688</f>
        <v>0</v>
      </c>
      <c r="L688" s="55"/>
      <c r="N688" s="71"/>
      <c r="O688" s="72" t="s">
        <v>51</v>
      </c>
      <c r="P688" s="72"/>
      <c r="Q688" s="72"/>
      <c r="R688" s="72" t="str">
        <f t="shared" si="142"/>
        <v/>
      </c>
      <c r="S688" s="63"/>
      <c r="T688" s="72" t="s">
        <v>51</v>
      </c>
      <c r="U688" s="105"/>
      <c r="V688" s="74"/>
      <c r="W688" s="105" t="str">
        <f t="shared" si="140"/>
        <v/>
      </c>
      <c r="X688" s="74"/>
      <c r="Y688" s="105" t="str">
        <f t="shared" si="141"/>
        <v/>
      </c>
      <c r="Z688" s="63"/>
    </row>
    <row r="689" spans="1:26" s="29" customFormat="1" ht="21.4" customHeight="1" x14ac:dyDescent="0.2">
      <c r="A689" s="30"/>
      <c r="B689" s="56" t="s">
        <v>68</v>
      </c>
      <c r="C689" s="39" t="str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/>
      </c>
      <c r="F689" s="48" t="s">
        <v>67</v>
      </c>
      <c r="G689" s="43" t="str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/>
      </c>
      <c r="I689" s="391" t="s">
        <v>63</v>
      </c>
      <c r="J689" s="393"/>
      <c r="K689" s="57">
        <f>K687-K688</f>
        <v>0</v>
      </c>
      <c r="L689" s="58"/>
      <c r="N689" s="71"/>
      <c r="O689" s="72" t="s">
        <v>56</v>
      </c>
      <c r="P689" s="72"/>
      <c r="Q689" s="72"/>
      <c r="R689" s="72" t="str">
        <f t="shared" si="142"/>
        <v/>
      </c>
      <c r="S689" s="63"/>
      <c r="T689" s="72" t="s">
        <v>56</v>
      </c>
      <c r="U689" s="105"/>
      <c r="V689" s="74"/>
      <c r="W689" s="105" t="str">
        <f t="shared" si="140"/>
        <v/>
      </c>
      <c r="X689" s="74"/>
      <c r="Y689" s="105" t="str">
        <f t="shared" si="141"/>
        <v/>
      </c>
      <c r="Z689" s="63"/>
    </row>
    <row r="690" spans="1:26" s="29" customFormat="1" ht="21.4" customHeight="1" x14ac:dyDescent="0.2">
      <c r="A690" s="30"/>
      <c r="J690" s="107"/>
      <c r="K690" s="107"/>
      <c r="L690" s="46"/>
      <c r="N690" s="71"/>
      <c r="O690" s="72" t="s">
        <v>52</v>
      </c>
      <c r="P690" s="72"/>
      <c r="Q690" s="72"/>
      <c r="R690" s="72" t="str">
        <f t="shared" si="142"/>
        <v/>
      </c>
      <c r="S690" s="63"/>
      <c r="T690" s="72" t="s">
        <v>52</v>
      </c>
      <c r="U690" s="105"/>
      <c r="V690" s="74"/>
      <c r="W690" s="105" t="str">
        <f t="shared" si="140"/>
        <v/>
      </c>
      <c r="X690" s="74"/>
      <c r="Y690" s="105" t="str">
        <f t="shared" si="141"/>
        <v/>
      </c>
      <c r="Z690" s="63"/>
    </row>
    <row r="691" spans="1:26" s="29" customFormat="1" ht="21.4" customHeight="1" x14ac:dyDescent="0.2">
      <c r="A691" s="30"/>
      <c r="B691" s="404" t="s">
        <v>85</v>
      </c>
      <c r="C691" s="404"/>
      <c r="D691" s="404"/>
      <c r="E691" s="404"/>
      <c r="F691" s="404"/>
      <c r="G691" s="404"/>
      <c r="H691" s="404"/>
      <c r="I691" s="404"/>
      <c r="J691" s="404"/>
      <c r="K691" s="404"/>
      <c r="L691" s="46"/>
      <c r="N691" s="71"/>
      <c r="O691" s="72" t="s">
        <v>57</v>
      </c>
      <c r="P691" s="72"/>
      <c r="Q691" s="72"/>
      <c r="R691" s="72" t="str">
        <f t="shared" si="142"/>
        <v/>
      </c>
      <c r="S691" s="63"/>
      <c r="T691" s="72" t="s">
        <v>57</v>
      </c>
      <c r="U691" s="105"/>
      <c r="V691" s="74"/>
      <c r="W691" s="105" t="str">
        <f t="shared" si="140"/>
        <v/>
      </c>
      <c r="X691" s="74"/>
      <c r="Y691" s="105" t="str">
        <f t="shared" si="141"/>
        <v/>
      </c>
      <c r="Z691" s="63"/>
    </row>
    <row r="692" spans="1:26" s="29" customFormat="1" ht="21.4" customHeight="1" x14ac:dyDescent="0.2">
      <c r="A692" s="30"/>
      <c r="B692" s="404"/>
      <c r="C692" s="404"/>
      <c r="D692" s="404"/>
      <c r="E692" s="404"/>
      <c r="F692" s="404"/>
      <c r="G692" s="404"/>
      <c r="H692" s="404"/>
      <c r="I692" s="404"/>
      <c r="J692" s="404"/>
      <c r="K692" s="404"/>
      <c r="L692" s="46"/>
      <c r="N692" s="71"/>
      <c r="O692" s="72" t="s">
        <v>58</v>
      </c>
      <c r="P692" s="72"/>
      <c r="Q692" s="72"/>
      <c r="R692" s="72" t="str">
        <f t="shared" si="142"/>
        <v/>
      </c>
      <c r="S692" s="63"/>
      <c r="T692" s="72" t="s">
        <v>58</v>
      </c>
      <c r="U692" s="105"/>
      <c r="V692" s="74"/>
      <c r="W692" s="105" t="str">
        <f t="shared" si="140"/>
        <v/>
      </c>
      <c r="X692" s="74"/>
      <c r="Y692" s="105" t="str">
        <f t="shared" si="141"/>
        <v/>
      </c>
      <c r="Z692" s="63"/>
    </row>
    <row r="693" spans="1:26" s="29" customFormat="1" ht="21.4" customHeight="1" thickBot="1" x14ac:dyDescent="0.25">
      <c r="A693" s="5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1"/>
      <c r="N693" s="77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63"/>
    </row>
    <row r="694" spans="1:26" s="29" customFormat="1" ht="21.4" customHeight="1" thickBot="1" x14ac:dyDescent="0.25"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s="29" customFormat="1" ht="21.4" customHeight="1" x14ac:dyDescent="0.2">
      <c r="A695" s="452" t="s">
        <v>40</v>
      </c>
      <c r="B695" s="453"/>
      <c r="C695" s="453"/>
      <c r="D695" s="453"/>
      <c r="E695" s="453"/>
      <c r="F695" s="453"/>
      <c r="G695" s="453"/>
      <c r="H695" s="453"/>
      <c r="I695" s="453"/>
      <c r="J695" s="453"/>
      <c r="K695" s="453"/>
      <c r="L695" s="454"/>
      <c r="M695" s="28"/>
      <c r="N695" s="64"/>
      <c r="O695" s="405" t="s">
        <v>42</v>
      </c>
      <c r="P695" s="406"/>
      <c r="Q695" s="406"/>
      <c r="R695" s="407"/>
      <c r="S695" s="65"/>
      <c r="T695" s="405" t="s">
        <v>43</v>
      </c>
      <c r="U695" s="406"/>
      <c r="V695" s="406"/>
      <c r="W695" s="406"/>
      <c r="X695" s="406"/>
      <c r="Y695" s="407"/>
      <c r="Z695" s="63"/>
    </row>
    <row r="696" spans="1:26" s="29" customFormat="1" ht="21.4" customHeight="1" x14ac:dyDescent="0.2">
      <c r="A696" s="30"/>
      <c r="C696" s="395" t="s">
        <v>83</v>
      </c>
      <c r="D696" s="395"/>
      <c r="E696" s="395"/>
      <c r="F696" s="395"/>
      <c r="G696" s="31" t="str">
        <f>$J$1</f>
        <v>May</v>
      </c>
      <c r="H696" s="394">
        <f>$K$1</f>
        <v>2023</v>
      </c>
      <c r="I696" s="394"/>
      <c r="K696" s="32"/>
      <c r="L696" s="33"/>
      <c r="M696" s="32"/>
      <c r="N696" s="67"/>
      <c r="O696" s="68" t="s">
        <v>53</v>
      </c>
      <c r="P696" s="68" t="s">
        <v>7</v>
      </c>
      <c r="Q696" s="68" t="s">
        <v>6</v>
      </c>
      <c r="R696" s="68" t="s">
        <v>54</v>
      </c>
      <c r="S696" s="69"/>
      <c r="T696" s="68" t="s">
        <v>53</v>
      </c>
      <c r="U696" s="68" t="s">
        <v>55</v>
      </c>
      <c r="V696" s="68" t="s">
        <v>20</v>
      </c>
      <c r="W696" s="68" t="s">
        <v>19</v>
      </c>
      <c r="X696" s="68" t="s">
        <v>21</v>
      </c>
      <c r="Y696" s="68" t="s">
        <v>59</v>
      </c>
      <c r="Z696" s="63"/>
    </row>
    <row r="697" spans="1:26" s="29" customFormat="1" ht="21.4" customHeight="1" x14ac:dyDescent="0.2">
      <c r="A697" s="30"/>
      <c r="D697" s="35"/>
      <c r="E697" s="35"/>
      <c r="F697" s="35"/>
      <c r="G697" s="35"/>
      <c r="H697" s="35"/>
      <c r="J697" s="36" t="s">
        <v>1</v>
      </c>
      <c r="K697" s="37"/>
      <c r="L697" s="38"/>
      <c r="N697" s="71"/>
      <c r="O697" s="72" t="s">
        <v>45</v>
      </c>
      <c r="P697" s="72"/>
      <c r="Q697" s="72"/>
      <c r="R697" s="72">
        <v>15</v>
      </c>
      <c r="S697" s="73"/>
      <c r="T697" s="72" t="s">
        <v>45</v>
      </c>
      <c r="U697" s="74"/>
      <c r="V697" s="74"/>
      <c r="W697" s="74"/>
      <c r="X697" s="74"/>
      <c r="Y697" s="74"/>
      <c r="Z697" s="63"/>
    </row>
    <row r="698" spans="1:26" s="29" customFormat="1" ht="21.4" customHeight="1" x14ac:dyDescent="0.2">
      <c r="A698" s="30"/>
      <c r="B698" s="29" t="s">
        <v>0</v>
      </c>
      <c r="C698" s="40"/>
      <c r="H698" s="41"/>
      <c r="I698" s="35"/>
      <c r="L698" s="42"/>
      <c r="M698" s="28"/>
      <c r="N698" s="75"/>
      <c r="O698" s="72" t="s">
        <v>71</v>
      </c>
      <c r="P698" s="72"/>
      <c r="Q698" s="72"/>
      <c r="R698" s="72">
        <v>0</v>
      </c>
      <c r="S698" s="63"/>
      <c r="T698" s="72" t="s">
        <v>71</v>
      </c>
      <c r="U698" s="105"/>
      <c r="V698" s="74"/>
      <c r="W698" s="105"/>
      <c r="X698" s="74"/>
      <c r="Y698" s="105"/>
      <c r="Z698" s="63"/>
    </row>
    <row r="699" spans="1:26" s="29" customFormat="1" ht="21.4" customHeight="1" x14ac:dyDescent="0.2">
      <c r="A699" s="30"/>
      <c r="B699" s="44" t="s">
        <v>41</v>
      </c>
      <c r="C699" s="45"/>
      <c r="F699" s="411" t="s">
        <v>43</v>
      </c>
      <c r="G699" s="411"/>
      <c r="I699" s="411" t="s">
        <v>44</v>
      </c>
      <c r="J699" s="411"/>
      <c r="K699" s="411"/>
      <c r="L699" s="46"/>
      <c r="N699" s="71"/>
      <c r="O699" s="72" t="s">
        <v>46</v>
      </c>
      <c r="P699" s="72"/>
      <c r="Q699" s="72"/>
      <c r="R699" s="72">
        <v>0</v>
      </c>
      <c r="S699" s="63"/>
      <c r="T699" s="72" t="s">
        <v>46</v>
      </c>
      <c r="U699" s="105"/>
      <c r="V699" s="74"/>
      <c r="W699" s="105"/>
      <c r="X699" s="74"/>
      <c r="Y699" s="105"/>
      <c r="Z699" s="63"/>
    </row>
    <row r="700" spans="1:26" s="29" customFormat="1" ht="21.4" customHeight="1" x14ac:dyDescent="0.2">
      <c r="A700" s="30"/>
      <c r="H700" s="47"/>
      <c r="L700" s="34"/>
      <c r="N700" s="71"/>
      <c r="O700" s="72" t="s">
        <v>47</v>
      </c>
      <c r="P700" s="72"/>
      <c r="Q700" s="72"/>
      <c r="R700" s="72">
        <v>0</v>
      </c>
      <c r="S700" s="63"/>
      <c r="T700" s="72" t="s">
        <v>47</v>
      </c>
      <c r="U700" s="105"/>
      <c r="V700" s="74"/>
      <c r="W700" s="105"/>
      <c r="X700" s="74"/>
      <c r="Y700" s="105"/>
      <c r="Z700" s="63"/>
    </row>
    <row r="701" spans="1:26" s="29" customFormat="1" ht="21.4" customHeight="1" x14ac:dyDescent="0.2">
      <c r="A701" s="30"/>
      <c r="B701" s="389" t="s">
        <v>42</v>
      </c>
      <c r="C701" s="390"/>
      <c r="F701" s="48" t="s">
        <v>64</v>
      </c>
      <c r="G701" s="43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47"/>
      <c r="I701" s="49"/>
      <c r="J701" s="50" t="s">
        <v>61</v>
      </c>
      <c r="K701" s="51">
        <f>K697/$K$2*I701</f>
        <v>0</v>
      </c>
      <c r="L701" s="52"/>
      <c r="N701" s="71"/>
      <c r="O701" s="72" t="s">
        <v>48</v>
      </c>
      <c r="P701" s="72"/>
      <c r="Q701" s="72"/>
      <c r="R701" s="72">
        <v>0</v>
      </c>
      <c r="S701" s="63"/>
      <c r="T701" s="72" t="s">
        <v>48</v>
      </c>
      <c r="U701" s="105"/>
      <c r="V701" s="74"/>
      <c r="W701" s="105"/>
      <c r="X701" s="74"/>
      <c r="Y701" s="105"/>
      <c r="Z701" s="63"/>
    </row>
    <row r="702" spans="1:26" s="29" customFormat="1" ht="21.4" customHeight="1" x14ac:dyDescent="0.2">
      <c r="A702" s="30"/>
      <c r="B702" s="39"/>
      <c r="C702" s="39"/>
      <c r="F702" s="48" t="s">
        <v>20</v>
      </c>
      <c r="G702" s="43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7"/>
      <c r="I702" s="84"/>
      <c r="J702" s="50" t="s">
        <v>62</v>
      </c>
      <c r="K702" s="53">
        <f>K697/$K$2/8*I702</f>
        <v>0</v>
      </c>
      <c r="L702" s="54"/>
      <c r="N702" s="71"/>
      <c r="O702" s="72" t="s">
        <v>49</v>
      </c>
      <c r="P702" s="72"/>
      <c r="Q702" s="72"/>
      <c r="R702" s="72">
        <v>0</v>
      </c>
      <c r="S702" s="63"/>
      <c r="T702" s="72" t="s">
        <v>49</v>
      </c>
      <c r="U702" s="105"/>
      <c r="V702" s="74"/>
      <c r="W702" s="105"/>
      <c r="X702" s="74"/>
      <c r="Y702" s="105"/>
      <c r="Z702" s="63"/>
    </row>
    <row r="703" spans="1:26" s="29" customFormat="1" ht="21.4" customHeight="1" x14ac:dyDescent="0.2">
      <c r="A703" s="30"/>
      <c r="B703" s="48" t="s">
        <v>7</v>
      </c>
      <c r="C703" s="39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F703" s="48" t="s">
        <v>65</v>
      </c>
      <c r="G703" s="43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47"/>
      <c r="I703" s="402" t="s">
        <v>69</v>
      </c>
      <c r="J703" s="403"/>
      <c r="K703" s="53">
        <f>K701+K702</f>
        <v>0</v>
      </c>
      <c r="L703" s="54"/>
      <c r="N703" s="71"/>
      <c r="O703" s="72" t="s">
        <v>50</v>
      </c>
      <c r="P703" s="72"/>
      <c r="Q703" s="72"/>
      <c r="R703" s="72">
        <v>0</v>
      </c>
      <c r="S703" s="63"/>
      <c r="T703" s="72" t="s">
        <v>50</v>
      </c>
      <c r="U703" s="105"/>
      <c r="V703" s="74"/>
      <c r="W703" s="105"/>
      <c r="X703" s="74"/>
      <c r="Y703" s="105"/>
      <c r="Z703" s="63"/>
    </row>
    <row r="704" spans="1:26" s="29" customFormat="1" ht="21.4" customHeight="1" x14ac:dyDescent="0.2">
      <c r="A704" s="30"/>
      <c r="B704" s="48" t="s">
        <v>6</v>
      </c>
      <c r="C704" s="39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F704" s="48" t="s">
        <v>21</v>
      </c>
      <c r="G704" s="43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47"/>
      <c r="I704" s="402" t="s">
        <v>70</v>
      </c>
      <c r="J704" s="403"/>
      <c r="K704" s="43">
        <f>G704</f>
        <v>0</v>
      </c>
      <c r="L704" s="55"/>
      <c r="N704" s="71"/>
      <c r="O704" s="72" t="s">
        <v>51</v>
      </c>
      <c r="P704" s="72"/>
      <c r="Q704" s="72"/>
      <c r="R704" s="72">
        <v>0</v>
      </c>
      <c r="S704" s="63"/>
      <c r="T704" s="72" t="s">
        <v>51</v>
      </c>
      <c r="U704" s="105"/>
      <c r="V704" s="74"/>
      <c r="W704" s="105"/>
      <c r="X704" s="74"/>
      <c r="Y704" s="105"/>
      <c r="Z704" s="63"/>
    </row>
    <row r="705" spans="1:26" s="29" customFormat="1" ht="21.4" customHeight="1" x14ac:dyDescent="0.2">
      <c r="A705" s="30"/>
      <c r="B705" s="56" t="s">
        <v>68</v>
      </c>
      <c r="C705" s="39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F705" s="48" t="s">
        <v>67</v>
      </c>
      <c r="G705" s="43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I705" s="391" t="s">
        <v>63</v>
      </c>
      <c r="J705" s="393"/>
      <c r="K705" s="57">
        <f>K703-K704</f>
        <v>0</v>
      </c>
      <c r="L705" s="58"/>
      <c r="N705" s="71"/>
      <c r="O705" s="72" t="s">
        <v>56</v>
      </c>
      <c r="P705" s="72"/>
      <c r="Q705" s="72"/>
      <c r="R705" s="72">
        <v>0</v>
      </c>
      <c r="S705" s="63"/>
      <c r="T705" s="72" t="s">
        <v>56</v>
      </c>
      <c r="U705" s="105"/>
      <c r="V705" s="74"/>
      <c r="W705" s="105"/>
      <c r="X705" s="74"/>
      <c r="Y705" s="105"/>
      <c r="Z705" s="63"/>
    </row>
    <row r="706" spans="1:26" s="29" customFormat="1" ht="21.4" customHeight="1" x14ac:dyDescent="0.2">
      <c r="A706" s="30"/>
      <c r="L706" s="46"/>
      <c r="N706" s="71"/>
      <c r="O706" s="72" t="s">
        <v>52</v>
      </c>
      <c r="P706" s="72"/>
      <c r="Q706" s="72"/>
      <c r="R706" s="72">
        <v>0</v>
      </c>
      <c r="S706" s="63"/>
      <c r="T706" s="72" t="s">
        <v>52</v>
      </c>
      <c r="U706" s="105"/>
      <c r="V706" s="74"/>
      <c r="W706" s="105"/>
      <c r="X706" s="74"/>
      <c r="Y706" s="105"/>
      <c r="Z706" s="63"/>
    </row>
    <row r="707" spans="1:26" s="29" customFormat="1" ht="21.4" customHeight="1" x14ac:dyDescent="0.2">
      <c r="A707" s="30"/>
      <c r="B707" s="404" t="s">
        <v>85</v>
      </c>
      <c r="C707" s="404"/>
      <c r="D707" s="404"/>
      <c r="E707" s="404"/>
      <c r="F707" s="404"/>
      <c r="G707" s="404"/>
      <c r="H707" s="404"/>
      <c r="I707" s="404"/>
      <c r="J707" s="404"/>
      <c r="K707" s="404"/>
      <c r="L707" s="46"/>
      <c r="N707" s="71"/>
      <c r="O707" s="72" t="s">
        <v>57</v>
      </c>
      <c r="P707" s="72"/>
      <c r="Q707" s="72"/>
      <c r="R707" s="72">
        <v>0</v>
      </c>
      <c r="S707" s="63"/>
      <c r="T707" s="72" t="s">
        <v>57</v>
      </c>
      <c r="U707" s="105"/>
      <c r="V707" s="74"/>
      <c r="W707" s="105"/>
      <c r="X707" s="74"/>
      <c r="Y707" s="105"/>
      <c r="Z707" s="63"/>
    </row>
    <row r="708" spans="1:26" s="29" customFormat="1" ht="21.4" customHeight="1" x14ac:dyDescent="0.2">
      <c r="A708" s="30"/>
      <c r="B708" s="404"/>
      <c r="C708" s="404"/>
      <c r="D708" s="404"/>
      <c r="E708" s="404"/>
      <c r="F708" s="404"/>
      <c r="G708" s="404"/>
      <c r="H708" s="404"/>
      <c r="I708" s="404"/>
      <c r="J708" s="404"/>
      <c r="K708" s="404"/>
      <c r="L708" s="46"/>
      <c r="N708" s="71"/>
      <c r="O708" s="72" t="s">
        <v>58</v>
      </c>
      <c r="P708" s="72"/>
      <c r="Q708" s="72"/>
      <c r="R708" s="72" t="str">
        <f t="shared" ref="R708" si="143">IF(Q708="","",R707-Q708)</f>
        <v/>
      </c>
      <c r="S708" s="63"/>
      <c r="T708" s="72" t="s">
        <v>58</v>
      </c>
      <c r="U708" s="105"/>
      <c r="V708" s="74"/>
      <c r="W708" s="105"/>
      <c r="X708" s="74"/>
      <c r="Y708" s="105"/>
      <c r="Z708" s="63"/>
    </row>
    <row r="709" spans="1:26" s="29" customFormat="1" ht="21.4" customHeight="1" thickBot="1" x14ac:dyDescent="0.25">
      <c r="A709" s="5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1"/>
      <c r="N709" s="77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63"/>
    </row>
    <row r="710" spans="1:26" s="29" customFormat="1" ht="21" customHeight="1" x14ac:dyDescent="0.2">
      <c r="A710" s="412" t="s">
        <v>40</v>
      </c>
      <c r="B710" s="413"/>
      <c r="C710" s="413"/>
      <c r="D710" s="413"/>
      <c r="E710" s="413"/>
      <c r="F710" s="413"/>
      <c r="G710" s="413"/>
      <c r="H710" s="413"/>
      <c r="I710" s="413"/>
      <c r="J710" s="413"/>
      <c r="K710" s="413"/>
      <c r="L710" s="414"/>
      <c r="M710" s="28"/>
      <c r="N710" s="64"/>
      <c r="O710" s="405" t="s">
        <v>42</v>
      </c>
      <c r="P710" s="406"/>
      <c r="Q710" s="406"/>
      <c r="R710" s="407"/>
      <c r="S710" s="65"/>
      <c r="T710" s="405" t="s">
        <v>43</v>
      </c>
      <c r="U710" s="406"/>
      <c r="V710" s="406"/>
      <c r="W710" s="406"/>
      <c r="X710" s="406"/>
      <c r="Y710" s="407"/>
      <c r="Z710" s="66"/>
    </row>
    <row r="711" spans="1:26" s="29" customFormat="1" ht="21" customHeight="1" x14ac:dyDescent="0.2">
      <c r="A711" s="30"/>
      <c r="C711" s="395" t="s">
        <v>83</v>
      </c>
      <c r="D711" s="395"/>
      <c r="E711" s="395"/>
      <c r="F711" s="395"/>
      <c r="G711" s="31" t="str">
        <f>$J$1</f>
        <v>May</v>
      </c>
      <c r="H711" s="394">
        <f>$K$1</f>
        <v>2023</v>
      </c>
      <c r="I711" s="394"/>
      <c r="K711" s="32"/>
      <c r="L711" s="33"/>
      <c r="M711" s="32"/>
      <c r="N711" s="67"/>
      <c r="O711" s="68" t="s">
        <v>53</v>
      </c>
      <c r="P711" s="68" t="s">
        <v>7</v>
      </c>
      <c r="Q711" s="68" t="s">
        <v>6</v>
      </c>
      <c r="R711" s="68" t="s">
        <v>54</v>
      </c>
      <c r="S711" s="69"/>
      <c r="T711" s="68" t="s">
        <v>53</v>
      </c>
      <c r="U711" s="68" t="s">
        <v>55</v>
      </c>
      <c r="V711" s="68" t="s">
        <v>20</v>
      </c>
      <c r="W711" s="68" t="s">
        <v>19</v>
      </c>
      <c r="X711" s="68" t="s">
        <v>21</v>
      </c>
      <c r="Y711" s="68" t="s">
        <v>59</v>
      </c>
      <c r="Z711" s="70"/>
    </row>
    <row r="712" spans="1:26" s="29" customFormat="1" ht="21" customHeight="1" x14ac:dyDescent="0.2">
      <c r="A712" s="30"/>
      <c r="D712" s="35"/>
      <c r="E712" s="35"/>
      <c r="F712" s="35"/>
      <c r="G712" s="35"/>
      <c r="H712" s="35"/>
      <c r="J712" s="36" t="s">
        <v>1</v>
      </c>
      <c r="K712" s="37">
        <f>25000+3000+3000</f>
        <v>31000</v>
      </c>
      <c r="L712" s="38"/>
      <c r="N712" s="71"/>
      <c r="O712" s="72" t="s">
        <v>45</v>
      </c>
      <c r="P712" s="72">
        <v>29</v>
      </c>
      <c r="Q712" s="72">
        <v>2</v>
      </c>
      <c r="R712" s="72">
        <f>15-Q712</f>
        <v>13</v>
      </c>
      <c r="S712" s="73"/>
      <c r="T712" s="72" t="s">
        <v>45</v>
      </c>
      <c r="U712" s="74"/>
      <c r="V712" s="74"/>
      <c r="W712" s="74">
        <f>V712+U712</f>
        <v>0</v>
      </c>
      <c r="X712" s="74"/>
      <c r="Y712" s="74">
        <f>W712-X712</f>
        <v>0</v>
      </c>
      <c r="Z712" s="70"/>
    </row>
    <row r="713" spans="1:26" s="29" customFormat="1" ht="21" customHeight="1" x14ac:dyDescent="0.2">
      <c r="A713" s="30"/>
      <c r="B713" s="29" t="s">
        <v>0</v>
      </c>
      <c r="C713" s="40" t="s">
        <v>93</v>
      </c>
      <c r="H713" s="41"/>
      <c r="I713" s="35"/>
      <c r="L713" s="42"/>
      <c r="M713" s="28"/>
      <c r="N713" s="75"/>
      <c r="O713" s="72" t="s">
        <v>71</v>
      </c>
      <c r="P713" s="72">
        <v>25</v>
      </c>
      <c r="Q713" s="72">
        <v>3</v>
      </c>
      <c r="R713" s="72">
        <f t="shared" ref="R713:R723" si="144">IF(Q713="","",R712-Q713)</f>
        <v>10</v>
      </c>
      <c r="S713" s="63"/>
      <c r="T713" s="72" t="s">
        <v>71</v>
      </c>
      <c r="U713" s="105">
        <f t="shared" ref="U713:U718" si="145">Y712</f>
        <v>0</v>
      </c>
      <c r="V713" s="74"/>
      <c r="W713" s="105">
        <f>IF(U713="","",U713+V713)</f>
        <v>0</v>
      </c>
      <c r="X713" s="74"/>
      <c r="Y713" s="105">
        <f>IF(W713="","",W713-X713)</f>
        <v>0</v>
      </c>
      <c r="Z713" s="76"/>
    </row>
    <row r="714" spans="1:26" s="29" customFormat="1" ht="21" customHeight="1" x14ac:dyDescent="0.2">
      <c r="A714" s="30"/>
      <c r="B714" s="44" t="s">
        <v>41</v>
      </c>
      <c r="C714" s="40"/>
      <c r="F714" s="411" t="s">
        <v>43</v>
      </c>
      <c r="G714" s="411"/>
      <c r="I714" s="411" t="s">
        <v>44</v>
      </c>
      <c r="J714" s="411"/>
      <c r="K714" s="411"/>
      <c r="L714" s="46"/>
      <c r="N714" s="71"/>
      <c r="O714" s="72" t="s">
        <v>46</v>
      </c>
      <c r="P714" s="72">
        <v>25</v>
      </c>
      <c r="Q714" s="72">
        <v>6</v>
      </c>
      <c r="R714" s="72">
        <f t="shared" si="144"/>
        <v>4</v>
      </c>
      <c r="S714" s="63"/>
      <c r="T714" s="72" t="s">
        <v>46</v>
      </c>
      <c r="U714" s="105">
        <f t="shared" si="145"/>
        <v>0</v>
      </c>
      <c r="V714" s="74">
        <v>1500</v>
      </c>
      <c r="W714" s="105">
        <f t="shared" ref="W714:W723" si="146">IF(U714="","",U714+V714)</f>
        <v>1500</v>
      </c>
      <c r="X714" s="74">
        <v>1500</v>
      </c>
      <c r="Y714" s="105">
        <f t="shared" ref="Y714:Y723" si="147">IF(W714="","",W714-X714)</f>
        <v>0</v>
      </c>
      <c r="Z714" s="76"/>
    </row>
    <row r="715" spans="1:26" s="29" customFormat="1" ht="21" customHeight="1" x14ac:dyDescent="0.2">
      <c r="A715" s="30"/>
      <c r="H715" s="47"/>
      <c r="L715" s="34"/>
      <c r="N715" s="71"/>
      <c r="O715" s="72" t="s">
        <v>47</v>
      </c>
      <c r="P715" s="72"/>
      <c r="Q715" s="72"/>
      <c r="R715" s="72" t="str">
        <f t="shared" si="144"/>
        <v/>
      </c>
      <c r="S715" s="63"/>
      <c r="T715" s="72" t="s">
        <v>47</v>
      </c>
      <c r="U715" s="105">
        <f>Y714</f>
        <v>0</v>
      </c>
      <c r="V715" s="74"/>
      <c r="W715" s="105">
        <f t="shared" si="146"/>
        <v>0</v>
      </c>
      <c r="X715" s="74"/>
      <c r="Y715" s="105">
        <f t="shared" si="147"/>
        <v>0</v>
      </c>
      <c r="Z715" s="76"/>
    </row>
    <row r="716" spans="1:26" s="29" customFormat="1" ht="21" customHeight="1" x14ac:dyDescent="0.2">
      <c r="A716" s="30"/>
      <c r="B716" s="389" t="s">
        <v>42</v>
      </c>
      <c r="C716" s="390"/>
      <c r="F716" s="48" t="s">
        <v>64</v>
      </c>
      <c r="G716" s="43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47"/>
      <c r="I716" s="49">
        <f>IF(C720&gt;0,$K$2,C718)</f>
        <v>31</v>
      </c>
      <c r="J716" s="50" t="s">
        <v>61</v>
      </c>
      <c r="K716" s="51">
        <f>K712/$K$2*I716</f>
        <v>31000</v>
      </c>
      <c r="L716" s="52"/>
      <c r="N716" s="71"/>
      <c r="O716" s="72" t="s">
        <v>48</v>
      </c>
      <c r="P716" s="72"/>
      <c r="Q716" s="72"/>
      <c r="R716" s="72" t="str">
        <f t="shared" si="144"/>
        <v/>
      </c>
      <c r="S716" s="63"/>
      <c r="T716" s="72" t="s">
        <v>48</v>
      </c>
      <c r="U716" s="105">
        <v>0</v>
      </c>
      <c r="V716" s="74"/>
      <c r="W716" s="105">
        <f t="shared" si="146"/>
        <v>0</v>
      </c>
      <c r="X716" s="74"/>
      <c r="Y716" s="105">
        <f t="shared" si="147"/>
        <v>0</v>
      </c>
      <c r="Z716" s="76"/>
    </row>
    <row r="717" spans="1:26" s="29" customFormat="1" ht="21" customHeight="1" x14ac:dyDescent="0.2">
      <c r="A717" s="30"/>
      <c r="B717" s="39"/>
      <c r="C717" s="39"/>
      <c r="F717" s="48" t="s">
        <v>20</v>
      </c>
      <c r="G717" s="43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47"/>
      <c r="I717" s="125">
        <v>44</v>
      </c>
      <c r="J717" s="50" t="s">
        <v>62</v>
      </c>
      <c r="K717" s="53">
        <f>K712/$K$2/8*I717</f>
        <v>5500</v>
      </c>
      <c r="L717" s="54"/>
      <c r="N717" s="71"/>
      <c r="O717" s="72" t="s">
        <v>49</v>
      </c>
      <c r="P717" s="72"/>
      <c r="Q717" s="72"/>
      <c r="R717" s="72" t="str">
        <f t="shared" si="144"/>
        <v/>
      </c>
      <c r="S717" s="63"/>
      <c r="T717" s="72" t="s">
        <v>49</v>
      </c>
      <c r="U717" s="105">
        <f t="shared" si="145"/>
        <v>0</v>
      </c>
      <c r="V717" s="74"/>
      <c r="W717" s="105">
        <f t="shared" si="146"/>
        <v>0</v>
      </c>
      <c r="X717" s="74"/>
      <c r="Y717" s="105">
        <f t="shared" si="147"/>
        <v>0</v>
      </c>
      <c r="Z717" s="76"/>
    </row>
    <row r="718" spans="1:26" s="29" customFormat="1" ht="21" customHeight="1" x14ac:dyDescent="0.2">
      <c r="A718" s="30"/>
      <c r="B718" s="48" t="s">
        <v>7</v>
      </c>
      <c r="C718" s="39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F718" s="48" t="s">
        <v>65</v>
      </c>
      <c r="G718" s="43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47"/>
      <c r="I718" s="402" t="s">
        <v>69</v>
      </c>
      <c r="J718" s="403"/>
      <c r="K718" s="53">
        <f>K716+K717</f>
        <v>36500</v>
      </c>
      <c r="L718" s="54"/>
      <c r="N718" s="71"/>
      <c r="O718" s="72" t="s">
        <v>50</v>
      </c>
      <c r="P718" s="72"/>
      <c r="Q718" s="72"/>
      <c r="R718" s="72" t="str">
        <f t="shared" si="144"/>
        <v/>
      </c>
      <c r="S718" s="63"/>
      <c r="T718" s="72" t="s">
        <v>50</v>
      </c>
      <c r="U718" s="105">
        <f t="shared" si="145"/>
        <v>0</v>
      </c>
      <c r="V718" s="74"/>
      <c r="W718" s="105">
        <f t="shared" si="146"/>
        <v>0</v>
      </c>
      <c r="X718" s="74"/>
      <c r="Y718" s="105">
        <f t="shared" si="147"/>
        <v>0</v>
      </c>
      <c r="Z718" s="76"/>
    </row>
    <row r="719" spans="1:26" s="29" customFormat="1" ht="21" customHeight="1" x14ac:dyDescent="0.2">
      <c r="A719" s="30"/>
      <c r="B719" s="48" t="s">
        <v>6</v>
      </c>
      <c r="C719" s="39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F719" s="48" t="s">
        <v>21</v>
      </c>
      <c r="G719" s="43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47"/>
      <c r="I719" s="402" t="s">
        <v>70</v>
      </c>
      <c r="J719" s="403"/>
      <c r="K719" s="43">
        <f>G719</f>
        <v>0</v>
      </c>
      <c r="L719" s="55"/>
      <c r="N719" s="71"/>
      <c r="O719" s="72" t="s">
        <v>51</v>
      </c>
      <c r="P719" s="72"/>
      <c r="Q719" s="72"/>
      <c r="R719" s="72" t="str">
        <f t="shared" si="144"/>
        <v/>
      </c>
      <c r="S719" s="63"/>
      <c r="T719" s="72" t="s">
        <v>51</v>
      </c>
      <c r="U719" s="105">
        <f>Y718</f>
        <v>0</v>
      </c>
      <c r="V719" s="74"/>
      <c r="W719" s="105">
        <f t="shared" si="146"/>
        <v>0</v>
      </c>
      <c r="X719" s="74"/>
      <c r="Y719" s="105">
        <f t="shared" si="147"/>
        <v>0</v>
      </c>
      <c r="Z719" s="76"/>
    </row>
    <row r="720" spans="1:26" s="29" customFormat="1" ht="21" customHeight="1" x14ac:dyDescent="0.2">
      <c r="A720" s="30"/>
      <c r="B720" s="56" t="s">
        <v>68</v>
      </c>
      <c r="C720" s="39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F720" s="48" t="s">
        <v>67</v>
      </c>
      <c r="G720" s="43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I720" s="391" t="s">
        <v>63</v>
      </c>
      <c r="J720" s="393"/>
      <c r="K720" s="57"/>
      <c r="L720" s="58"/>
      <c r="N720" s="71"/>
      <c r="O720" s="72" t="s">
        <v>56</v>
      </c>
      <c r="P720" s="72"/>
      <c r="Q720" s="72"/>
      <c r="R720" s="72" t="str">
        <f t="shared" si="144"/>
        <v/>
      </c>
      <c r="S720" s="63"/>
      <c r="T720" s="72" t="s">
        <v>56</v>
      </c>
      <c r="U720" s="105">
        <f>Y719</f>
        <v>0</v>
      </c>
      <c r="V720" s="74"/>
      <c r="W720" s="105">
        <f t="shared" si="146"/>
        <v>0</v>
      </c>
      <c r="X720" s="74"/>
      <c r="Y720" s="105">
        <f t="shared" si="147"/>
        <v>0</v>
      </c>
      <c r="Z720" s="76"/>
    </row>
    <row r="721" spans="1:27" s="29" customFormat="1" ht="21" customHeight="1" x14ac:dyDescent="0.2">
      <c r="A721" s="30"/>
      <c r="K721" s="107"/>
      <c r="L721" s="46"/>
      <c r="N721" s="71"/>
      <c r="O721" s="72" t="s">
        <v>52</v>
      </c>
      <c r="P721" s="72"/>
      <c r="Q721" s="72"/>
      <c r="R721" s="72" t="str">
        <f t="shared" si="144"/>
        <v/>
      </c>
      <c r="S721" s="63"/>
      <c r="T721" s="72" t="s">
        <v>52</v>
      </c>
      <c r="U721" s="105">
        <f>Y720</f>
        <v>0</v>
      </c>
      <c r="V721" s="74"/>
      <c r="W721" s="105">
        <f t="shared" si="146"/>
        <v>0</v>
      </c>
      <c r="X721" s="74"/>
      <c r="Y721" s="105">
        <f t="shared" si="147"/>
        <v>0</v>
      </c>
      <c r="Z721" s="76"/>
    </row>
    <row r="722" spans="1:27" s="29" customFormat="1" ht="21" customHeight="1" x14ac:dyDescent="0.2">
      <c r="A722" s="30"/>
      <c r="B722" s="404" t="s">
        <v>85</v>
      </c>
      <c r="C722" s="404"/>
      <c r="D722" s="404"/>
      <c r="E722" s="404"/>
      <c r="F722" s="404"/>
      <c r="G722" s="404"/>
      <c r="H722" s="404"/>
      <c r="I722" s="404"/>
      <c r="J722" s="404"/>
      <c r="K722" s="404"/>
      <c r="L722" s="46"/>
      <c r="N722" s="71"/>
      <c r="O722" s="72" t="s">
        <v>57</v>
      </c>
      <c r="P722" s="72"/>
      <c r="Q722" s="72"/>
      <c r="R722" s="72" t="str">
        <f t="shared" si="144"/>
        <v/>
      </c>
      <c r="S722" s="63"/>
      <c r="T722" s="72" t="s">
        <v>57</v>
      </c>
      <c r="U722" s="105">
        <f>Y721</f>
        <v>0</v>
      </c>
      <c r="V722" s="74"/>
      <c r="W722" s="105">
        <f t="shared" si="146"/>
        <v>0</v>
      </c>
      <c r="X722" s="74"/>
      <c r="Y722" s="105">
        <f t="shared" si="147"/>
        <v>0</v>
      </c>
      <c r="Z722" s="76"/>
    </row>
    <row r="723" spans="1:27" s="29" customFormat="1" ht="21" customHeight="1" x14ac:dyDescent="0.2">
      <c r="A723" s="30"/>
      <c r="B723" s="404"/>
      <c r="C723" s="404"/>
      <c r="D723" s="404"/>
      <c r="E723" s="404"/>
      <c r="F723" s="404"/>
      <c r="G723" s="404"/>
      <c r="H723" s="404"/>
      <c r="I723" s="404"/>
      <c r="J723" s="404"/>
      <c r="K723" s="404"/>
      <c r="L723" s="46"/>
      <c r="N723" s="71"/>
      <c r="O723" s="72" t="s">
        <v>58</v>
      </c>
      <c r="P723" s="72"/>
      <c r="Q723" s="72"/>
      <c r="R723" s="72" t="str">
        <f t="shared" si="144"/>
        <v/>
      </c>
      <c r="S723" s="63"/>
      <c r="T723" s="72" t="s">
        <v>58</v>
      </c>
      <c r="U723" s="105">
        <f>Y722</f>
        <v>0</v>
      </c>
      <c r="V723" s="74"/>
      <c r="W723" s="105">
        <f t="shared" si="146"/>
        <v>0</v>
      </c>
      <c r="X723" s="74"/>
      <c r="Y723" s="105">
        <f t="shared" si="147"/>
        <v>0</v>
      </c>
      <c r="Z723" s="76"/>
    </row>
    <row r="724" spans="1:27" s="29" customFormat="1" ht="21" customHeight="1" thickBot="1" x14ac:dyDescent="0.25">
      <c r="A724" s="5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1"/>
      <c r="N724" s="77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9"/>
    </row>
    <row r="725" spans="1:27" s="29" customFormat="1" ht="21" customHeight="1" thickBot="1" x14ac:dyDescent="0.25"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7" s="29" customFormat="1" ht="21.4" customHeight="1" x14ac:dyDescent="0.2">
      <c r="A726" s="421" t="s">
        <v>40</v>
      </c>
      <c r="B726" s="422"/>
      <c r="C726" s="422"/>
      <c r="D726" s="422"/>
      <c r="E726" s="422"/>
      <c r="F726" s="422"/>
      <c r="G726" s="422"/>
      <c r="H726" s="422"/>
      <c r="I726" s="422"/>
      <c r="J726" s="422"/>
      <c r="K726" s="422"/>
      <c r="L726" s="423"/>
      <c r="M726" s="28"/>
      <c r="N726" s="64"/>
      <c r="O726" s="405" t="s">
        <v>42</v>
      </c>
      <c r="P726" s="406"/>
      <c r="Q726" s="406"/>
      <c r="R726" s="407"/>
      <c r="S726" s="65"/>
      <c r="T726" s="405" t="s">
        <v>43</v>
      </c>
      <c r="U726" s="406"/>
      <c r="V726" s="406"/>
      <c r="W726" s="406"/>
      <c r="X726" s="406"/>
      <c r="Y726" s="407"/>
      <c r="Z726" s="66"/>
      <c r="AA726" s="28"/>
    </row>
    <row r="727" spans="1:27" s="29" customFormat="1" ht="21.4" customHeight="1" x14ac:dyDescent="0.2">
      <c r="A727" s="30"/>
      <c r="C727" s="395" t="s">
        <v>83</v>
      </c>
      <c r="D727" s="395"/>
      <c r="E727" s="395"/>
      <c r="F727" s="395"/>
      <c r="G727" s="31" t="str">
        <f>$J$1</f>
        <v>May</v>
      </c>
      <c r="H727" s="394">
        <f>$K$1</f>
        <v>2023</v>
      </c>
      <c r="I727" s="394"/>
      <c r="K727" s="32"/>
      <c r="L727" s="33"/>
      <c r="M727" s="32"/>
      <c r="N727" s="67"/>
      <c r="O727" s="68" t="s">
        <v>53</v>
      </c>
      <c r="P727" s="68" t="s">
        <v>7</v>
      </c>
      <c r="Q727" s="68" t="s">
        <v>6</v>
      </c>
      <c r="R727" s="68" t="s">
        <v>54</v>
      </c>
      <c r="S727" s="69"/>
      <c r="T727" s="68" t="s">
        <v>53</v>
      </c>
      <c r="U727" s="68" t="s">
        <v>55</v>
      </c>
      <c r="V727" s="68" t="s">
        <v>20</v>
      </c>
      <c r="W727" s="68" t="s">
        <v>19</v>
      </c>
      <c r="X727" s="68" t="s">
        <v>21</v>
      </c>
      <c r="Y727" s="68" t="s">
        <v>59</v>
      </c>
      <c r="Z727" s="70"/>
      <c r="AA727" s="32"/>
    </row>
    <row r="728" spans="1:27" s="29" customFormat="1" ht="21.4" customHeight="1" x14ac:dyDescent="0.2">
      <c r="A728" s="30"/>
      <c r="D728" s="35"/>
      <c r="E728" s="35"/>
      <c r="F728" s="35"/>
      <c r="G728" s="35"/>
      <c r="H728" s="35"/>
      <c r="J728" s="36" t="s">
        <v>1</v>
      </c>
      <c r="K728" s="37"/>
      <c r="L728" s="38"/>
      <c r="N728" s="71"/>
      <c r="O728" s="72" t="s">
        <v>45</v>
      </c>
      <c r="P728" s="72">
        <v>22</v>
      </c>
      <c r="Q728" s="72">
        <v>9</v>
      </c>
      <c r="R728" s="72"/>
      <c r="S728" s="73"/>
      <c r="T728" s="72" t="s">
        <v>45</v>
      </c>
      <c r="U728" s="74"/>
      <c r="V728" s="74"/>
      <c r="W728" s="74">
        <f>V728+U728</f>
        <v>0</v>
      </c>
      <c r="X728" s="74"/>
      <c r="Y728" s="74">
        <f>W728-X728</f>
        <v>0</v>
      </c>
      <c r="Z728" s="70"/>
    </row>
    <row r="729" spans="1:27" s="29" customFormat="1" ht="21.4" customHeight="1" x14ac:dyDescent="0.2">
      <c r="A729" s="30"/>
      <c r="B729" s="29" t="s">
        <v>0</v>
      </c>
      <c r="C729" s="40"/>
      <c r="H729" s="41"/>
      <c r="I729" s="35"/>
      <c r="L729" s="42"/>
      <c r="M729" s="28"/>
      <c r="N729" s="75"/>
      <c r="O729" s="72" t="s">
        <v>71</v>
      </c>
      <c r="P729" s="72"/>
      <c r="Q729" s="72"/>
      <c r="R729" s="72" t="str">
        <f t="shared" ref="R729:R736" si="148">IF(Q729="","",R728-Q729)</f>
        <v/>
      </c>
      <c r="S729" s="63"/>
      <c r="T729" s="72" t="s">
        <v>71</v>
      </c>
      <c r="U729" s="105">
        <f>Y728</f>
        <v>0</v>
      </c>
      <c r="V729" s="74"/>
      <c r="W729" s="105">
        <f>IF(U729="","",U729+V729)</f>
        <v>0</v>
      </c>
      <c r="X729" s="74"/>
      <c r="Y729" s="105">
        <f>IF(W729="","",W729-X729)</f>
        <v>0</v>
      </c>
      <c r="Z729" s="76"/>
      <c r="AA729" s="28"/>
    </row>
    <row r="730" spans="1:27" s="29" customFormat="1" ht="21.4" customHeight="1" x14ac:dyDescent="0.2">
      <c r="A730" s="30"/>
      <c r="B730" s="44" t="s">
        <v>41</v>
      </c>
      <c r="C730" s="45"/>
      <c r="F730" s="411" t="s">
        <v>43</v>
      </c>
      <c r="G730" s="411"/>
      <c r="I730" s="411" t="s">
        <v>44</v>
      </c>
      <c r="J730" s="411"/>
      <c r="K730" s="411"/>
      <c r="L730" s="46"/>
      <c r="N730" s="71"/>
      <c r="O730" s="72" t="s">
        <v>46</v>
      </c>
      <c r="P730" s="72"/>
      <c r="Q730" s="72"/>
      <c r="R730" s="72" t="str">
        <f t="shared" si="148"/>
        <v/>
      </c>
      <c r="S730" s="63"/>
      <c r="T730" s="72" t="s">
        <v>46</v>
      </c>
      <c r="U730" s="105">
        <f>IF($J$1="April",Y729,Y729)</f>
        <v>0</v>
      </c>
      <c r="V730" s="74"/>
      <c r="W730" s="105">
        <f t="shared" ref="W730:W739" si="149">IF(U730="","",U730+V730)</f>
        <v>0</v>
      </c>
      <c r="X730" s="74"/>
      <c r="Y730" s="105">
        <f t="shared" ref="Y730:Y739" si="150">IF(W730="","",W730-X730)</f>
        <v>0</v>
      </c>
      <c r="Z730" s="76"/>
    </row>
    <row r="731" spans="1:27" s="29" customFormat="1" ht="21.4" customHeight="1" x14ac:dyDescent="0.2">
      <c r="A731" s="30"/>
      <c r="H731" s="47"/>
      <c r="L731" s="34"/>
      <c r="N731" s="71"/>
      <c r="O731" s="72" t="s">
        <v>47</v>
      </c>
      <c r="P731" s="72"/>
      <c r="Q731" s="72"/>
      <c r="R731" s="72">
        <v>0</v>
      </c>
      <c r="S731" s="63"/>
      <c r="T731" s="72" t="s">
        <v>47</v>
      </c>
      <c r="U731" s="105">
        <f>IF($J$1="April",Y730,Y730)</f>
        <v>0</v>
      </c>
      <c r="V731" s="74"/>
      <c r="W731" s="105">
        <f t="shared" si="149"/>
        <v>0</v>
      </c>
      <c r="X731" s="74"/>
      <c r="Y731" s="105">
        <f t="shared" si="150"/>
        <v>0</v>
      </c>
      <c r="Z731" s="76"/>
    </row>
    <row r="732" spans="1:27" s="29" customFormat="1" ht="21.4" customHeight="1" x14ac:dyDescent="0.2">
      <c r="A732" s="30"/>
      <c r="B732" s="389" t="s">
        <v>42</v>
      </c>
      <c r="C732" s="390"/>
      <c r="F732" s="48" t="s">
        <v>64</v>
      </c>
      <c r="G732" s="43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47"/>
      <c r="I732" s="49"/>
      <c r="J732" s="50" t="s">
        <v>61</v>
      </c>
      <c r="K732" s="51">
        <f>K728/$K$2*I732</f>
        <v>0</v>
      </c>
      <c r="L732" s="52"/>
      <c r="N732" s="71"/>
      <c r="O732" s="72" t="s">
        <v>48</v>
      </c>
      <c r="P732" s="72"/>
      <c r="Q732" s="72"/>
      <c r="R732" s="72">
        <v>0</v>
      </c>
      <c r="S732" s="63"/>
      <c r="T732" s="72" t="s">
        <v>48</v>
      </c>
      <c r="U732" s="105">
        <f>IF($J$1="May",Y731,Y731)</f>
        <v>0</v>
      </c>
      <c r="V732" s="74"/>
      <c r="W732" s="105">
        <f t="shared" si="149"/>
        <v>0</v>
      </c>
      <c r="X732" s="74"/>
      <c r="Y732" s="105">
        <f t="shared" si="150"/>
        <v>0</v>
      </c>
      <c r="Z732" s="76"/>
    </row>
    <row r="733" spans="1:27" s="29" customFormat="1" ht="21.4" customHeight="1" x14ac:dyDescent="0.2">
      <c r="A733" s="30"/>
      <c r="B733" s="39"/>
      <c r="C733" s="39"/>
      <c r="F733" s="48" t="s">
        <v>20</v>
      </c>
      <c r="G733" s="43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47"/>
      <c r="I733" s="84"/>
      <c r="J733" s="50" t="s">
        <v>62</v>
      </c>
      <c r="K733" s="53">
        <f>K728/$K$2/8*I733</f>
        <v>0</v>
      </c>
      <c r="L733" s="54"/>
      <c r="N733" s="71"/>
      <c r="O733" s="72" t="s">
        <v>49</v>
      </c>
      <c r="P733" s="72"/>
      <c r="Q733" s="72"/>
      <c r="R733" s="72" t="str">
        <f t="shared" si="148"/>
        <v/>
      </c>
      <c r="S733" s="63"/>
      <c r="T733" s="72" t="s">
        <v>49</v>
      </c>
      <c r="U733" s="105">
        <f>IF($J$1="May",Y732,Y732)</f>
        <v>0</v>
      </c>
      <c r="V733" s="74"/>
      <c r="W733" s="105">
        <f t="shared" si="149"/>
        <v>0</v>
      </c>
      <c r="X733" s="74"/>
      <c r="Y733" s="105">
        <f t="shared" si="150"/>
        <v>0</v>
      </c>
      <c r="Z733" s="76"/>
    </row>
    <row r="734" spans="1:27" s="29" customFormat="1" ht="21.4" customHeight="1" x14ac:dyDescent="0.2">
      <c r="A734" s="30"/>
      <c r="B734" s="48" t="s">
        <v>7</v>
      </c>
      <c r="C734" s="39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0</v>
      </c>
      <c r="F734" s="48" t="s">
        <v>65</v>
      </c>
      <c r="G734" s="43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47"/>
      <c r="I734" s="402" t="s">
        <v>69</v>
      </c>
      <c r="J734" s="403"/>
      <c r="K734" s="53">
        <f>K732+K733</f>
        <v>0</v>
      </c>
      <c r="L734" s="54"/>
      <c r="N734" s="71"/>
      <c r="O734" s="72" t="s">
        <v>50</v>
      </c>
      <c r="P734" s="72"/>
      <c r="Q734" s="72"/>
      <c r="R734" s="72">
        <v>0</v>
      </c>
      <c r="S734" s="63"/>
      <c r="T734" s="72" t="s">
        <v>50</v>
      </c>
      <c r="U734" s="105" t="str">
        <f>IF($J$1="July",Y733,"")</f>
        <v/>
      </c>
      <c r="V734" s="74"/>
      <c r="W734" s="105" t="str">
        <f t="shared" si="149"/>
        <v/>
      </c>
      <c r="X734" s="74"/>
      <c r="Y734" s="105" t="str">
        <f t="shared" si="150"/>
        <v/>
      </c>
      <c r="Z734" s="76"/>
    </row>
    <row r="735" spans="1:27" s="29" customFormat="1" ht="21.4" customHeight="1" x14ac:dyDescent="0.2">
      <c r="A735" s="30"/>
      <c r="B735" s="48" t="s">
        <v>6</v>
      </c>
      <c r="C735" s="39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F735" s="48" t="s">
        <v>21</v>
      </c>
      <c r="G735" s="43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47"/>
      <c r="I735" s="402" t="s">
        <v>70</v>
      </c>
      <c r="J735" s="403"/>
      <c r="K735" s="43">
        <f>G735</f>
        <v>0</v>
      </c>
      <c r="L735" s="55"/>
      <c r="N735" s="71"/>
      <c r="O735" s="72" t="s">
        <v>51</v>
      </c>
      <c r="P735" s="72"/>
      <c r="Q735" s="72"/>
      <c r="R735" s="72">
        <v>0</v>
      </c>
      <c r="S735" s="63"/>
      <c r="T735" s="72" t="s">
        <v>51</v>
      </c>
      <c r="U735" s="105" t="str">
        <f>IF($J$1="August",Y734,"")</f>
        <v/>
      </c>
      <c r="V735" s="74"/>
      <c r="W735" s="105" t="str">
        <f t="shared" si="149"/>
        <v/>
      </c>
      <c r="X735" s="74"/>
      <c r="Y735" s="105" t="str">
        <f t="shared" si="150"/>
        <v/>
      </c>
      <c r="Z735" s="76"/>
    </row>
    <row r="736" spans="1:27" s="29" customFormat="1" ht="21.4" customHeight="1" x14ac:dyDescent="0.2">
      <c r="A736" s="30"/>
      <c r="B736" s="56" t="s">
        <v>68</v>
      </c>
      <c r="C736" s="39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F736" s="48" t="s">
        <v>67</v>
      </c>
      <c r="G736" s="43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I736" s="391" t="s">
        <v>63</v>
      </c>
      <c r="J736" s="393"/>
      <c r="K736" s="57">
        <f>K734-K735</f>
        <v>0</v>
      </c>
      <c r="L736" s="58"/>
      <c r="N736" s="71"/>
      <c r="O736" s="72" t="s">
        <v>56</v>
      </c>
      <c r="P736" s="72"/>
      <c r="Q736" s="72"/>
      <c r="R736" s="72" t="str">
        <f t="shared" si="148"/>
        <v/>
      </c>
      <c r="S736" s="63"/>
      <c r="T736" s="72" t="s">
        <v>56</v>
      </c>
      <c r="U736" s="105" t="str">
        <f>IF($J$1="May",Y735,Y735)</f>
        <v/>
      </c>
      <c r="V736" s="74"/>
      <c r="W736" s="105" t="str">
        <f t="shared" si="149"/>
        <v/>
      </c>
      <c r="X736" s="74"/>
      <c r="Y736" s="105" t="str">
        <f t="shared" si="150"/>
        <v/>
      </c>
      <c r="Z736" s="76"/>
    </row>
    <row r="737" spans="1:27" s="29" customFormat="1" ht="21.4" customHeight="1" x14ac:dyDescent="0.2">
      <c r="A737" s="30"/>
      <c r="L737" s="46"/>
      <c r="N737" s="71"/>
      <c r="O737" s="72" t="s">
        <v>52</v>
      </c>
      <c r="P737" s="72"/>
      <c r="Q737" s="72"/>
      <c r="R737" s="72">
        <v>0</v>
      </c>
      <c r="S737" s="63"/>
      <c r="T737" s="72" t="s">
        <v>52</v>
      </c>
      <c r="U737" s="105" t="str">
        <f t="shared" ref="U737:U739" si="151">Y736</f>
        <v/>
      </c>
      <c r="V737" s="74"/>
      <c r="W737" s="105" t="str">
        <f t="shared" si="149"/>
        <v/>
      </c>
      <c r="X737" s="74"/>
      <c r="Y737" s="105" t="str">
        <f t="shared" si="150"/>
        <v/>
      </c>
      <c r="Z737" s="76"/>
    </row>
    <row r="738" spans="1:27" s="29" customFormat="1" ht="21.4" customHeight="1" x14ac:dyDescent="0.2">
      <c r="A738" s="30"/>
      <c r="B738" s="404" t="s">
        <v>85</v>
      </c>
      <c r="C738" s="404"/>
      <c r="D738" s="404"/>
      <c r="E738" s="404"/>
      <c r="F738" s="404"/>
      <c r="G738" s="404"/>
      <c r="H738" s="404"/>
      <c r="I738" s="404"/>
      <c r="J738" s="404"/>
      <c r="K738" s="404"/>
      <c r="L738" s="46"/>
      <c r="N738" s="71"/>
      <c r="O738" s="72" t="s">
        <v>57</v>
      </c>
      <c r="P738" s="72"/>
      <c r="Q738" s="72"/>
      <c r="R738" s="72">
        <v>0</v>
      </c>
      <c r="S738" s="63"/>
      <c r="T738" s="72" t="s">
        <v>57</v>
      </c>
      <c r="U738" s="105" t="str">
        <f t="shared" si="151"/>
        <v/>
      </c>
      <c r="V738" s="74"/>
      <c r="W738" s="105"/>
      <c r="X738" s="74"/>
      <c r="Y738" s="105" t="str">
        <f t="shared" si="150"/>
        <v/>
      </c>
      <c r="Z738" s="76"/>
    </row>
    <row r="739" spans="1:27" s="29" customFormat="1" ht="21.4" customHeight="1" x14ac:dyDescent="0.2">
      <c r="A739" s="30"/>
      <c r="B739" s="404"/>
      <c r="C739" s="404"/>
      <c r="D739" s="404"/>
      <c r="E739" s="404"/>
      <c r="F739" s="404"/>
      <c r="G739" s="404"/>
      <c r="H739" s="404"/>
      <c r="I739" s="404"/>
      <c r="J739" s="404"/>
      <c r="K739" s="404"/>
      <c r="L739" s="46"/>
      <c r="N739" s="71"/>
      <c r="O739" s="72" t="s">
        <v>58</v>
      </c>
      <c r="P739" s="72"/>
      <c r="Q739" s="72"/>
      <c r="R739" s="72">
        <v>0</v>
      </c>
      <c r="S739" s="63"/>
      <c r="T739" s="72" t="s">
        <v>58</v>
      </c>
      <c r="U739" s="105" t="str">
        <f t="shared" si="151"/>
        <v/>
      </c>
      <c r="V739" s="74"/>
      <c r="W739" s="105" t="str">
        <f t="shared" si="149"/>
        <v/>
      </c>
      <c r="X739" s="74"/>
      <c r="Y739" s="105" t="str">
        <f t="shared" si="150"/>
        <v/>
      </c>
      <c r="Z739" s="76"/>
    </row>
    <row r="740" spans="1:27" s="29" customFormat="1" ht="21.4" customHeight="1" thickBot="1" x14ac:dyDescent="0.25">
      <c r="A740" s="5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1"/>
      <c r="N740" s="77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9"/>
    </row>
    <row r="741" spans="1:27" s="29" customFormat="1" ht="21.4" customHeight="1" thickBot="1" x14ac:dyDescent="0.25"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7" s="29" customFormat="1" ht="21.4" customHeight="1" x14ac:dyDescent="0.2">
      <c r="A742" s="408" t="s">
        <v>40</v>
      </c>
      <c r="B742" s="409"/>
      <c r="C742" s="409"/>
      <c r="D742" s="409"/>
      <c r="E742" s="409"/>
      <c r="F742" s="409"/>
      <c r="G742" s="409"/>
      <c r="H742" s="409"/>
      <c r="I742" s="409"/>
      <c r="J742" s="409"/>
      <c r="K742" s="409"/>
      <c r="L742" s="410"/>
      <c r="M742" s="28"/>
      <c r="N742" s="64"/>
      <c r="O742" s="405" t="s">
        <v>42</v>
      </c>
      <c r="P742" s="406"/>
      <c r="Q742" s="406"/>
      <c r="R742" s="407"/>
      <c r="S742" s="65"/>
      <c r="T742" s="405" t="s">
        <v>43</v>
      </c>
      <c r="U742" s="406"/>
      <c r="V742" s="406"/>
      <c r="W742" s="406"/>
      <c r="X742" s="406"/>
      <c r="Y742" s="407"/>
      <c r="Z742" s="66"/>
      <c r="AA742" s="28"/>
    </row>
    <row r="743" spans="1:27" s="29" customFormat="1" ht="21.4" customHeight="1" x14ac:dyDescent="0.2">
      <c r="A743" s="30"/>
      <c r="C743" s="395" t="s">
        <v>83</v>
      </c>
      <c r="D743" s="395"/>
      <c r="E743" s="395"/>
      <c r="F743" s="395"/>
      <c r="G743" s="31" t="str">
        <f>$J$1</f>
        <v>May</v>
      </c>
      <c r="H743" s="394">
        <f>$K$1</f>
        <v>2023</v>
      </c>
      <c r="I743" s="394"/>
      <c r="K743" s="32"/>
      <c r="L743" s="33"/>
      <c r="M743" s="32"/>
      <c r="N743" s="67"/>
      <c r="O743" s="68" t="s">
        <v>53</v>
      </c>
      <c r="P743" s="68" t="s">
        <v>7</v>
      </c>
      <c r="Q743" s="68" t="s">
        <v>6</v>
      </c>
      <c r="R743" s="68" t="s">
        <v>54</v>
      </c>
      <c r="S743" s="69"/>
      <c r="T743" s="68" t="s">
        <v>53</v>
      </c>
      <c r="U743" s="68" t="s">
        <v>55</v>
      </c>
      <c r="V743" s="68" t="s">
        <v>20</v>
      </c>
      <c r="W743" s="68" t="s">
        <v>19</v>
      </c>
      <c r="X743" s="68" t="s">
        <v>21</v>
      </c>
      <c r="Y743" s="68" t="s">
        <v>59</v>
      </c>
      <c r="Z743" s="70"/>
      <c r="AA743" s="32"/>
    </row>
    <row r="744" spans="1:27" s="29" customFormat="1" ht="21.4" customHeight="1" x14ac:dyDescent="0.2">
      <c r="A744" s="30"/>
      <c r="D744" s="35"/>
      <c r="E744" s="35"/>
      <c r="F744" s="35"/>
      <c r="G744" s="35"/>
      <c r="H744" s="35"/>
      <c r="J744" s="36" t="s">
        <v>1</v>
      </c>
      <c r="K744" s="37"/>
      <c r="L744" s="38"/>
      <c r="N744" s="71"/>
      <c r="O744" s="72" t="s">
        <v>45</v>
      </c>
      <c r="P744" s="72"/>
      <c r="Q744" s="72"/>
      <c r="R744" s="72"/>
      <c r="S744" s="73"/>
      <c r="T744" s="72" t="s">
        <v>45</v>
      </c>
      <c r="U744" s="74"/>
      <c r="V744" s="74"/>
      <c r="W744" s="74">
        <f>V744+U744</f>
        <v>0</v>
      </c>
      <c r="X744" s="74"/>
      <c r="Y744" s="74">
        <f>W744-X744</f>
        <v>0</v>
      </c>
      <c r="Z744" s="70"/>
    </row>
    <row r="745" spans="1:27" s="29" customFormat="1" ht="21.4" customHeight="1" x14ac:dyDescent="0.2">
      <c r="A745" s="30"/>
      <c r="B745" s="29" t="s">
        <v>0</v>
      </c>
      <c r="C745" s="40"/>
      <c r="H745" s="41"/>
      <c r="I745" s="35"/>
      <c r="L745" s="42"/>
      <c r="M745" s="28"/>
      <c r="N745" s="75"/>
      <c r="O745" s="72" t="s">
        <v>71</v>
      </c>
      <c r="P745" s="72"/>
      <c r="Q745" s="72"/>
      <c r="R745" s="72" t="str">
        <f>IF(Q745="","",R744-Q745)</f>
        <v/>
      </c>
      <c r="S745" s="63"/>
      <c r="T745" s="72" t="s">
        <v>71</v>
      </c>
      <c r="U745" s="105">
        <f>Y744</f>
        <v>0</v>
      </c>
      <c r="V745" s="74"/>
      <c r="W745" s="105">
        <f>IF(U745="","",U745+V745)</f>
        <v>0</v>
      </c>
      <c r="X745" s="74"/>
      <c r="Y745" s="105">
        <f>IF(W745="","",W745-X745)</f>
        <v>0</v>
      </c>
      <c r="Z745" s="76"/>
      <c r="AA745" s="28"/>
    </row>
    <row r="746" spans="1:27" s="29" customFormat="1" ht="21.4" customHeight="1" x14ac:dyDescent="0.2">
      <c r="A746" s="30"/>
      <c r="B746" s="44" t="s">
        <v>41</v>
      </c>
      <c r="C746" s="45"/>
      <c r="F746" s="411" t="s">
        <v>43</v>
      </c>
      <c r="G746" s="411"/>
      <c r="I746" s="411" t="s">
        <v>44</v>
      </c>
      <c r="J746" s="411"/>
      <c r="K746" s="411"/>
      <c r="L746" s="46"/>
      <c r="N746" s="71"/>
      <c r="O746" s="72" t="s">
        <v>46</v>
      </c>
      <c r="P746" s="72"/>
      <c r="Q746" s="72"/>
      <c r="R746" s="72" t="str">
        <f t="shared" ref="R746:R755" si="152">IF(Q746="","",R745-Q746)</f>
        <v/>
      </c>
      <c r="S746" s="63"/>
      <c r="T746" s="72" t="s">
        <v>46</v>
      </c>
      <c r="U746" s="105">
        <f>IF($J$1="April",Y745,Y745)</f>
        <v>0</v>
      </c>
      <c r="V746" s="74"/>
      <c r="W746" s="105">
        <f t="shared" ref="W746:W755" si="153">IF(U746="","",U746+V746)</f>
        <v>0</v>
      </c>
      <c r="X746" s="74"/>
      <c r="Y746" s="105">
        <f t="shared" ref="Y746:Y755" si="154">IF(W746="","",W746-X746)</f>
        <v>0</v>
      </c>
      <c r="Z746" s="76"/>
    </row>
    <row r="747" spans="1:27" s="29" customFormat="1" ht="21.4" customHeight="1" x14ac:dyDescent="0.2">
      <c r="A747" s="30"/>
      <c r="H747" s="47"/>
      <c r="L747" s="34"/>
      <c r="N747" s="71"/>
      <c r="O747" s="72" t="s">
        <v>47</v>
      </c>
      <c r="P747" s="72"/>
      <c r="Q747" s="72"/>
      <c r="R747" s="72" t="str">
        <f t="shared" si="152"/>
        <v/>
      </c>
      <c r="S747" s="63"/>
      <c r="T747" s="72" t="s">
        <v>47</v>
      </c>
      <c r="U747" s="105">
        <f>IF($J$1="April",Y746,Y746)</f>
        <v>0</v>
      </c>
      <c r="V747" s="74"/>
      <c r="W747" s="105">
        <f t="shared" si="153"/>
        <v>0</v>
      </c>
      <c r="X747" s="74"/>
      <c r="Y747" s="105">
        <f t="shared" si="154"/>
        <v>0</v>
      </c>
      <c r="Z747" s="76"/>
    </row>
    <row r="748" spans="1:27" s="29" customFormat="1" ht="21.4" customHeight="1" x14ac:dyDescent="0.2">
      <c r="A748" s="30"/>
      <c r="B748" s="389" t="s">
        <v>42</v>
      </c>
      <c r="C748" s="390"/>
      <c r="F748" s="48" t="s">
        <v>64</v>
      </c>
      <c r="G748" s="43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7"/>
      <c r="I748" s="49"/>
      <c r="J748" s="50" t="s">
        <v>61</v>
      </c>
      <c r="K748" s="51">
        <f>K744/$K$2*I748</f>
        <v>0</v>
      </c>
      <c r="L748" s="52"/>
      <c r="N748" s="71"/>
      <c r="O748" s="72" t="s">
        <v>48</v>
      </c>
      <c r="P748" s="72"/>
      <c r="Q748" s="72"/>
      <c r="R748" s="72" t="str">
        <f t="shared" si="152"/>
        <v/>
      </c>
      <c r="S748" s="63"/>
      <c r="T748" s="72" t="s">
        <v>48</v>
      </c>
      <c r="U748" s="105">
        <f>IF($J$1="May",Y747,Y747)</f>
        <v>0</v>
      </c>
      <c r="V748" s="74"/>
      <c r="W748" s="105">
        <f t="shared" si="153"/>
        <v>0</v>
      </c>
      <c r="X748" s="74"/>
      <c r="Y748" s="105">
        <f t="shared" si="154"/>
        <v>0</v>
      </c>
      <c r="Z748" s="76"/>
    </row>
    <row r="749" spans="1:27" s="29" customFormat="1" ht="21.4" customHeight="1" x14ac:dyDescent="0.2">
      <c r="A749" s="30"/>
      <c r="B749" s="39"/>
      <c r="C749" s="39"/>
      <c r="F749" s="48" t="s">
        <v>20</v>
      </c>
      <c r="G749" s="43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7"/>
      <c r="I749" s="84"/>
      <c r="J749" s="50" t="s">
        <v>62</v>
      </c>
      <c r="K749" s="53">
        <f>K744/$K$2/8*I749</f>
        <v>0</v>
      </c>
      <c r="L749" s="54"/>
      <c r="N749" s="71"/>
      <c r="O749" s="72" t="s">
        <v>49</v>
      </c>
      <c r="P749" s="72"/>
      <c r="Q749" s="72"/>
      <c r="R749" s="72" t="str">
        <f t="shared" si="152"/>
        <v/>
      </c>
      <c r="S749" s="63"/>
      <c r="T749" s="72" t="s">
        <v>49</v>
      </c>
      <c r="U749" s="105">
        <f>IF($J$1="May",Y748,Y748)</f>
        <v>0</v>
      </c>
      <c r="V749" s="74"/>
      <c r="W749" s="105">
        <f t="shared" si="153"/>
        <v>0</v>
      </c>
      <c r="X749" s="74"/>
      <c r="Y749" s="105">
        <f t="shared" si="154"/>
        <v>0</v>
      </c>
      <c r="Z749" s="76"/>
    </row>
    <row r="750" spans="1:27" s="29" customFormat="1" ht="21.4" customHeight="1" x14ac:dyDescent="0.2">
      <c r="A750" s="30"/>
      <c r="B750" s="48" t="s">
        <v>7</v>
      </c>
      <c r="C750" s="39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F750" s="48" t="s">
        <v>65</v>
      </c>
      <c r="G750" s="43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7"/>
      <c r="I750" s="402" t="s">
        <v>69</v>
      </c>
      <c r="J750" s="403"/>
      <c r="K750" s="53">
        <f>K748+K749</f>
        <v>0</v>
      </c>
      <c r="L750" s="54"/>
      <c r="N750" s="71"/>
      <c r="O750" s="72" t="s">
        <v>50</v>
      </c>
      <c r="P750" s="72"/>
      <c r="Q750" s="72"/>
      <c r="R750" s="72" t="str">
        <f t="shared" si="152"/>
        <v/>
      </c>
      <c r="S750" s="63"/>
      <c r="T750" s="72" t="s">
        <v>50</v>
      </c>
      <c r="U750" s="105" t="str">
        <f>IF($J$1="July",Y749,"")</f>
        <v/>
      </c>
      <c r="V750" s="74"/>
      <c r="W750" s="105" t="str">
        <f t="shared" si="153"/>
        <v/>
      </c>
      <c r="X750" s="74"/>
      <c r="Y750" s="105" t="str">
        <f t="shared" si="154"/>
        <v/>
      </c>
      <c r="Z750" s="76"/>
    </row>
    <row r="751" spans="1:27" s="29" customFormat="1" ht="21.4" customHeight="1" x14ac:dyDescent="0.2">
      <c r="A751" s="30"/>
      <c r="B751" s="48" t="s">
        <v>6</v>
      </c>
      <c r="C751" s="39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F751" s="48" t="s">
        <v>21</v>
      </c>
      <c r="G751" s="43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7"/>
      <c r="I751" s="402" t="s">
        <v>70</v>
      </c>
      <c r="J751" s="403"/>
      <c r="K751" s="43">
        <f>G751</f>
        <v>0</v>
      </c>
      <c r="L751" s="55"/>
      <c r="N751" s="71"/>
      <c r="O751" s="72" t="s">
        <v>51</v>
      </c>
      <c r="P751" s="72"/>
      <c r="Q751" s="72"/>
      <c r="R751" s="72" t="str">
        <f t="shared" si="152"/>
        <v/>
      </c>
      <c r="S751" s="63"/>
      <c r="T751" s="72" t="s">
        <v>51</v>
      </c>
      <c r="U751" s="105" t="str">
        <f>IF($J$1="August",Y750,"")</f>
        <v/>
      </c>
      <c r="V751" s="74"/>
      <c r="W751" s="105" t="str">
        <f t="shared" si="153"/>
        <v/>
      </c>
      <c r="X751" s="74"/>
      <c r="Y751" s="105" t="str">
        <f t="shared" si="154"/>
        <v/>
      </c>
      <c r="Z751" s="76"/>
    </row>
    <row r="752" spans="1:27" s="29" customFormat="1" ht="21.4" customHeight="1" x14ac:dyDescent="0.2">
      <c r="A752" s="30"/>
      <c r="B752" s="56" t="s">
        <v>68</v>
      </c>
      <c r="C752" s="39" t="str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/>
      </c>
      <c r="F752" s="48" t="s">
        <v>67</v>
      </c>
      <c r="G752" s="43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I752" s="391" t="s">
        <v>63</v>
      </c>
      <c r="J752" s="393"/>
      <c r="K752" s="57">
        <f>K750-K751</f>
        <v>0</v>
      </c>
      <c r="L752" s="58"/>
      <c r="N752" s="71"/>
      <c r="O752" s="72" t="s">
        <v>56</v>
      </c>
      <c r="P752" s="72"/>
      <c r="Q752" s="72"/>
      <c r="R752" s="72" t="str">
        <f t="shared" si="152"/>
        <v/>
      </c>
      <c r="S752" s="63"/>
      <c r="T752" s="72" t="s">
        <v>56</v>
      </c>
      <c r="U752" s="105" t="str">
        <f>IF($J$1="Sept",Y751,"")</f>
        <v/>
      </c>
      <c r="V752" s="74"/>
      <c r="W752" s="105" t="str">
        <f t="shared" si="153"/>
        <v/>
      </c>
      <c r="X752" s="74"/>
      <c r="Y752" s="105" t="str">
        <f t="shared" si="154"/>
        <v/>
      </c>
      <c r="Z752" s="76"/>
    </row>
    <row r="753" spans="1:27" s="29" customFormat="1" ht="21.4" customHeight="1" x14ac:dyDescent="0.2">
      <c r="A753" s="30"/>
      <c r="L753" s="46"/>
      <c r="N753" s="71"/>
      <c r="O753" s="72" t="s">
        <v>52</v>
      </c>
      <c r="P753" s="72"/>
      <c r="Q753" s="72"/>
      <c r="R753" s="72" t="str">
        <f t="shared" si="152"/>
        <v/>
      </c>
      <c r="S753" s="63"/>
      <c r="T753" s="72" t="s">
        <v>52</v>
      </c>
      <c r="U753" s="105" t="str">
        <f>IF($J$1="October",Y752,"")</f>
        <v/>
      </c>
      <c r="V753" s="74"/>
      <c r="W753" s="105" t="str">
        <f t="shared" si="153"/>
        <v/>
      </c>
      <c r="X753" s="74"/>
      <c r="Y753" s="105" t="str">
        <f t="shared" si="154"/>
        <v/>
      </c>
      <c r="Z753" s="76"/>
    </row>
    <row r="754" spans="1:27" s="29" customFormat="1" ht="21.4" customHeight="1" x14ac:dyDescent="0.2">
      <c r="A754" s="30"/>
      <c r="B754" s="404" t="s">
        <v>85</v>
      </c>
      <c r="C754" s="404"/>
      <c r="D754" s="404"/>
      <c r="E754" s="404"/>
      <c r="F754" s="404"/>
      <c r="G754" s="404"/>
      <c r="H754" s="404"/>
      <c r="I754" s="404"/>
      <c r="J754" s="404"/>
      <c r="K754" s="404"/>
      <c r="L754" s="46"/>
      <c r="N754" s="71"/>
      <c r="O754" s="72" t="s">
        <v>57</v>
      </c>
      <c r="P754" s="72"/>
      <c r="Q754" s="72"/>
      <c r="R754" s="72" t="str">
        <f t="shared" si="152"/>
        <v/>
      </c>
      <c r="S754" s="63"/>
      <c r="T754" s="72" t="s">
        <v>57</v>
      </c>
      <c r="U754" s="105" t="str">
        <f>IF($J$1="November",Y753,"")</f>
        <v/>
      </c>
      <c r="V754" s="74"/>
      <c r="W754" s="105" t="str">
        <f t="shared" si="153"/>
        <v/>
      </c>
      <c r="X754" s="74"/>
      <c r="Y754" s="105" t="str">
        <f t="shared" si="154"/>
        <v/>
      </c>
      <c r="Z754" s="76"/>
    </row>
    <row r="755" spans="1:27" s="29" customFormat="1" ht="21.4" customHeight="1" x14ac:dyDescent="0.2">
      <c r="A755" s="30"/>
      <c r="B755" s="404"/>
      <c r="C755" s="404"/>
      <c r="D755" s="404"/>
      <c r="E755" s="404"/>
      <c r="F755" s="404"/>
      <c r="G755" s="404"/>
      <c r="H755" s="404"/>
      <c r="I755" s="404"/>
      <c r="J755" s="404"/>
      <c r="K755" s="404"/>
      <c r="L755" s="46"/>
      <c r="N755" s="71"/>
      <c r="O755" s="72" t="s">
        <v>58</v>
      </c>
      <c r="P755" s="72"/>
      <c r="Q755" s="72"/>
      <c r="R755" s="72" t="str">
        <f t="shared" si="152"/>
        <v/>
      </c>
      <c r="S755" s="63"/>
      <c r="T755" s="72" t="s">
        <v>58</v>
      </c>
      <c r="U755" s="105" t="str">
        <f>IF($J$1="Dec",Y754,"")</f>
        <v/>
      </c>
      <c r="V755" s="74"/>
      <c r="W755" s="105" t="str">
        <f t="shared" si="153"/>
        <v/>
      </c>
      <c r="X755" s="74"/>
      <c r="Y755" s="105" t="str">
        <f t="shared" si="154"/>
        <v/>
      </c>
      <c r="Z755" s="76"/>
    </row>
    <row r="756" spans="1:27" s="29" customFormat="1" ht="21.4" customHeight="1" thickBot="1" x14ac:dyDescent="0.25">
      <c r="A756" s="5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1"/>
      <c r="N756" s="77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9"/>
    </row>
    <row r="757" spans="1:27" s="29" customFormat="1" ht="21.4" customHeight="1" thickBot="1" x14ac:dyDescent="0.25"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7" s="29" customFormat="1" ht="21.4" customHeight="1" x14ac:dyDescent="0.2">
      <c r="A758" s="428" t="s">
        <v>40</v>
      </c>
      <c r="B758" s="429"/>
      <c r="C758" s="429"/>
      <c r="D758" s="429"/>
      <c r="E758" s="429"/>
      <c r="F758" s="429"/>
      <c r="G758" s="429"/>
      <c r="H758" s="429"/>
      <c r="I758" s="429"/>
      <c r="J758" s="429"/>
      <c r="K758" s="429"/>
      <c r="L758" s="430"/>
      <c r="M758" s="28"/>
      <c r="N758" s="64"/>
      <c r="O758" s="405" t="s">
        <v>42</v>
      </c>
      <c r="P758" s="406"/>
      <c r="Q758" s="406"/>
      <c r="R758" s="407"/>
      <c r="S758" s="65"/>
      <c r="T758" s="405" t="s">
        <v>43</v>
      </c>
      <c r="U758" s="406"/>
      <c r="V758" s="406"/>
      <c r="W758" s="406"/>
      <c r="X758" s="406"/>
      <c r="Y758" s="407"/>
      <c r="Z758" s="66"/>
      <c r="AA758" s="28"/>
    </row>
    <row r="759" spans="1:27" s="29" customFormat="1" ht="21.4" customHeight="1" x14ac:dyDescent="0.2">
      <c r="A759" s="30"/>
      <c r="C759" s="395" t="s">
        <v>83</v>
      </c>
      <c r="D759" s="395"/>
      <c r="E759" s="395"/>
      <c r="F759" s="395"/>
      <c r="G759" s="31" t="str">
        <f>$J$1</f>
        <v>May</v>
      </c>
      <c r="H759" s="394">
        <f>$K$1</f>
        <v>2023</v>
      </c>
      <c r="I759" s="394"/>
      <c r="K759" s="32"/>
      <c r="L759" s="33"/>
      <c r="M759" s="32"/>
      <c r="N759" s="67"/>
      <c r="O759" s="68" t="s">
        <v>53</v>
      </c>
      <c r="P759" s="68" t="s">
        <v>7</v>
      </c>
      <c r="Q759" s="68" t="s">
        <v>6</v>
      </c>
      <c r="R759" s="68" t="s">
        <v>54</v>
      </c>
      <c r="S759" s="69"/>
      <c r="T759" s="68" t="s">
        <v>53</v>
      </c>
      <c r="U759" s="68" t="s">
        <v>55</v>
      </c>
      <c r="V759" s="68" t="s">
        <v>20</v>
      </c>
      <c r="W759" s="68" t="s">
        <v>19</v>
      </c>
      <c r="X759" s="68" t="s">
        <v>21</v>
      </c>
      <c r="Y759" s="68" t="s">
        <v>59</v>
      </c>
      <c r="Z759" s="70"/>
      <c r="AA759" s="32"/>
    </row>
    <row r="760" spans="1:27" s="29" customFormat="1" ht="21.4" customHeight="1" x14ac:dyDescent="0.2">
      <c r="A760" s="30"/>
      <c r="D760" s="35"/>
      <c r="E760" s="35"/>
      <c r="F760" s="35"/>
      <c r="G760" s="35"/>
      <c r="H760" s="35"/>
      <c r="J760" s="36" t="s">
        <v>1</v>
      </c>
      <c r="K760" s="37">
        <v>800</v>
      </c>
      <c r="L760" s="38"/>
      <c r="N760" s="71"/>
      <c r="O760" s="72" t="s">
        <v>45</v>
      </c>
      <c r="P760" s="72"/>
      <c r="Q760" s="72"/>
      <c r="R760" s="72">
        <v>0</v>
      </c>
      <c r="S760" s="73"/>
      <c r="T760" s="72" t="s">
        <v>45</v>
      </c>
      <c r="U760" s="74"/>
      <c r="V760" s="74"/>
      <c r="W760" s="74">
        <f>V760+U760</f>
        <v>0</v>
      </c>
      <c r="X760" s="74"/>
      <c r="Y760" s="74">
        <f>W760-X760</f>
        <v>0</v>
      </c>
      <c r="Z760" s="70"/>
    </row>
    <row r="761" spans="1:27" s="29" customFormat="1" ht="21.4" customHeight="1" x14ac:dyDescent="0.2">
      <c r="A761" s="30"/>
      <c r="B761" s="29" t="s">
        <v>0</v>
      </c>
      <c r="C761" s="40"/>
      <c r="H761" s="41"/>
      <c r="I761" s="35"/>
      <c r="L761" s="42"/>
      <c r="M761" s="28"/>
      <c r="N761" s="75"/>
      <c r="O761" s="72" t="s">
        <v>71</v>
      </c>
      <c r="P761" s="72"/>
      <c r="Q761" s="72"/>
      <c r="R761" s="72" t="str">
        <f>IF(Q761="","",R760-Q761)</f>
        <v/>
      </c>
      <c r="S761" s="63"/>
      <c r="T761" s="72" t="s">
        <v>71</v>
      </c>
      <c r="U761" s="105"/>
      <c r="V761" s="74"/>
      <c r="W761" s="105" t="str">
        <f>IF(U761="","",U761+V761)</f>
        <v/>
      </c>
      <c r="X761" s="74"/>
      <c r="Y761" s="105" t="str">
        <f>IF(W761="","",W761-X761)</f>
        <v/>
      </c>
      <c r="Z761" s="76"/>
      <c r="AA761" s="28"/>
    </row>
    <row r="762" spans="1:27" s="29" customFormat="1" ht="21.4" customHeight="1" x14ac:dyDescent="0.2">
      <c r="A762" s="30"/>
      <c r="B762" s="44" t="s">
        <v>41</v>
      </c>
      <c r="C762" s="45"/>
      <c r="F762" s="411" t="s">
        <v>43</v>
      </c>
      <c r="G762" s="411"/>
      <c r="I762" s="411" t="s">
        <v>44</v>
      </c>
      <c r="J762" s="411"/>
      <c r="K762" s="411"/>
      <c r="L762" s="46"/>
      <c r="N762" s="71"/>
      <c r="O762" s="72" t="s">
        <v>46</v>
      </c>
      <c r="P762" s="72"/>
      <c r="Q762" s="72"/>
      <c r="R762" s="72" t="str">
        <f t="shared" ref="R762:R771" si="155">IF(Q762="","",R761-Q762)</f>
        <v/>
      </c>
      <c r="S762" s="63"/>
      <c r="T762" s="72" t="s">
        <v>46</v>
      </c>
      <c r="U762" s="105"/>
      <c r="V762" s="74"/>
      <c r="W762" s="105" t="str">
        <f t="shared" ref="W762:W771" si="156">IF(U762="","",U762+V762)</f>
        <v/>
      </c>
      <c r="X762" s="74"/>
      <c r="Y762" s="105" t="str">
        <f t="shared" ref="Y762:Y771" si="157">IF(W762="","",W762-X762)</f>
        <v/>
      </c>
      <c r="Z762" s="76"/>
    </row>
    <row r="763" spans="1:27" s="29" customFormat="1" ht="21.4" customHeight="1" x14ac:dyDescent="0.2">
      <c r="A763" s="30"/>
      <c r="H763" s="47"/>
      <c r="L763" s="34"/>
      <c r="N763" s="71"/>
      <c r="O763" s="72" t="s">
        <v>47</v>
      </c>
      <c r="P763" s="72"/>
      <c r="Q763" s="72"/>
      <c r="R763" s="72" t="str">
        <f t="shared" si="155"/>
        <v/>
      </c>
      <c r="S763" s="63"/>
      <c r="T763" s="72" t="s">
        <v>47</v>
      </c>
      <c r="U763" s="105"/>
      <c r="V763" s="74"/>
      <c r="W763" s="105" t="str">
        <f t="shared" si="156"/>
        <v/>
      </c>
      <c r="X763" s="74"/>
      <c r="Y763" s="105" t="str">
        <f t="shared" si="157"/>
        <v/>
      </c>
      <c r="Z763" s="76"/>
    </row>
    <row r="764" spans="1:27" s="29" customFormat="1" ht="21.4" customHeight="1" x14ac:dyDescent="0.2">
      <c r="A764" s="30"/>
      <c r="B764" s="389" t="s">
        <v>42</v>
      </c>
      <c r="C764" s="390"/>
      <c r="F764" s="48" t="s">
        <v>64</v>
      </c>
      <c r="G764" s="43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0</v>
      </c>
      <c r="H764" s="47"/>
      <c r="I764" s="49">
        <v>31</v>
      </c>
      <c r="J764" s="50" t="s">
        <v>61</v>
      </c>
      <c r="K764" s="51">
        <f>K760*I764</f>
        <v>24800</v>
      </c>
      <c r="L764" s="52"/>
      <c r="N764" s="71"/>
      <c r="O764" s="72" t="s">
        <v>48</v>
      </c>
      <c r="P764" s="72"/>
      <c r="Q764" s="72"/>
      <c r="R764" s="72" t="str">
        <f t="shared" si="155"/>
        <v/>
      </c>
      <c r="S764" s="63"/>
      <c r="T764" s="72" t="s">
        <v>48</v>
      </c>
      <c r="U764" s="105"/>
      <c r="V764" s="74"/>
      <c r="W764" s="105" t="str">
        <f t="shared" si="156"/>
        <v/>
      </c>
      <c r="X764" s="74"/>
      <c r="Y764" s="105" t="str">
        <f t="shared" si="157"/>
        <v/>
      </c>
      <c r="Z764" s="76"/>
    </row>
    <row r="765" spans="1:27" s="29" customFormat="1" ht="21.4" customHeight="1" x14ac:dyDescent="0.2">
      <c r="A765" s="30"/>
      <c r="B765" s="39"/>
      <c r="C765" s="39"/>
      <c r="F765" s="48" t="s">
        <v>20</v>
      </c>
      <c r="G765" s="43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7"/>
      <c r="I765" s="49"/>
      <c r="J765" s="50" t="s">
        <v>62</v>
      </c>
      <c r="K765" s="53">
        <f>K760/8*I765</f>
        <v>0</v>
      </c>
      <c r="L765" s="54"/>
      <c r="N765" s="71"/>
      <c r="O765" s="72" t="s">
        <v>49</v>
      </c>
      <c r="P765" s="72"/>
      <c r="Q765" s="72"/>
      <c r="R765" s="72" t="str">
        <f t="shared" si="155"/>
        <v/>
      </c>
      <c r="S765" s="63"/>
      <c r="T765" s="72" t="s">
        <v>49</v>
      </c>
      <c r="U765" s="105"/>
      <c r="V765" s="74"/>
      <c r="W765" s="105" t="str">
        <f t="shared" si="156"/>
        <v/>
      </c>
      <c r="X765" s="74"/>
      <c r="Y765" s="105" t="str">
        <f t="shared" si="157"/>
        <v/>
      </c>
      <c r="Z765" s="76"/>
    </row>
    <row r="766" spans="1:27" s="29" customFormat="1" ht="21.4" customHeight="1" x14ac:dyDescent="0.2">
      <c r="A766" s="30"/>
      <c r="B766" s="48" t="s">
        <v>7</v>
      </c>
      <c r="C766" s="39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0</v>
      </c>
      <c r="F766" s="48" t="s">
        <v>65</v>
      </c>
      <c r="G766" s="43" t="str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/>
      </c>
      <c r="H766" s="47"/>
      <c r="I766" s="402" t="s">
        <v>69</v>
      </c>
      <c r="J766" s="403"/>
      <c r="K766" s="53">
        <f>K764+K765</f>
        <v>24800</v>
      </c>
      <c r="L766" s="54"/>
      <c r="N766" s="71"/>
      <c r="O766" s="72" t="s">
        <v>50</v>
      </c>
      <c r="P766" s="72"/>
      <c r="Q766" s="72"/>
      <c r="R766" s="72" t="str">
        <f t="shared" si="155"/>
        <v/>
      </c>
      <c r="S766" s="63"/>
      <c r="T766" s="72" t="s">
        <v>50</v>
      </c>
      <c r="U766" s="105"/>
      <c r="V766" s="74"/>
      <c r="W766" s="105" t="str">
        <f t="shared" si="156"/>
        <v/>
      </c>
      <c r="X766" s="74"/>
      <c r="Y766" s="105" t="str">
        <f t="shared" si="157"/>
        <v/>
      </c>
      <c r="Z766" s="76"/>
    </row>
    <row r="767" spans="1:27" s="29" customFormat="1" ht="21.4" customHeight="1" x14ac:dyDescent="0.2">
      <c r="A767" s="30"/>
      <c r="B767" s="48" t="s">
        <v>6</v>
      </c>
      <c r="C767" s="39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F767" s="48" t="s">
        <v>21</v>
      </c>
      <c r="G767" s="43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47"/>
      <c r="I767" s="402" t="s">
        <v>70</v>
      </c>
      <c r="J767" s="403"/>
      <c r="K767" s="43">
        <f>G767</f>
        <v>0</v>
      </c>
      <c r="L767" s="55"/>
      <c r="N767" s="71"/>
      <c r="O767" s="72" t="s">
        <v>51</v>
      </c>
      <c r="P767" s="72"/>
      <c r="Q767" s="72"/>
      <c r="R767" s="72" t="str">
        <f t="shared" si="155"/>
        <v/>
      </c>
      <c r="S767" s="63"/>
      <c r="T767" s="72" t="s">
        <v>51</v>
      </c>
      <c r="U767" s="105"/>
      <c r="V767" s="74"/>
      <c r="W767" s="105" t="str">
        <f t="shared" si="156"/>
        <v/>
      </c>
      <c r="X767" s="74"/>
      <c r="Y767" s="105" t="str">
        <f t="shared" si="157"/>
        <v/>
      </c>
      <c r="Z767" s="76"/>
    </row>
    <row r="768" spans="1:27" s="29" customFormat="1" ht="21.4" customHeight="1" x14ac:dyDescent="0.2">
      <c r="A768" s="30"/>
      <c r="B768" s="56" t="s">
        <v>68</v>
      </c>
      <c r="C768" s="39" t="str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/>
      </c>
      <c r="F768" s="48" t="s">
        <v>67</v>
      </c>
      <c r="G768" s="43" t="str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/>
      </c>
      <c r="I768" s="391" t="s">
        <v>63</v>
      </c>
      <c r="J768" s="393"/>
      <c r="K768" s="57"/>
      <c r="L768" s="58"/>
      <c r="N768" s="71"/>
      <c r="O768" s="72" t="s">
        <v>56</v>
      </c>
      <c r="P768" s="72"/>
      <c r="Q768" s="72"/>
      <c r="R768" s="72" t="str">
        <f t="shared" si="155"/>
        <v/>
      </c>
      <c r="S768" s="63"/>
      <c r="T768" s="72" t="s">
        <v>56</v>
      </c>
      <c r="U768" s="105"/>
      <c r="V768" s="74"/>
      <c r="W768" s="105" t="str">
        <f t="shared" si="156"/>
        <v/>
      </c>
      <c r="X768" s="74"/>
      <c r="Y768" s="105" t="str">
        <f t="shared" si="157"/>
        <v/>
      </c>
      <c r="Z768" s="76"/>
    </row>
    <row r="769" spans="1:26" s="29" customFormat="1" ht="21.4" customHeight="1" x14ac:dyDescent="0.2">
      <c r="A769" s="30"/>
      <c r="L769" s="46"/>
      <c r="N769" s="71"/>
      <c r="O769" s="72" t="s">
        <v>52</v>
      </c>
      <c r="P769" s="72"/>
      <c r="Q769" s="72"/>
      <c r="R769" s="72" t="str">
        <f t="shared" si="155"/>
        <v/>
      </c>
      <c r="S769" s="63"/>
      <c r="T769" s="72" t="s">
        <v>52</v>
      </c>
      <c r="U769" s="105"/>
      <c r="V769" s="74"/>
      <c r="W769" s="105" t="str">
        <f t="shared" si="156"/>
        <v/>
      </c>
      <c r="X769" s="74"/>
      <c r="Y769" s="105" t="str">
        <f t="shared" si="157"/>
        <v/>
      </c>
      <c r="Z769" s="76"/>
    </row>
    <row r="770" spans="1:26" s="29" customFormat="1" ht="21.4" customHeight="1" x14ac:dyDescent="0.2">
      <c r="A770" s="30"/>
      <c r="B770" s="404" t="s">
        <v>85</v>
      </c>
      <c r="C770" s="404"/>
      <c r="D770" s="404"/>
      <c r="E770" s="404"/>
      <c r="F770" s="404"/>
      <c r="G770" s="404"/>
      <c r="H770" s="404"/>
      <c r="I770" s="404"/>
      <c r="J770" s="404"/>
      <c r="K770" s="404"/>
      <c r="L770" s="46"/>
      <c r="N770" s="71"/>
      <c r="O770" s="72" t="s">
        <v>57</v>
      </c>
      <c r="P770" s="72"/>
      <c r="Q770" s="72"/>
      <c r="R770" s="72" t="str">
        <f t="shared" si="155"/>
        <v/>
      </c>
      <c r="S770" s="63"/>
      <c r="T770" s="72" t="s">
        <v>57</v>
      </c>
      <c r="U770" s="105"/>
      <c r="V770" s="74"/>
      <c r="W770" s="105" t="str">
        <f t="shared" si="156"/>
        <v/>
      </c>
      <c r="X770" s="74"/>
      <c r="Y770" s="105" t="str">
        <f t="shared" si="157"/>
        <v/>
      </c>
      <c r="Z770" s="76"/>
    </row>
    <row r="771" spans="1:26" s="29" customFormat="1" ht="21.4" customHeight="1" x14ac:dyDescent="0.2">
      <c r="A771" s="30"/>
      <c r="B771" s="404"/>
      <c r="C771" s="404"/>
      <c r="D771" s="404"/>
      <c r="E771" s="404"/>
      <c r="F771" s="404"/>
      <c r="G771" s="404"/>
      <c r="H771" s="404"/>
      <c r="I771" s="404"/>
      <c r="J771" s="404"/>
      <c r="K771" s="404"/>
      <c r="L771" s="46"/>
      <c r="N771" s="71"/>
      <c r="O771" s="72" t="s">
        <v>58</v>
      </c>
      <c r="P771" s="72"/>
      <c r="Q771" s="72"/>
      <c r="R771" s="72" t="str">
        <f t="shared" si="155"/>
        <v/>
      </c>
      <c r="S771" s="63"/>
      <c r="T771" s="72" t="s">
        <v>58</v>
      </c>
      <c r="U771" s="105"/>
      <c r="V771" s="74"/>
      <c r="W771" s="105" t="str">
        <f t="shared" si="156"/>
        <v/>
      </c>
      <c r="X771" s="74"/>
      <c r="Y771" s="105" t="str">
        <f t="shared" si="157"/>
        <v/>
      </c>
      <c r="Z771" s="76"/>
    </row>
    <row r="772" spans="1:26" s="29" customFormat="1" ht="21.4" customHeight="1" thickBot="1" x14ac:dyDescent="0.25">
      <c r="A772" s="5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1"/>
      <c r="N772" s="77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9"/>
    </row>
    <row r="773" spans="1:26" s="29" customFormat="1" ht="21.4" customHeight="1" x14ac:dyDescent="0.2">
      <c r="A773" s="425" t="s">
        <v>40</v>
      </c>
      <c r="B773" s="426"/>
      <c r="C773" s="426"/>
      <c r="D773" s="426"/>
      <c r="E773" s="426"/>
      <c r="F773" s="426"/>
      <c r="G773" s="426"/>
      <c r="H773" s="426"/>
      <c r="I773" s="426"/>
      <c r="J773" s="426"/>
      <c r="K773" s="426"/>
      <c r="L773" s="427"/>
      <c r="M773" s="28"/>
      <c r="N773" s="64"/>
      <c r="O773" s="405" t="s">
        <v>42</v>
      </c>
      <c r="P773" s="406"/>
      <c r="Q773" s="406"/>
      <c r="R773" s="407"/>
      <c r="S773" s="65"/>
      <c r="T773" s="405" t="s">
        <v>43</v>
      </c>
      <c r="U773" s="406"/>
      <c r="V773" s="406"/>
      <c r="W773" s="406"/>
      <c r="X773" s="406"/>
      <c r="Y773" s="407"/>
      <c r="Z773" s="63"/>
    </row>
    <row r="774" spans="1:26" s="29" customFormat="1" ht="21.4" customHeight="1" x14ac:dyDescent="0.2">
      <c r="A774" s="30"/>
      <c r="C774" s="395" t="s">
        <v>83</v>
      </c>
      <c r="D774" s="395"/>
      <c r="E774" s="395"/>
      <c r="F774" s="395"/>
      <c r="G774" s="31" t="str">
        <f>$J$1</f>
        <v>May</v>
      </c>
      <c r="H774" s="394">
        <f>$K$1</f>
        <v>2023</v>
      </c>
      <c r="I774" s="394"/>
      <c r="K774" s="32"/>
      <c r="L774" s="33"/>
      <c r="M774" s="32"/>
      <c r="N774" s="67"/>
      <c r="O774" s="68" t="s">
        <v>53</v>
      </c>
      <c r="P774" s="68" t="s">
        <v>7</v>
      </c>
      <c r="Q774" s="68" t="s">
        <v>6</v>
      </c>
      <c r="R774" s="68" t="s">
        <v>54</v>
      </c>
      <c r="S774" s="69"/>
      <c r="T774" s="68" t="s">
        <v>53</v>
      </c>
      <c r="U774" s="68" t="s">
        <v>55</v>
      </c>
      <c r="V774" s="68" t="s">
        <v>20</v>
      </c>
      <c r="W774" s="68" t="s">
        <v>19</v>
      </c>
      <c r="X774" s="68" t="s">
        <v>21</v>
      </c>
      <c r="Y774" s="68" t="s">
        <v>59</v>
      </c>
      <c r="Z774" s="63"/>
    </row>
    <row r="775" spans="1:26" s="29" customFormat="1" ht="21.4" customHeight="1" x14ac:dyDescent="0.2">
      <c r="A775" s="30"/>
      <c r="D775" s="35"/>
      <c r="E775" s="35"/>
      <c r="F775" s="35"/>
      <c r="G775" s="35"/>
      <c r="H775" s="35"/>
      <c r="J775" s="36" t="s">
        <v>1</v>
      </c>
      <c r="K775" s="37"/>
      <c r="L775" s="38"/>
      <c r="N775" s="71"/>
      <c r="O775" s="72" t="s">
        <v>45</v>
      </c>
      <c r="P775" s="72"/>
      <c r="Q775" s="72"/>
      <c r="R775" s="72">
        <v>0</v>
      </c>
      <c r="S775" s="73"/>
      <c r="T775" s="72" t="s">
        <v>45</v>
      </c>
      <c r="U775" s="74"/>
      <c r="V775" s="74"/>
      <c r="W775" s="74">
        <f>V775+U775</f>
        <v>0</v>
      </c>
      <c r="X775" s="74"/>
      <c r="Y775" s="74">
        <f>W775-X775</f>
        <v>0</v>
      </c>
      <c r="Z775" s="63"/>
    </row>
    <row r="776" spans="1:26" s="29" customFormat="1" ht="21.4" customHeight="1" x14ac:dyDescent="0.2">
      <c r="A776" s="30"/>
      <c r="B776" s="29" t="s">
        <v>0</v>
      </c>
      <c r="C776" s="40"/>
      <c r="H776" s="41"/>
      <c r="I776" s="35"/>
      <c r="L776" s="42"/>
      <c r="M776" s="28"/>
      <c r="N776" s="75"/>
      <c r="O776" s="72" t="s">
        <v>71</v>
      </c>
      <c r="P776" s="72"/>
      <c r="Q776" s="72"/>
      <c r="R776" s="72">
        <v>0</v>
      </c>
      <c r="S776" s="63"/>
      <c r="T776" s="72" t="s">
        <v>71</v>
      </c>
      <c r="U776" s="105">
        <f>Y775</f>
        <v>0</v>
      </c>
      <c r="V776" s="74"/>
      <c r="W776" s="105">
        <f>IF(U776="","",U776+V776)</f>
        <v>0</v>
      </c>
      <c r="X776" s="74"/>
      <c r="Y776" s="105">
        <f>IF(W776="","",W776-X776)</f>
        <v>0</v>
      </c>
      <c r="Z776" s="63"/>
    </row>
    <row r="777" spans="1:26" s="29" customFormat="1" ht="21.4" customHeight="1" x14ac:dyDescent="0.2">
      <c r="A777" s="30"/>
      <c r="B777" s="44" t="s">
        <v>41</v>
      </c>
      <c r="C777" s="45"/>
      <c r="F777" s="411" t="s">
        <v>43</v>
      </c>
      <c r="G777" s="411"/>
      <c r="I777" s="411" t="s">
        <v>44</v>
      </c>
      <c r="J777" s="411"/>
      <c r="K777" s="411"/>
      <c r="L777" s="46"/>
      <c r="N777" s="71"/>
      <c r="O777" s="72" t="s">
        <v>46</v>
      </c>
      <c r="P777" s="72"/>
      <c r="Q777" s="72"/>
      <c r="R777" s="72">
        <v>0</v>
      </c>
      <c r="S777" s="63"/>
      <c r="T777" s="72" t="s">
        <v>46</v>
      </c>
      <c r="U777" s="105">
        <f>IF($J$1="April",Y776,Y776)</f>
        <v>0</v>
      </c>
      <c r="V777" s="74"/>
      <c r="W777" s="105">
        <f t="shared" ref="W777:W786" si="158">IF(U777="","",U777+V777)</f>
        <v>0</v>
      </c>
      <c r="X777" s="74"/>
      <c r="Y777" s="105">
        <f t="shared" ref="Y777:Y786" si="159">IF(W777="","",W777-X777)</f>
        <v>0</v>
      </c>
      <c r="Z777" s="63"/>
    </row>
    <row r="778" spans="1:26" s="29" customFormat="1" ht="21.4" customHeight="1" x14ac:dyDescent="0.2">
      <c r="A778" s="30"/>
      <c r="H778" s="47"/>
      <c r="L778" s="34"/>
      <c r="N778" s="71"/>
      <c r="O778" s="72" t="s">
        <v>47</v>
      </c>
      <c r="P778" s="72"/>
      <c r="Q778" s="72"/>
      <c r="R778" s="72" t="str">
        <f t="shared" ref="R778:R786" si="160">IF(Q778="","",R777-Q778)</f>
        <v/>
      </c>
      <c r="S778" s="63"/>
      <c r="T778" s="72" t="s">
        <v>47</v>
      </c>
      <c r="U778" s="105">
        <f>IF($J$1="April",Y777,Y777)</f>
        <v>0</v>
      </c>
      <c r="V778" s="74"/>
      <c r="W778" s="105">
        <f t="shared" si="158"/>
        <v>0</v>
      </c>
      <c r="X778" s="74"/>
      <c r="Y778" s="105">
        <f t="shared" si="159"/>
        <v>0</v>
      </c>
      <c r="Z778" s="63"/>
    </row>
    <row r="779" spans="1:26" s="29" customFormat="1" ht="21.4" customHeight="1" x14ac:dyDescent="0.2">
      <c r="A779" s="30"/>
      <c r="B779" s="389" t="s">
        <v>42</v>
      </c>
      <c r="C779" s="390"/>
      <c r="F779" s="48" t="s">
        <v>64</v>
      </c>
      <c r="G779" s="43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7"/>
      <c r="I779" s="49"/>
      <c r="J779" s="50" t="s">
        <v>61</v>
      </c>
      <c r="K779" s="51">
        <f>K775/$K$2*I779</f>
        <v>0</v>
      </c>
      <c r="L779" s="52"/>
      <c r="N779" s="71"/>
      <c r="O779" s="72" t="s">
        <v>48</v>
      </c>
      <c r="P779" s="72"/>
      <c r="Q779" s="72"/>
      <c r="R779" s="72" t="str">
        <f t="shared" si="160"/>
        <v/>
      </c>
      <c r="S779" s="63"/>
      <c r="T779" s="72" t="s">
        <v>48</v>
      </c>
      <c r="U779" s="105">
        <f>IF($J$1="May",Y778,Y778)</f>
        <v>0</v>
      </c>
      <c r="V779" s="74"/>
      <c r="W779" s="105">
        <f t="shared" si="158"/>
        <v>0</v>
      </c>
      <c r="X779" s="74"/>
      <c r="Y779" s="105">
        <f t="shared" si="159"/>
        <v>0</v>
      </c>
      <c r="Z779" s="63"/>
    </row>
    <row r="780" spans="1:26" s="29" customFormat="1" ht="21.4" customHeight="1" x14ac:dyDescent="0.2">
      <c r="A780" s="30"/>
      <c r="B780" s="39"/>
      <c r="C780" s="39"/>
      <c r="F780" s="48" t="s">
        <v>20</v>
      </c>
      <c r="G780" s="43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7"/>
      <c r="I780" s="84"/>
      <c r="J780" s="50" t="s">
        <v>62</v>
      </c>
      <c r="K780" s="53">
        <f>K775/$K$2/8*I780</f>
        <v>0</v>
      </c>
      <c r="L780" s="54"/>
      <c r="N780" s="71"/>
      <c r="O780" s="72" t="s">
        <v>49</v>
      </c>
      <c r="P780" s="72"/>
      <c r="Q780" s="72"/>
      <c r="R780" s="72" t="str">
        <f t="shared" si="160"/>
        <v/>
      </c>
      <c r="S780" s="63"/>
      <c r="T780" s="72" t="s">
        <v>49</v>
      </c>
      <c r="U780" s="105">
        <f>IF($J$1="May",Y779,Y779)</f>
        <v>0</v>
      </c>
      <c r="V780" s="74"/>
      <c r="W780" s="105">
        <f t="shared" si="158"/>
        <v>0</v>
      </c>
      <c r="X780" s="74"/>
      <c r="Y780" s="105">
        <f t="shared" si="159"/>
        <v>0</v>
      </c>
      <c r="Z780" s="63"/>
    </row>
    <row r="781" spans="1:26" s="29" customFormat="1" ht="21.4" customHeight="1" x14ac:dyDescent="0.2">
      <c r="A781" s="30"/>
      <c r="B781" s="48" t="s">
        <v>7</v>
      </c>
      <c r="C781" s="39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0</v>
      </c>
      <c r="F781" s="48" t="s">
        <v>65</v>
      </c>
      <c r="G781" s="43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0</v>
      </c>
      <c r="H781" s="47"/>
      <c r="I781" s="402" t="s">
        <v>69</v>
      </c>
      <c r="J781" s="403"/>
      <c r="K781" s="53">
        <f>K779+K780</f>
        <v>0</v>
      </c>
      <c r="L781" s="54"/>
      <c r="N781" s="71"/>
      <c r="O781" s="72" t="s">
        <v>50</v>
      </c>
      <c r="P781" s="72"/>
      <c r="Q781" s="72"/>
      <c r="R781" s="72" t="str">
        <f t="shared" si="160"/>
        <v/>
      </c>
      <c r="S781" s="63"/>
      <c r="T781" s="72" t="s">
        <v>50</v>
      </c>
      <c r="U781" s="105" t="str">
        <f>IF($J$1="July",Y780,"")</f>
        <v/>
      </c>
      <c r="V781" s="74"/>
      <c r="W781" s="105" t="str">
        <f t="shared" si="158"/>
        <v/>
      </c>
      <c r="X781" s="74"/>
      <c r="Y781" s="105" t="str">
        <f t="shared" si="159"/>
        <v/>
      </c>
      <c r="Z781" s="63"/>
    </row>
    <row r="782" spans="1:26" s="29" customFormat="1" ht="21.4" customHeight="1" x14ac:dyDescent="0.2">
      <c r="A782" s="30"/>
      <c r="B782" s="48" t="s">
        <v>6</v>
      </c>
      <c r="C782" s="39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F782" s="48" t="s">
        <v>21</v>
      </c>
      <c r="G782" s="43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7"/>
      <c r="I782" s="402" t="s">
        <v>70</v>
      </c>
      <c r="J782" s="403"/>
      <c r="K782" s="43">
        <f>G782</f>
        <v>0</v>
      </c>
      <c r="L782" s="55"/>
      <c r="N782" s="71"/>
      <c r="O782" s="72" t="s">
        <v>51</v>
      </c>
      <c r="P782" s="72"/>
      <c r="Q782" s="72"/>
      <c r="R782" s="72" t="str">
        <f t="shared" si="160"/>
        <v/>
      </c>
      <c r="S782" s="63"/>
      <c r="T782" s="72" t="s">
        <v>51</v>
      </c>
      <c r="U782" s="105" t="str">
        <f>IF($J$1="August",Y781,"")</f>
        <v/>
      </c>
      <c r="V782" s="74"/>
      <c r="W782" s="105" t="str">
        <f t="shared" si="158"/>
        <v/>
      </c>
      <c r="X782" s="74"/>
      <c r="Y782" s="105" t="str">
        <f t="shared" si="159"/>
        <v/>
      </c>
      <c r="Z782" s="63"/>
    </row>
    <row r="783" spans="1:26" s="29" customFormat="1" ht="21.4" customHeight="1" x14ac:dyDescent="0.2">
      <c r="A783" s="30"/>
      <c r="B783" s="56" t="s">
        <v>68</v>
      </c>
      <c r="C783" s="39" t="str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/>
      </c>
      <c r="F783" s="48" t="s">
        <v>67</v>
      </c>
      <c r="G783" s="43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0</v>
      </c>
      <c r="I783" s="391" t="s">
        <v>63</v>
      </c>
      <c r="J783" s="393"/>
      <c r="K783" s="57">
        <f>K781-K782</f>
        <v>0</v>
      </c>
      <c r="L783" s="58"/>
      <c r="N783" s="71"/>
      <c r="O783" s="72" t="s">
        <v>56</v>
      </c>
      <c r="P783" s="72"/>
      <c r="Q783" s="72"/>
      <c r="R783" s="72" t="str">
        <f t="shared" si="160"/>
        <v/>
      </c>
      <c r="S783" s="63"/>
      <c r="T783" s="72" t="s">
        <v>56</v>
      </c>
      <c r="U783" s="105" t="str">
        <f>IF($J$1="Sept",Y782,"")</f>
        <v/>
      </c>
      <c r="V783" s="74"/>
      <c r="W783" s="105" t="str">
        <f t="shared" si="158"/>
        <v/>
      </c>
      <c r="X783" s="74"/>
      <c r="Y783" s="105" t="str">
        <f t="shared" si="159"/>
        <v/>
      </c>
      <c r="Z783" s="63"/>
    </row>
    <row r="784" spans="1:26" s="29" customFormat="1" ht="21.4" customHeight="1" x14ac:dyDescent="0.2">
      <c r="A784" s="30"/>
      <c r="L784" s="46"/>
      <c r="N784" s="71"/>
      <c r="O784" s="72" t="s">
        <v>52</v>
      </c>
      <c r="P784" s="72"/>
      <c r="Q784" s="72"/>
      <c r="R784" s="72" t="str">
        <f t="shared" si="160"/>
        <v/>
      </c>
      <c r="S784" s="63"/>
      <c r="T784" s="72" t="s">
        <v>52</v>
      </c>
      <c r="U784" s="105" t="str">
        <f>IF($J$1="October",Y783,"")</f>
        <v/>
      </c>
      <c r="V784" s="74"/>
      <c r="W784" s="105" t="str">
        <f t="shared" si="158"/>
        <v/>
      </c>
      <c r="X784" s="74"/>
      <c r="Y784" s="105" t="str">
        <f t="shared" si="159"/>
        <v/>
      </c>
      <c r="Z784" s="63"/>
    </row>
    <row r="785" spans="1:27" s="29" customFormat="1" ht="21.4" customHeight="1" x14ac:dyDescent="0.2">
      <c r="A785" s="30"/>
      <c r="B785" s="404" t="s">
        <v>85</v>
      </c>
      <c r="C785" s="404"/>
      <c r="D785" s="404"/>
      <c r="E785" s="404"/>
      <c r="F785" s="404"/>
      <c r="G785" s="404"/>
      <c r="H785" s="404"/>
      <c r="I785" s="404"/>
      <c r="J785" s="404"/>
      <c r="K785" s="404"/>
      <c r="L785" s="46"/>
      <c r="N785" s="71"/>
      <c r="O785" s="72" t="s">
        <v>57</v>
      </c>
      <c r="P785" s="72"/>
      <c r="Q785" s="72"/>
      <c r="R785" s="72" t="str">
        <f t="shared" si="160"/>
        <v/>
      </c>
      <c r="S785" s="63"/>
      <c r="T785" s="72" t="s">
        <v>57</v>
      </c>
      <c r="U785" s="105" t="str">
        <f>IF($J$1="November",Y784,"")</f>
        <v/>
      </c>
      <c r="V785" s="74"/>
      <c r="W785" s="105" t="str">
        <f t="shared" si="158"/>
        <v/>
      </c>
      <c r="X785" s="74"/>
      <c r="Y785" s="105" t="str">
        <f t="shared" si="159"/>
        <v/>
      </c>
      <c r="Z785" s="63"/>
    </row>
    <row r="786" spans="1:27" s="29" customFormat="1" ht="21.4" customHeight="1" x14ac:dyDescent="0.2">
      <c r="A786" s="30"/>
      <c r="B786" s="404"/>
      <c r="C786" s="404"/>
      <c r="D786" s="404"/>
      <c r="E786" s="404"/>
      <c r="F786" s="404"/>
      <c r="G786" s="404"/>
      <c r="H786" s="404"/>
      <c r="I786" s="404"/>
      <c r="J786" s="404"/>
      <c r="K786" s="404"/>
      <c r="L786" s="46"/>
      <c r="N786" s="71"/>
      <c r="O786" s="72" t="s">
        <v>58</v>
      </c>
      <c r="P786" s="72"/>
      <c r="Q786" s="72"/>
      <c r="R786" s="72" t="str">
        <f t="shared" si="160"/>
        <v/>
      </c>
      <c r="S786" s="63"/>
      <c r="T786" s="72" t="s">
        <v>58</v>
      </c>
      <c r="U786" s="105" t="str">
        <f>IF($J$1="Dec",Y785,"")</f>
        <v/>
      </c>
      <c r="V786" s="74"/>
      <c r="W786" s="105" t="str">
        <f t="shared" si="158"/>
        <v/>
      </c>
      <c r="X786" s="74"/>
      <c r="Y786" s="105" t="str">
        <f t="shared" si="159"/>
        <v/>
      </c>
      <c r="Z786" s="63"/>
    </row>
    <row r="787" spans="1:27" s="29" customFormat="1" ht="21.4" customHeight="1" thickBot="1" x14ac:dyDescent="0.25">
      <c r="A787" s="5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1"/>
      <c r="N787" s="77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63"/>
    </row>
    <row r="788" spans="1:27" ht="21.4" customHeight="1" thickBot="1" x14ac:dyDescent="0.3"/>
    <row r="789" spans="1:27" s="29" customFormat="1" ht="21.4" customHeight="1" x14ac:dyDescent="0.2">
      <c r="A789" s="417" t="s">
        <v>40</v>
      </c>
      <c r="B789" s="418"/>
      <c r="C789" s="418"/>
      <c r="D789" s="418"/>
      <c r="E789" s="418"/>
      <c r="F789" s="418"/>
      <c r="G789" s="418"/>
      <c r="H789" s="418"/>
      <c r="I789" s="418"/>
      <c r="J789" s="418"/>
      <c r="K789" s="418"/>
      <c r="L789" s="419"/>
      <c r="M789" s="28"/>
      <c r="N789" s="64"/>
      <c r="O789" s="405" t="s">
        <v>42</v>
      </c>
      <c r="P789" s="406"/>
      <c r="Q789" s="406"/>
      <c r="R789" s="407"/>
      <c r="S789" s="65"/>
      <c r="T789" s="405" t="s">
        <v>43</v>
      </c>
      <c r="U789" s="406"/>
      <c r="V789" s="406"/>
      <c r="W789" s="406"/>
      <c r="X789" s="406"/>
      <c r="Y789" s="407"/>
      <c r="Z789" s="66"/>
      <c r="AA789" s="28"/>
    </row>
    <row r="790" spans="1:27" s="29" customFormat="1" ht="21.4" customHeight="1" x14ac:dyDescent="0.2">
      <c r="A790" s="30"/>
      <c r="C790" s="395" t="s">
        <v>83</v>
      </c>
      <c r="D790" s="395"/>
      <c r="E790" s="395"/>
      <c r="F790" s="395"/>
      <c r="G790" s="31" t="str">
        <f>$J$1</f>
        <v>May</v>
      </c>
      <c r="H790" s="394">
        <f>$K$1</f>
        <v>2023</v>
      </c>
      <c r="I790" s="394"/>
      <c r="K790" s="32"/>
      <c r="L790" s="33"/>
      <c r="M790" s="32"/>
      <c r="N790" s="67"/>
      <c r="O790" s="68" t="s">
        <v>53</v>
      </c>
      <c r="P790" s="68" t="s">
        <v>7</v>
      </c>
      <c r="Q790" s="68" t="s">
        <v>6</v>
      </c>
      <c r="R790" s="68" t="s">
        <v>54</v>
      </c>
      <c r="S790" s="69"/>
      <c r="T790" s="68" t="s">
        <v>53</v>
      </c>
      <c r="U790" s="68" t="s">
        <v>55</v>
      </c>
      <c r="V790" s="68" t="s">
        <v>20</v>
      </c>
      <c r="W790" s="68" t="s">
        <v>19</v>
      </c>
      <c r="X790" s="68" t="s">
        <v>21</v>
      </c>
      <c r="Y790" s="68" t="s">
        <v>59</v>
      </c>
      <c r="Z790" s="70"/>
      <c r="AA790" s="32"/>
    </row>
    <row r="791" spans="1:27" s="29" customFormat="1" ht="21.4" customHeight="1" x14ac:dyDescent="0.2">
      <c r="A791" s="30"/>
      <c r="D791" s="35"/>
      <c r="E791" s="35"/>
      <c r="F791" s="35"/>
      <c r="G791" s="35"/>
      <c r="H791" s="35"/>
      <c r="J791" s="36" t="s">
        <v>1</v>
      </c>
      <c r="K791" s="37"/>
      <c r="L791" s="38"/>
      <c r="N791" s="71"/>
      <c r="O791" s="72" t="s">
        <v>45</v>
      </c>
      <c r="P791" s="72"/>
      <c r="Q791" s="72"/>
      <c r="R791" s="72">
        <v>0</v>
      </c>
      <c r="S791" s="73"/>
      <c r="T791" s="72" t="s">
        <v>45</v>
      </c>
      <c r="U791" s="74"/>
      <c r="V791" s="74"/>
      <c r="W791" s="74">
        <f>V791+U791</f>
        <v>0</v>
      </c>
      <c r="X791" s="74"/>
      <c r="Y791" s="74">
        <f>W791-X791</f>
        <v>0</v>
      </c>
      <c r="Z791" s="70"/>
    </row>
    <row r="792" spans="1:27" s="29" customFormat="1" ht="21.4" customHeight="1" x14ac:dyDescent="0.2">
      <c r="A792" s="30"/>
      <c r="B792" s="29" t="s">
        <v>0</v>
      </c>
      <c r="C792" s="40"/>
      <c r="H792" s="41"/>
      <c r="I792" s="35"/>
      <c r="L792" s="42"/>
      <c r="M792" s="28"/>
      <c r="N792" s="75"/>
      <c r="O792" s="72" t="s">
        <v>71</v>
      </c>
      <c r="P792" s="72"/>
      <c r="Q792" s="72"/>
      <c r="R792" s="72">
        <v>0</v>
      </c>
      <c r="S792" s="63"/>
      <c r="T792" s="72" t="s">
        <v>71</v>
      </c>
      <c r="U792" s="105">
        <f>Y791</f>
        <v>0</v>
      </c>
      <c r="V792" s="74"/>
      <c r="W792" s="105">
        <f>IF(U792="","",U792+V792)</f>
        <v>0</v>
      </c>
      <c r="X792" s="74"/>
      <c r="Y792" s="105">
        <f>IF(W792="","",W792-X792)</f>
        <v>0</v>
      </c>
      <c r="Z792" s="76"/>
      <c r="AA792" s="28"/>
    </row>
    <row r="793" spans="1:27" s="29" customFormat="1" ht="21.4" customHeight="1" x14ac:dyDescent="0.2">
      <c r="A793" s="30"/>
      <c r="B793" s="44" t="s">
        <v>41</v>
      </c>
      <c r="C793" s="45"/>
      <c r="F793" s="391" t="s">
        <v>43</v>
      </c>
      <c r="G793" s="393"/>
      <c r="I793" s="391" t="s">
        <v>44</v>
      </c>
      <c r="J793" s="392"/>
      <c r="K793" s="393"/>
      <c r="L793" s="46"/>
      <c r="N793" s="71"/>
      <c r="O793" s="72" t="s">
        <v>46</v>
      </c>
      <c r="P793" s="72"/>
      <c r="Q793" s="72"/>
      <c r="R793" s="72" t="str">
        <f>IF(Q793="","",R792-Q793)</f>
        <v/>
      </c>
      <c r="S793" s="63"/>
      <c r="T793" s="72" t="s">
        <v>46</v>
      </c>
      <c r="U793" s="105">
        <f>IF($J$1="April",Y792,Y792)</f>
        <v>0</v>
      </c>
      <c r="V793" s="74"/>
      <c r="W793" s="105">
        <f t="shared" ref="W793:W802" si="161">IF(U793="","",U793+V793)</f>
        <v>0</v>
      </c>
      <c r="X793" s="74"/>
      <c r="Y793" s="105">
        <f t="shared" ref="Y793:Y802" si="162">IF(W793="","",W793-X793)</f>
        <v>0</v>
      </c>
      <c r="Z793" s="76"/>
    </row>
    <row r="794" spans="1:27" s="29" customFormat="1" ht="21.4" customHeight="1" x14ac:dyDescent="0.2">
      <c r="A794" s="30"/>
      <c r="H794" s="47"/>
      <c r="L794" s="34"/>
      <c r="N794" s="71"/>
      <c r="O794" s="72" t="s">
        <v>47</v>
      </c>
      <c r="P794" s="72"/>
      <c r="Q794" s="72"/>
      <c r="R794" s="72">
        <v>0</v>
      </c>
      <c r="S794" s="63"/>
      <c r="T794" s="72" t="s">
        <v>47</v>
      </c>
      <c r="U794" s="105">
        <f>IF($J$1="April",Y793,Y793)</f>
        <v>0</v>
      </c>
      <c r="V794" s="74"/>
      <c r="W794" s="105">
        <f t="shared" si="161"/>
        <v>0</v>
      </c>
      <c r="X794" s="74"/>
      <c r="Y794" s="105">
        <f t="shared" si="162"/>
        <v>0</v>
      </c>
      <c r="Z794" s="76"/>
    </row>
    <row r="795" spans="1:27" s="29" customFormat="1" ht="21.4" customHeight="1" x14ac:dyDescent="0.2">
      <c r="A795" s="30"/>
      <c r="B795" s="389" t="s">
        <v>42</v>
      </c>
      <c r="C795" s="390"/>
      <c r="F795" s="48" t="s">
        <v>64</v>
      </c>
      <c r="G795" s="43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7"/>
      <c r="I795" s="49"/>
      <c r="J795" s="50" t="s">
        <v>61</v>
      </c>
      <c r="K795" s="51">
        <f>K791/$K$2*I795</f>
        <v>0</v>
      </c>
      <c r="L795" s="52"/>
      <c r="N795" s="71"/>
      <c r="O795" s="72" t="s">
        <v>48</v>
      </c>
      <c r="P795" s="72"/>
      <c r="Q795" s="72"/>
      <c r="R795" s="72">
        <v>0</v>
      </c>
      <c r="S795" s="63"/>
      <c r="T795" s="72" t="s">
        <v>48</v>
      </c>
      <c r="U795" s="105">
        <f>IF($J$1="May",Y794,Y794)</f>
        <v>0</v>
      </c>
      <c r="V795" s="74"/>
      <c r="W795" s="105">
        <f t="shared" si="161"/>
        <v>0</v>
      </c>
      <c r="X795" s="74"/>
      <c r="Y795" s="105">
        <f t="shared" si="162"/>
        <v>0</v>
      </c>
      <c r="Z795" s="76"/>
    </row>
    <row r="796" spans="1:27" s="29" customFormat="1" ht="21.4" customHeight="1" x14ac:dyDescent="0.2">
      <c r="A796" s="30"/>
      <c r="B796" s="39"/>
      <c r="C796" s="39"/>
      <c r="F796" s="48" t="s">
        <v>20</v>
      </c>
      <c r="G796" s="43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7"/>
      <c r="I796" s="108"/>
      <c r="J796" s="50" t="s">
        <v>62</v>
      </c>
      <c r="K796" s="53">
        <f>K791/$K$2/8*I796</f>
        <v>0</v>
      </c>
      <c r="L796" s="54"/>
      <c r="N796" s="71"/>
      <c r="O796" s="72" t="s">
        <v>49</v>
      </c>
      <c r="P796" s="72"/>
      <c r="Q796" s="72"/>
      <c r="R796" s="72">
        <v>0</v>
      </c>
      <c r="S796" s="63"/>
      <c r="T796" s="72" t="s">
        <v>49</v>
      </c>
      <c r="U796" s="105">
        <f>IF($J$1="May",Y795,Y795)</f>
        <v>0</v>
      </c>
      <c r="V796" s="74"/>
      <c r="W796" s="105">
        <f t="shared" si="161"/>
        <v>0</v>
      </c>
      <c r="X796" s="74"/>
      <c r="Y796" s="105">
        <f t="shared" si="162"/>
        <v>0</v>
      </c>
      <c r="Z796" s="76"/>
    </row>
    <row r="797" spans="1:27" s="29" customFormat="1" ht="21.4" customHeight="1" x14ac:dyDescent="0.2">
      <c r="A797" s="30"/>
      <c r="B797" s="48" t="s">
        <v>7</v>
      </c>
      <c r="C797" s="39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0</v>
      </c>
      <c r="F797" s="48" t="s">
        <v>65</v>
      </c>
      <c r="G797" s="43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7"/>
      <c r="I797" s="402" t="s">
        <v>69</v>
      </c>
      <c r="J797" s="403"/>
      <c r="K797" s="53">
        <f>K795+K796</f>
        <v>0</v>
      </c>
      <c r="L797" s="54"/>
      <c r="N797" s="71"/>
      <c r="O797" s="72" t="s">
        <v>50</v>
      </c>
      <c r="P797" s="72"/>
      <c r="Q797" s="72"/>
      <c r="R797" s="72">
        <v>0</v>
      </c>
      <c r="S797" s="63"/>
      <c r="T797" s="72" t="s">
        <v>50</v>
      </c>
      <c r="U797" s="105" t="str">
        <f>IF($J$1="July",Y796,"")</f>
        <v/>
      </c>
      <c r="V797" s="74"/>
      <c r="W797" s="105" t="str">
        <f t="shared" si="161"/>
        <v/>
      </c>
      <c r="X797" s="74"/>
      <c r="Y797" s="105" t="str">
        <f t="shared" si="162"/>
        <v/>
      </c>
      <c r="Z797" s="76"/>
    </row>
    <row r="798" spans="1:27" s="29" customFormat="1" ht="21.4" customHeight="1" x14ac:dyDescent="0.2">
      <c r="A798" s="30"/>
      <c r="B798" s="48" t="s">
        <v>6</v>
      </c>
      <c r="C798" s="39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0</v>
      </c>
      <c r="F798" s="48" t="s">
        <v>21</v>
      </c>
      <c r="G798" s="43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7"/>
      <c r="I798" s="402" t="s">
        <v>70</v>
      </c>
      <c r="J798" s="403"/>
      <c r="K798" s="43">
        <f>G798</f>
        <v>0</v>
      </c>
      <c r="L798" s="55"/>
      <c r="N798" s="71"/>
      <c r="O798" s="72" t="s">
        <v>51</v>
      </c>
      <c r="P798" s="72"/>
      <c r="Q798" s="72"/>
      <c r="R798" s="72" t="str">
        <f>IF(Q798="","",R797-Q798)</f>
        <v/>
      </c>
      <c r="S798" s="63"/>
      <c r="T798" s="72" t="s">
        <v>51</v>
      </c>
      <c r="U798" s="105" t="str">
        <f>IF($J$1="August",Y797,"")</f>
        <v/>
      </c>
      <c r="V798" s="74"/>
      <c r="W798" s="105" t="str">
        <f t="shared" si="161"/>
        <v/>
      </c>
      <c r="X798" s="74"/>
      <c r="Y798" s="105" t="str">
        <f t="shared" si="162"/>
        <v/>
      </c>
      <c r="Z798" s="76"/>
    </row>
    <row r="799" spans="1:27" s="29" customFormat="1" ht="21.4" customHeight="1" x14ac:dyDescent="0.2">
      <c r="A799" s="30"/>
      <c r="B799" s="56" t="s">
        <v>68</v>
      </c>
      <c r="C799" s="39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F799" s="48" t="s">
        <v>67</v>
      </c>
      <c r="G799" s="43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I799" s="391" t="s">
        <v>63</v>
      </c>
      <c r="J799" s="393"/>
      <c r="K799" s="57">
        <f>K797-K798</f>
        <v>0</v>
      </c>
      <c r="L799" s="58"/>
      <c r="N799" s="71"/>
      <c r="O799" s="72" t="s">
        <v>56</v>
      </c>
      <c r="P799" s="72"/>
      <c r="Q799" s="72"/>
      <c r="R799" s="72">
        <v>0</v>
      </c>
      <c r="S799" s="63"/>
      <c r="T799" s="72" t="s">
        <v>56</v>
      </c>
      <c r="U799" s="105" t="str">
        <f>IF($J$1="Sept",Y798,"")</f>
        <v/>
      </c>
      <c r="V799" s="74"/>
      <c r="W799" s="105" t="str">
        <f t="shared" si="161"/>
        <v/>
      </c>
      <c r="X799" s="74"/>
      <c r="Y799" s="105" t="str">
        <f t="shared" si="162"/>
        <v/>
      </c>
      <c r="Z799" s="76"/>
    </row>
    <row r="800" spans="1:27" s="29" customFormat="1" ht="21.4" customHeight="1" x14ac:dyDescent="0.2">
      <c r="A800" s="30"/>
      <c r="L800" s="46"/>
      <c r="N800" s="71"/>
      <c r="O800" s="72" t="s">
        <v>52</v>
      </c>
      <c r="P800" s="72"/>
      <c r="Q800" s="72"/>
      <c r="R800" s="72">
        <v>0</v>
      </c>
      <c r="S800" s="63"/>
      <c r="T800" s="72" t="s">
        <v>52</v>
      </c>
      <c r="U800" s="105" t="str">
        <f>IF($J$1="October",Y799,"")</f>
        <v/>
      </c>
      <c r="V800" s="74"/>
      <c r="W800" s="105" t="str">
        <f t="shared" si="161"/>
        <v/>
      </c>
      <c r="X800" s="74"/>
      <c r="Y800" s="105" t="str">
        <f t="shared" si="162"/>
        <v/>
      </c>
      <c r="Z800" s="76"/>
    </row>
    <row r="801" spans="1:27" s="29" customFormat="1" ht="21.4" customHeight="1" x14ac:dyDescent="0.2">
      <c r="A801" s="30"/>
      <c r="B801" s="404" t="s">
        <v>85</v>
      </c>
      <c r="C801" s="404"/>
      <c r="D801" s="404"/>
      <c r="E801" s="404"/>
      <c r="F801" s="404"/>
      <c r="G801" s="404"/>
      <c r="H801" s="404"/>
      <c r="I801" s="404"/>
      <c r="J801" s="404"/>
      <c r="K801" s="404"/>
      <c r="L801" s="46"/>
      <c r="N801" s="71"/>
      <c r="O801" s="72" t="s">
        <v>57</v>
      </c>
      <c r="P801" s="72"/>
      <c r="Q801" s="72"/>
      <c r="R801" s="72" t="str">
        <f>IF(Q801="","",R800-Q801)</f>
        <v/>
      </c>
      <c r="S801" s="63"/>
      <c r="T801" s="72" t="s">
        <v>57</v>
      </c>
      <c r="U801" s="105" t="str">
        <f>IF($J$1="November",Y800,"")</f>
        <v/>
      </c>
      <c r="V801" s="74"/>
      <c r="W801" s="105" t="str">
        <f t="shared" si="161"/>
        <v/>
      </c>
      <c r="X801" s="74"/>
      <c r="Y801" s="105" t="str">
        <f t="shared" si="162"/>
        <v/>
      </c>
      <c r="Z801" s="76"/>
    </row>
    <row r="802" spans="1:27" s="29" customFormat="1" ht="21.4" customHeight="1" x14ac:dyDescent="0.2">
      <c r="A802" s="30"/>
      <c r="B802" s="404"/>
      <c r="C802" s="404"/>
      <c r="D802" s="404"/>
      <c r="E802" s="404"/>
      <c r="F802" s="404"/>
      <c r="G802" s="404"/>
      <c r="H802" s="404"/>
      <c r="I802" s="404"/>
      <c r="J802" s="404"/>
      <c r="K802" s="404"/>
      <c r="L802" s="46"/>
      <c r="N802" s="71"/>
      <c r="O802" s="72" t="s">
        <v>58</v>
      </c>
      <c r="P802" s="72"/>
      <c r="Q802" s="72"/>
      <c r="R802" s="72">
        <v>0</v>
      </c>
      <c r="S802" s="63"/>
      <c r="T802" s="72" t="s">
        <v>58</v>
      </c>
      <c r="U802" s="105" t="str">
        <f>IF($J$1="Dec",Y801,"")</f>
        <v/>
      </c>
      <c r="V802" s="74"/>
      <c r="W802" s="105" t="str">
        <f t="shared" si="161"/>
        <v/>
      </c>
      <c r="X802" s="74"/>
      <c r="Y802" s="105" t="str">
        <f t="shared" si="162"/>
        <v/>
      </c>
      <c r="Z802" s="76"/>
    </row>
    <row r="803" spans="1:27" s="29" customFormat="1" ht="21.4" customHeight="1" thickBot="1" x14ac:dyDescent="0.25">
      <c r="A803" s="5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1"/>
      <c r="N803" s="77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9"/>
    </row>
    <row r="804" spans="1:27" s="29" customFormat="1" ht="21" customHeight="1" thickBot="1" x14ac:dyDescent="0.25"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7" s="29" customFormat="1" ht="21.4" customHeight="1" x14ac:dyDescent="0.2">
      <c r="A805" s="431" t="s">
        <v>40</v>
      </c>
      <c r="B805" s="432"/>
      <c r="C805" s="432"/>
      <c r="D805" s="432"/>
      <c r="E805" s="432"/>
      <c r="F805" s="432"/>
      <c r="G805" s="432"/>
      <c r="H805" s="432"/>
      <c r="I805" s="432"/>
      <c r="J805" s="432"/>
      <c r="K805" s="432"/>
      <c r="L805" s="433"/>
      <c r="M805" s="28"/>
      <c r="N805" s="64"/>
      <c r="O805" s="405" t="s">
        <v>42</v>
      </c>
      <c r="P805" s="406"/>
      <c r="Q805" s="406"/>
      <c r="R805" s="407"/>
      <c r="S805" s="65"/>
      <c r="T805" s="405" t="s">
        <v>43</v>
      </c>
      <c r="U805" s="406"/>
      <c r="V805" s="406"/>
      <c r="W805" s="406"/>
      <c r="X805" s="406"/>
      <c r="Y805" s="407"/>
      <c r="Z805" s="66"/>
      <c r="AA805" s="28"/>
    </row>
    <row r="806" spans="1:27" s="29" customFormat="1" ht="21.4" customHeight="1" x14ac:dyDescent="0.2">
      <c r="A806" s="30"/>
      <c r="C806" s="395" t="s">
        <v>83</v>
      </c>
      <c r="D806" s="395"/>
      <c r="E806" s="395"/>
      <c r="F806" s="395"/>
      <c r="G806" s="31" t="str">
        <f>$J$1</f>
        <v>May</v>
      </c>
      <c r="H806" s="394">
        <f>$K$1</f>
        <v>2023</v>
      </c>
      <c r="I806" s="394"/>
      <c r="K806" s="32"/>
      <c r="L806" s="33"/>
      <c r="M806" s="32"/>
      <c r="N806" s="67"/>
      <c r="O806" s="68" t="s">
        <v>53</v>
      </c>
      <c r="P806" s="68" t="s">
        <v>7</v>
      </c>
      <c r="Q806" s="68" t="s">
        <v>6</v>
      </c>
      <c r="R806" s="68" t="s">
        <v>54</v>
      </c>
      <c r="S806" s="69"/>
      <c r="T806" s="68" t="s">
        <v>53</v>
      </c>
      <c r="U806" s="68" t="s">
        <v>55</v>
      </c>
      <c r="V806" s="68" t="s">
        <v>20</v>
      </c>
      <c r="W806" s="68" t="s">
        <v>19</v>
      </c>
      <c r="X806" s="68" t="s">
        <v>21</v>
      </c>
      <c r="Y806" s="68" t="s">
        <v>59</v>
      </c>
      <c r="Z806" s="70"/>
      <c r="AA806" s="32"/>
    </row>
    <row r="807" spans="1:27" s="29" customFormat="1" ht="21.4" customHeight="1" x14ac:dyDescent="0.2">
      <c r="A807" s="30"/>
      <c r="D807" s="35"/>
      <c r="E807" s="35"/>
      <c r="F807" s="35"/>
      <c r="G807" s="35"/>
      <c r="H807" s="35"/>
      <c r="J807" s="36" t="s">
        <v>1</v>
      </c>
      <c r="K807" s="37"/>
      <c r="L807" s="38"/>
      <c r="N807" s="71"/>
      <c r="O807" s="72" t="s">
        <v>45</v>
      </c>
      <c r="P807" s="72"/>
      <c r="Q807" s="72"/>
      <c r="R807" s="72">
        <v>15</v>
      </c>
      <c r="S807" s="73"/>
      <c r="T807" s="72" t="s">
        <v>45</v>
      </c>
      <c r="U807" s="74"/>
      <c r="V807" s="74"/>
      <c r="W807" s="74">
        <f>V807+U807</f>
        <v>0</v>
      </c>
      <c r="X807" s="74"/>
      <c r="Y807" s="74">
        <f>W807-X807</f>
        <v>0</v>
      </c>
      <c r="Z807" s="70"/>
    </row>
    <row r="808" spans="1:27" s="29" customFormat="1" ht="21.4" customHeight="1" x14ac:dyDescent="0.2">
      <c r="A808" s="30"/>
      <c r="B808" s="29" t="s">
        <v>0</v>
      </c>
      <c r="C808" s="40"/>
      <c r="H808" s="41"/>
      <c r="I808" s="35"/>
      <c r="L808" s="42"/>
      <c r="M808" s="28"/>
      <c r="N808" s="75"/>
      <c r="O808" s="72" t="s">
        <v>71</v>
      </c>
      <c r="P808" s="72"/>
      <c r="Q808" s="72"/>
      <c r="R808" s="72" t="str">
        <f>IF(Q808="","",R807-Q808)</f>
        <v/>
      </c>
      <c r="S808" s="63"/>
      <c r="T808" s="72" t="s">
        <v>71</v>
      </c>
      <c r="U808" s="105">
        <f>Y807</f>
        <v>0</v>
      </c>
      <c r="V808" s="74"/>
      <c r="W808" s="105">
        <f>IF(U808="","",U808+V808)</f>
        <v>0</v>
      </c>
      <c r="X808" s="74"/>
      <c r="Y808" s="105">
        <f>IF(W808="","",W808-X808)</f>
        <v>0</v>
      </c>
      <c r="Z808" s="76"/>
      <c r="AA808" s="28"/>
    </row>
    <row r="809" spans="1:27" s="29" customFormat="1" ht="21.4" customHeight="1" x14ac:dyDescent="0.2">
      <c r="A809" s="30"/>
      <c r="B809" s="44" t="s">
        <v>41</v>
      </c>
      <c r="C809" s="45"/>
      <c r="F809" s="411" t="s">
        <v>43</v>
      </c>
      <c r="G809" s="411"/>
      <c r="I809" s="411" t="s">
        <v>44</v>
      </c>
      <c r="J809" s="411"/>
      <c r="K809" s="411"/>
      <c r="L809" s="46"/>
      <c r="N809" s="71"/>
      <c r="O809" s="72" t="s">
        <v>46</v>
      </c>
      <c r="P809" s="72"/>
      <c r="Q809" s="72"/>
      <c r="R809" s="72" t="str">
        <f t="shared" ref="R809:R818" si="163">IF(Q809="","",R808-Q809)</f>
        <v/>
      </c>
      <c r="S809" s="63"/>
      <c r="T809" s="72" t="s">
        <v>46</v>
      </c>
      <c r="U809" s="105">
        <f>IF($J$1="April",Y808,Y808)</f>
        <v>0</v>
      </c>
      <c r="V809" s="74"/>
      <c r="W809" s="105">
        <f t="shared" ref="W809:W818" si="164">IF(U809="","",U809+V809)</f>
        <v>0</v>
      </c>
      <c r="X809" s="74"/>
      <c r="Y809" s="105">
        <f t="shared" ref="Y809:Y818" si="165">IF(W809="","",W809-X809)</f>
        <v>0</v>
      </c>
      <c r="Z809" s="76"/>
    </row>
    <row r="810" spans="1:27" s="29" customFormat="1" ht="21.4" customHeight="1" x14ac:dyDescent="0.2">
      <c r="A810" s="30"/>
      <c r="H810" s="47"/>
      <c r="L810" s="34"/>
      <c r="N810" s="71"/>
      <c r="O810" s="72" t="s">
        <v>47</v>
      </c>
      <c r="P810" s="72"/>
      <c r="Q810" s="72"/>
      <c r="R810" s="72" t="str">
        <f t="shared" si="163"/>
        <v/>
      </c>
      <c r="S810" s="63"/>
      <c r="T810" s="72" t="s">
        <v>47</v>
      </c>
      <c r="U810" s="105">
        <f>IF($J$1="April",Y809,Y809)</f>
        <v>0</v>
      </c>
      <c r="V810" s="74"/>
      <c r="W810" s="105">
        <f t="shared" si="164"/>
        <v>0</v>
      </c>
      <c r="X810" s="74"/>
      <c r="Y810" s="105">
        <f t="shared" si="165"/>
        <v>0</v>
      </c>
      <c r="Z810" s="76"/>
    </row>
    <row r="811" spans="1:27" s="29" customFormat="1" ht="21.4" customHeight="1" x14ac:dyDescent="0.2">
      <c r="A811" s="30"/>
      <c r="B811" s="389" t="s">
        <v>42</v>
      </c>
      <c r="C811" s="390"/>
      <c r="F811" s="48" t="s">
        <v>64</v>
      </c>
      <c r="G811" s="43">
        <f>IF($J$1="January",U807,IF($J$1="February",U808,IF($J$1="March",U809,IF($J$1="April",U810,IF($J$1="May",U811,IF($J$1="June",U812,IF($J$1="July",U813,IF($J$1="August",U814,IF($J$1="August",U814,IF($J$1="September",U815,IF($J$1="October",U816,IF($J$1="November",U817,IF($J$1="December",U818)))))))))))))</f>
        <v>0</v>
      </c>
      <c r="H811" s="47"/>
      <c r="I811" s="49"/>
      <c r="J811" s="50" t="s">
        <v>61</v>
      </c>
      <c r="K811" s="51">
        <f>K807/$K$2*I811</f>
        <v>0</v>
      </c>
      <c r="L811" s="52"/>
      <c r="N811" s="71"/>
      <c r="O811" s="72" t="s">
        <v>48</v>
      </c>
      <c r="P811" s="72"/>
      <c r="Q811" s="72"/>
      <c r="R811" s="72" t="str">
        <f t="shared" si="163"/>
        <v/>
      </c>
      <c r="S811" s="63"/>
      <c r="T811" s="72" t="s">
        <v>48</v>
      </c>
      <c r="U811" s="105">
        <f>IF($J$1="May",Y810,Y810)</f>
        <v>0</v>
      </c>
      <c r="V811" s="74"/>
      <c r="W811" s="105">
        <f t="shared" si="164"/>
        <v>0</v>
      </c>
      <c r="X811" s="74"/>
      <c r="Y811" s="105">
        <f t="shared" si="165"/>
        <v>0</v>
      </c>
      <c r="Z811" s="76"/>
    </row>
    <row r="812" spans="1:27" s="29" customFormat="1" ht="21.4" customHeight="1" x14ac:dyDescent="0.2">
      <c r="A812" s="30"/>
      <c r="B812" s="39"/>
      <c r="C812" s="39"/>
      <c r="F812" s="48" t="s">
        <v>20</v>
      </c>
      <c r="G812" s="43">
        <f>IF($J$1="January",V807,IF($J$1="February",V808,IF($J$1="March",V809,IF($J$1="April",V810,IF($J$1="May",V811,IF($J$1="June",V812,IF($J$1="July",V813,IF($J$1="August",V814,IF($J$1="August",V814,IF($J$1="September",V815,IF($J$1="October",V816,IF($J$1="November",V817,IF($J$1="December",V818)))))))))))))</f>
        <v>0</v>
      </c>
      <c r="H812" s="47"/>
      <c r="I812" s="49"/>
      <c r="J812" s="50" t="s">
        <v>62</v>
      </c>
      <c r="K812" s="53">
        <f>K807/$K$2/8*I812</f>
        <v>0</v>
      </c>
      <c r="L812" s="54"/>
      <c r="N812" s="71"/>
      <c r="O812" s="72" t="s">
        <v>49</v>
      </c>
      <c r="P812" s="72"/>
      <c r="Q812" s="72"/>
      <c r="R812" s="72" t="str">
        <f t="shared" si="163"/>
        <v/>
      </c>
      <c r="S812" s="63"/>
      <c r="T812" s="72" t="s">
        <v>49</v>
      </c>
      <c r="U812" s="105">
        <f>IF($J$1="May",Y811,Y811)</f>
        <v>0</v>
      </c>
      <c r="V812" s="74"/>
      <c r="W812" s="105">
        <f t="shared" si="164"/>
        <v>0</v>
      </c>
      <c r="X812" s="74"/>
      <c r="Y812" s="105">
        <f t="shared" si="165"/>
        <v>0</v>
      </c>
      <c r="Z812" s="76"/>
    </row>
    <row r="813" spans="1:27" s="29" customFormat="1" ht="21.4" customHeight="1" x14ac:dyDescent="0.2">
      <c r="A813" s="30"/>
      <c r="B813" s="48" t="s">
        <v>7</v>
      </c>
      <c r="C813" s="39">
        <f>IF($J$1="January",P807,IF($J$1="February",P808,IF($J$1="March",P809,IF($J$1="April",P810,IF($J$1="May",P811,IF($J$1="June",P812,IF($J$1="July",P813,IF($J$1="August",P814,IF($J$1="August",P814,IF($J$1="September",P815,IF($J$1="October",P816,IF($J$1="November",P817,IF($J$1="December",P818)))))))))))))</f>
        <v>0</v>
      </c>
      <c r="F813" s="48" t="s">
        <v>65</v>
      </c>
      <c r="G813" s="43">
        <f>IF($J$1="January",W807,IF($J$1="February",W808,IF($J$1="March",W809,IF($J$1="April",W810,IF($J$1="May",W811,IF($J$1="June",W812,IF($J$1="July",W813,IF($J$1="August",W814,IF($J$1="August",W814,IF($J$1="September",W815,IF($J$1="October",W816,IF($J$1="November",W817,IF($J$1="December",W818)))))))))))))</f>
        <v>0</v>
      </c>
      <c r="H813" s="47"/>
      <c r="I813" s="402" t="s">
        <v>69</v>
      </c>
      <c r="J813" s="403"/>
      <c r="K813" s="53">
        <f>K811+K812</f>
        <v>0</v>
      </c>
      <c r="L813" s="54"/>
      <c r="N813" s="71"/>
      <c r="O813" s="72" t="s">
        <v>50</v>
      </c>
      <c r="P813" s="72"/>
      <c r="Q813" s="72"/>
      <c r="R813" s="72" t="str">
        <f t="shared" si="163"/>
        <v/>
      </c>
      <c r="S813" s="63"/>
      <c r="T813" s="72" t="s">
        <v>50</v>
      </c>
      <c r="U813" s="105" t="str">
        <f>IF($J$1="September",Y812,"")</f>
        <v/>
      </c>
      <c r="V813" s="74"/>
      <c r="W813" s="105" t="str">
        <f t="shared" si="164"/>
        <v/>
      </c>
      <c r="X813" s="74"/>
      <c r="Y813" s="105" t="str">
        <f t="shared" si="165"/>
        <v/>
      </c>
      <c r="Z813" s="76"/>
    </row>
    <row r="814" spans="1:27" s="29" customFormat="1" ht="21.4" customHeight="1" x14ac:dyDescent="0.2">
      <c r="A814" s="30"/>
      <c r="B814" s="48" t="s">
        <v>6</v>
      </c>
      <c r="C814" s="39">
        <f>IF($J$1="January",Q807,IF($J$1="February",Q808,IF($J$1="March",Q809,IF($J$1="April",Q810,IF($J$1="May",Q811,IF($J$1="June",Q812,IF($J$1="July",Q813,IF($J$1="August",Q814,IF($J$1="August",Q814,IF($J$1="September",Q815,IF($J$1="October",Q816,IF($J$1="November",Q817,IF($J$1="December",Q818)))))))))))))</f>
        <v>0</v>
      </c>
      <c r="F814" s="48" t="s">
        <v>21</v>
      </c>
      <c r="G814" s="43">
        <f>IF($J$1="January",X807,IF($J$1="February",X808,IF($J$1="March",X809,IF($J$1="April",X810,IF($J$1="May",X811,IF($J$1="June",X812,IF($J$1="July",X813,IF($J$1="August",X814,IF($J$1="August",X814,IF($J$1="September",X815,IF($J$1="October",X816,IF($J$1="November",X817,IF($J$1="December",X818)))))))))))))</f>
        <v>0</v>
      </c>
      <c r="H814" s="47"/>
      <c r="I814" s="402" t="s">
        <v>70</v>
      </c>
      <c r="J814" s="403"/>
      <c r="K814" s="43">
        <f>G814</f>
        <v>0</v>
      </c>
      <c r="L814" s="55"/>
      <c r="N814" s="71"/>
      <c r="O814" s="72" t="s">
        <v>51</v>
      </c>
      <c r="P814" s="72"/>
      <c r="Q814" s="72"/>
      <c r="R814" s="72" t="str">
        <f t="shared" si="163"/>
        <v/>
      </c>
      <c r="S814" s="63"/>
      <c r="T814" s="72" t="s">
        <v>51</v>
      </c>
      <c r="U814" s="105" t="str">
        <f>IF($J$1="September",Y813,"")</f>
        <v/>
      </c>
      <c r="V814" s="74"/>
      <c r="W814" s="105" t="str">
        <f t="shared" si="164"/>
        <v/>
      </c>
      <c r="X814" s="74"/>
      <c r="Y814" s="105" t="str">
        <f t="shared" si="165"/>
        <v/>
      </c>
      <c r="Z814" s="76"/>
    </row>
    <row r="815" spans="1:27" s="29" customFormat="1" ht="21.4" customHeight="1" x14ac:dyDescent="0.2">
      <c r="A815" s="30"/>
      <c r="B815" s="56" t="s">
        <v>68</v>
      </c>
      <c r="C815" s="39" t="str">
        <f>IF($J$1="January",R807,IF($J$1="February",R808,IF($J$1="March",R809,IF($J$1="April",R810,IF($J$1="May",R811,IF($J$1="June",R812,IF($J$1="July",R813,IF($J$1="August",R814,IF($J$1="August",R814,IF($J$1="September",R815,IF($J$1="October",R816,IF($J$1="November",R817,IF($J$1="December",R818)))))))))))))</f>
        <v/>
      </c>
      <c r="F815" s="48" t="s">
        <v>67</v>
      </c>
      <c r="G815" s="43">
        <f>IF($J$1="January",Y807,IF($J$1="February",Y808,IF($J$1="March",Y809,IF($J$1="April",Y810,IF($J$1="May",Y811,IF($J$1="June",Y812,IF($J$1="July",Y813,IF($J$1="August",Y814,IF($J$1="August",Y814,IF($J$1="September",Y815,IF($J$1="October",Y816,IF($J$1="November",Y817,IF($J$1="December",Y818)))))))))))))</f>
        <v>0</v>
      </c>
      <c r="I815" s="391" t="s">
        <v>63</v>
      </c>
      <c r="J815" s="393"/>
      <c r="K815" s="57">
        <f>K813-K814</f>
        <v>0</v>
      </c>
      <c r="L815" s="58"/>
      <c r="N815" s="71"/>
      <c r="O815" s="72" t="s">
        <v>56</v>
      </c>
      <c r="P815" s="72"/>
      <c r="Q815" s="72"/>
      <c r="R815" s="72" t="str">
        <f t="shared" si="163"/>
        <v/>
      </c>
      <c r="S815" s="63"/>
      <c r="T815" s="72" t="s">
        <v>56</v>
      </c>
      <c r="U815" s="105" t="str">
        <f>IF($J$1="Sept",Y814,"")</f>
        <v/>
      </c>
      <c r="V815" s="74"/>
      <c r="W815" s="105" t="str">
        <f t="shared" si="164"/>
        <v/>
      </c>
      <c r="X815" s="74"/>
      <c r="Y815" s="105" t="str">
        <f t="shared" si="165"/>
        <v/>
      </c>
      <c r="Z815" s="76"/>
    </row>
    <row r="816" spans="1:27" s="29" customFormat="1" ht="21.4" customHeight="1" x14ac:dyDescent="0.2">
      <c r="A816" s="30"/>
      <c r="L816" s="46"/>
      <c r="N816" s="71"/>
      <c r="O816" s="72" t="s">
        <v>52</v>
      </c>
      <c r="P816" s="72"/>
      <c r="Q816" s="72"/>
      <c r="R816" s="72" t="str">
        <f t="shared" si="163"/>
        <v/>
      </c>
      <c r="S816" s="63"/>
      <c r="T816" s="72" t="s">
        <v>52</v>
      </c>
      <c r="U816" s="105" t="str">
        <f>IF($J$1="October",Y815,"")</f>
        <v/>
      </c>
      <c r="V816" s="74"/>
      <c r="W816" s="105" t="str">
        <f t="shared" si="164"/>
        <v/>
      </c>
      <c r="X816" s="74"/>
      <c r="Y816" s="105" t="str">
        <f t="shared" si="165"/>
        <v/>
      </c>
      <c r="Z816" s="76"/>
    </row>
    <row r="817" spans="1:27" s="29" customFormat="1" ht="21.4" customHeight="1" x14ac:dyDescent="0.2">
      <c r="A817" s="30"/>
      <c r="B817" s="404" t="s">
        <v>85</v>
      </c>
      <c r="C817" s="404"/>
      <c r="D817" s="404"/>
      <c r="E817" s="404"/>
      <c r="F817" s="404"/>
      <c r="G817" s="404"/>
      <c r="H817" s="404"/>
      <c r="I817" s="404"/>
      <c r="J817" s="404"/>
      <c r="K817" s="404"/>
      <c r="L817" s="46"/>
      <c r="N817" s="71"/>
      <c r="O817" s="72" t="s">
        <v>57</v>
      </c>
      <c r="P817" s="72"/>
      <c r="Q817" s="72"/>
      <c r="R817" s="72" t="str">
        <f t="shared" si="163"/>
        <v/>
      </c>
      <c r="S817" s="63"/>
      <c r="T817" s="72" t="s">
        <v>57</v>
      </c>
      <c r="U817" s="105" t="str">
        <f>IF($J$1="November",Y816,"")</f>
        <v/>
      </c>
      <c r="V817" s="74"/>
      <c r="W817" s="105" t="str">
        <f t="shared" si="164"/>
        <v/>
      </c>
      <c r="X817" s="74"/>
      <c r="Y817" s="105" t="str">
        <f t="shared" si="165"/>
        <v/>
      </c>
      <c r="Z817" s="76"/>
    </row>
    <row r="818" spans="1:27" s="29" customFormat="1" ht="21.4" customHeight="1" x14ac:dyDescent="0.2">
      <c r="A818" s="30"/>
      <c r="B818" s="404"/>
      <c r="C818" s="404"/>
      <c r="D818" s="404"/>
      <c r="E818" s="404"/>
      <c r="F818" s="404"/>
      <c r="G818" s="404"/>
      <c r="H818" s="404"/>
      <c r="I818" s="404"/>
      <c r="J818" s="404"/>
      <c r="K818" s="404"/>
      <c r="L818" s="46"/>
      <c r="N818" s="71"/>
      <c r="O818" s="72" t="s">
        <v>58</v>
      </c>
      <c r="P818" s="72"/>
      <c r="Q818" s="72"/>
      <c r="R818" s="72" t="str">
        <f t="shared" si="163"/>
        <v/>
      </c>
      <c r="S818" s="63"/>
      <c r="T818" s="72" t="s">
        <v>58</v>
      </c>
      <c r="U818" s="105" t="str">
        <f>IF($J$1="Dec",Y817,"")</f>
        <v/>
      </c>
      <c r="V818" s="74"/>
      <c r="W818" s="105" t="str">
        <f t="shared" si="164"/>
        <v/>
      </c>
      <c r="X818" s="74"/>
      <c r="Y818" s="105" t="str">
        <f t="shared" si="165"/>
        <v/>
      </c>
      <c r="Z818" s="76"/>
    </row>
    <row r="819" spans="1:27" s="29" customFormat="1" ht="21.4" customHeight="1" thickBot="1" x14ac:dyDescent="0.25">
      <c r="A819" s="5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1"/>
      <c r="N819" s="77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9"/>
    </row>
    <row r="820" spans="1:27" s="29" customFormat="1" ht="21.4" customHeight="1" thickBot="1" x14ac:dyDescent="0.25"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7" s="29" customFormat="1" ht="21.4" customHeight="1" x14ac:dyDescent="0.2">
      <c r="A821" s="421" t="s">
        <v>40</v>
      </c>
      <c r="B821" s="422"/>
      <c r="C821" s="422"/>
      <c r="D821" s="422"/>
      <c r="E821" s="422"/>
      <c r="F821" s="422"/>
      <c r="G821" s="422"/>
      <c r="H821" s="422"/>
      <c r="I821" s="422"/>
      <c r="J821" s="422"/>
      <c r="K821" s="422"/>
      <c r="L821" s="423"/>
      <c r="M821" s="28"/>
      <c r="N821" s="64"/>
      <c r="O821" s="405" t="s">
        <v>42</v>
      </c>
      <c r="P821" s="406"/>
      <c r="Q821" s="406"/>
      <c r="R821" s="407"/>
      <c r="S821" s="65"/>
      <c r="T821" s="405" t="s">
        <v>43</v>
      </c>
      <c r="U821" s="406"/>
      <c r="V821" s="406"/>
      <c r="W821" s="406"/>
      <c r="X821" s="406"/>
      <c r="Y821" s="407"/>
      <c r="Z821" s="66"/>
      <c r="AA821" s="28"/>
    </row>
    <row r="822" spans="1:27" s="29" customFormat="1" ht="21.4" customHeight="1" x14ac:dyDescent="0.2">
      <c r="A822" s="30"/>
      <c r="C822" s="395" t="s">
        <v>83</v>
      </c>
      <c r="D822" s="395"/>
      <c r="E822" s="395"/>
      <c r="F822" s="395"/>
      <c r="G822" s="31" t="str">
        <f>$J$1</f>
        <v>May</v>
      </c>
      <c r="H822" s="394">
        <f>$K$1</f>
        <v>2023</v>
      </c>
      <c r="I822" s="394"/>
      <c r="K822" s="32"/>
      <c r="L822" s="33"/>
      <c r="M822" s="32"/>
      <c r="N822" s="67"/>
      <c r="O822" s="68" t="s">
        <v>53</v>
      </c>
      <c r="P822" s="68" t="s">
        <v>7</v>
      </c>
      <c r="Q822" s="68" t="s">
        <v>6</v>
      </c>
      <c r="R822" s="68" t="s">
        <v>54</v>
      </c>
      <c r="S822" s="69"/>
      <c r="T822" s="68" t="s">
        <v>53</v>
      </c>
      <c r="U822" s="68" t="s">
        <v>55</v>
      </c>
      <c r="V822" s="68" t="s">
        <v>20</v>
      </c>
      <c r="W822" s="68" t="s">
        <v>19</v>
      </c>
      <c r="X822" s="68" t="s">
        <v>21</v>
      </c>
      <c r="Y822" s="68" t="s">
        <v>59</v>
      </c>
      <c r="Z822" s="70"/>
      <c r="AA822" s="32"/>
    </row>
    <row r="823" spans="1:27" s="29" customFormat="1" ht="21.4" customHeight="1" x14ac:dyDescent="0.2">
      <c r="A823" s="30"/>
      <c r="D823" s="35"/>
      <c r="E823" s="35"/>
      <c r="F823" s="35"/>
      <c r="G823" s="35"/>
      <c r="H823" s="35"/>
      <c r="J823" s="36" t="s">
        <v>1</v>
      </c>
      <c r="K823" s="37"/>
      <c r="L823" s="38"/>
      <c r="N823" s="71"/>
      <c r="O823" s="72" t="s">
        <v>45</v>
      </c>
      <c r="P823" s="72">
        <v>29</v>
      </c>
      <c r="Q823" s="72">
        <v>2</v>
      </c>
      <c r="R823" s="72">
        <f>15-Q823</f>
        <v>13</v>
      </c>
      <c r="S823" s="73"/>
      <c r="T823" s="72" t="s">
        <v>45</v>
      </c>
      <c r="U823" s="74"/>
      <c r="V823" s="74"/>
      <c r="W823" s="74">
        <f>V823+U823</f>
        <v>0</v>
      </c>
      <c r="X823" s="74"/>
      <c r="Y823" s="74">
        <f>W823-X823</f>
        <v>0</v>
      </c>
      <c r="Z823" s="70"/>
    </row>
    <row r="824" spans="1:27" s="29" customFormat="1" ht="21.4" customHeight="1" x14ac:dyDescent="0.2">
      <c r="A824" s="30"/>
      <c r="B824" s="29" t="s">
        <v>0</v>
      </c>
      <c r="C824" s="40"/>
      <c r="H824" s="41"/>
      <c r="I824" s="35"/>
      <c r="L824" s="42"/>
      <c r="M824" s="28"/>
      <c r="N824" s="75"/>
      <c r="O824" s="72" t="s">
        <v>71</v>
      </c>
      <c r="P824" s="72">
        <v>28</v>
      </c>
      <c r="Q824" s="72">
        <v>1</v>
      </c>
      <c r="R824" s="72">
        <f>IF(Q824="","",R823-Q824)</f>
        <v>12</v>
      </c>
      <c r="S824" s="63"/>
      <c r="T824" s="72" t="s">
        <v>71</v>
      </c>
      <c r="U824" s="105">
        <f>IF($J$1="January","",Y823)</f>
        <v>0</v>
      </c>
      <c r="V824" s="74"/>
      <c r="W824" s="105">
        <f>IF(U824="","",U824+V824)</f>
        <v>0</v>
      </c>
      <c r="X824" s="74"/>
      <c r="Y824" s="105">
        <f>IF(W824="","",W824-X824)</f>
        <v>0</v>
      </c>
      <c r="Z824" s="76"/>
      <c r="AA824" s="28"/>
    </row>
    <row r="825" spans="1:27" s="29" customFormat="1" ht="21.4" customHeight="1" x14ac:dyDescent="0.2">
      <c r="A825" s="30"/>
      <c r="B825" s="44" t="s">
        <v>41</v>
      </c>
      <c r="C825" s="45"/>
      <c r="F825" s="411" t="s">
        <v>43</v>
      </c>
      <c r="G825" s="411"/>
      <c r="I825" s="411" t="s">
        <v>44</v>
      </c>
      <c r="J825" s="411"/>
      <c r="K825" s="411"/>
      <c r="L825" s="46"/>
      <c r="N825" s="71"/>
      <c r="O825" s="72" t="s">
        <v>46</v>
      </c>
      <c r="P825" s="72">
        <v>31</v>
      </c>
      <c r="Q825" s="72">
        <v>0</v>
      </c>
      <c r="R825" s="72">
        <f t="shared" ref="R825" si="166">IF(Q825="","",R824-Q825)</f>
        <v>12</v>
      </c>
      <c r="S825" s="63"/>
      <c r="T825" s="72" t="s">
        <v>46</v>
      </c>
      <c r="U825" s="105">
        <f>IF($J$1="February","",Y824)</f>
        <v>0</v>
      </c>
      <c r="V825" s="74"/>
      <c r="W825" s="105">
        <f t="shared" ref="W825:W834" si="167">IF(U825="","",U825+V825)</f>
        <v>0</v>
      </c>
      <c r="X825" s="74"/>
      <c r="Y825" s="105">
        <f t="shared" ref="Y825:Y834" si="168">IF(W825="","",W825-X825)</f>
        <v>0</v>
      </c>
      <c r="Z825" s="76"/>
    </row>
    <row r="826" spans="1:27" s="29" customFormat="1" ht="21.4" customHeight="1" x14ac:dyDescent="0.2">
      <c r="A826" s="30"/>
      <c r="H826" s="47"/>
      <c r="L826" s="34"/>
      <c r="N826" s="71"/>
      <c r="O826" s="72" t="s">
        <v>47</v>
      </c>
      <c r="P826" s="72">
        <v>14</v>
      </c>
      <c r="Q826" s="72">
        <v>16</v>
      </c>
      <c r="R826" s="72">
        <v>0</v>
      </c>
      <c r="S826" s="63"/>
      <c r="T826" s="72" t="s">
        <v>47</v>
      </c>
      <c r="U826" s="105">
        <f>IF($J$1="March","",Y825)</f>
        <v>0</v>
      </c>
      <c r="V826" s="74"/>
      <c r="W826" s="105">
        <f t="shared" si="167"/>
        <v>0</v>
      </c>
      <c r="X826" s="74"/>
      <c r="Y826" s="105">
        <f t="shared" si="168"/>
        <v>0</v>
      </c>
      <c r="Z826" s="76"/>
    </row>
    <row r="827" spans="1:27" s="29" customFormat="1" ht="21.4" customHeight="1" x14ac:dyDescent="0.2">
      <c r="A827" s="30"/>
      <c r="B827" s="389" t="s">
        <v>42</v>
      </c>
      <c r="C827" s="390"/>
      <c r="F827" s="48" t="s">
        <v>64</v>
      </c>
      <c r="G827" s="110">
        <f>IF($J$1="January",U823,IF($J$1="February",U824,IF($J$1="March",U825,IF($J$1="April",U826,IF($J$1="May",U827,IF($J$1="June",U828,IF($J$1="July",U829,IF($J$1="August",U830,IF($J$1="August",U830,IF($J$1="September",U831,IF($J$1="October",U832,IF($J$1="November",U833,IF($J$1="December",U834)))))))))))))</f>
        <v>0</v>
      </c>
      <c r="H827" s="47"/>
      <c r="I827" s="49">
        <f>IF(C831&gt;0,$K$2,C829)</f>
        <v>28</v>
      </c>
      <c r="J827" s="50" t="s">
        <v>61</v>
      </c>
      <c r="K827" s="51">
        <f>K823/$K$2*I827</f>
        <v>0</v>
      </c>
      <c r="L827" s="52"/>
      <c r="N827" s="71"/>
      <c r="O827" s="72" t="s">
        <v>48</v>
      </c>
      <c r="P827" s="72">
        <v>28</v>
      </c>
      <c r="Q827" s="72">
        <v>3</v>
      </c>
      <c r="R827" s="72">
        <v>0</v>
      </c>
      <c r="S827" s="63"/>
      <c r="T827" s="72" t="s">
        <v>48</v>
      </c>
      <c r="U827" s="105">
        <f>IF($J$1="April","",Y826)</f>
        <v>0</v>
      </c>
      <c r="V827" s="74"/>
      <c r="W827" s="105">
        <f t="shared" si="167"/>
        <v>0</v>
      </c>
      <c r="X827" s="74"/>
      <c r="Y827" s="105">
        <f t="shared" si="168"/>
        <v>0</v>
      </c>
      <c r="Z827" s="76"/>
    </row>
    <row r="828" spans="1:27" s="29" customFormat="1" ht="21.4" customHeight="1" x14ac:dyDescent="0.2">
      <c r="A828" s="30"/>
      <c r="B828" s="39"/>
      <c r="C828" s="39"/>
      <c r="F828" s="48" t="s">
        <v>20</v>
      </c>
      <c r="G828" s="110">
        <f>IF($J$1="January",V823,IF($J$1="February",V824,IF($J$1="March",V825,IF($J$1="April",V826,IF($J$1="May",V827,IF($J$1="June",V828,IF($J$1="July",V829,IF($J$1="August",V830,IF($J$1="August",V830,IF($J$1="September",V831,IF($J$1="October",V832,IF($J$1="November",V833,IF($J$1="December",V834)))))))))))))</f>
        <v>0</v>
      </c>
      <c r="H828" s="47"/>
      <c r="I828" s="84"/>
      <c r="J828" s="50" t="s">
        <v>62</v>
      </c>
      <c r="K828" s="53">
        <f>K823/$K$2/8*I828</f>
        <v>0</v>
      </c>
      <c r="L828" s="54"/>
      <c r="N828" s="71"/>
      <c r="O828" s="72" t="s">
        <v>49</v>
      </c>
      <c r="P828" s="72">
        <v>4</v>
      </c>
      <c r="Q828" s="72">
        <v>26</v>
      </c>
      <c r="R828" s="72">
        <v>0</v>
      </c>
      <c r="S828" s="63"/>
      <c r="T828" s="72" t="s">
        <v>49</v>
      </c>
      <c r="U828" s="105" t="str">
        <f>IF($J$1="May","",Y827)</f>
        <v/>
      </c>
      <c r="V828" s="74"/>
      <c r="W828" s="105" t="str">
        <f t="shared" si="167"/>
        <v/>
      </c>
      <c r="X828" s="74"/>
      <c r="Y828" s="105" t="str">
        <f t="shared" si="168"/>
        <v/>
      </c>
      <c r="Z828" s="76"/>
    </row>
    <row r="829" spans="1:27" s="29" customFormat="1" ht="21.4" customHeight="1" x14ac:dyDescent="0.2">
      <c r="A829" s="30"/>
      <c r="B829" s="48" t="s">
        <v>7</v>
      </c>
      <c r="C829" s="39">
        <f>IF($J$1="January",P823,IF($J$1="February",P824,IF($J$1="March",P825,IF($J$1="April",P826,IF($J$1="May",P827,IF($J$1="June",P828,IF($J$1="July",P829,IF($J$1="August",P830,IF($J$1="August",P830,IF($J$1="September",P831,IF($J$1="October",P832,IF($J$1="November",P833,IF($J$1="December",P834)))))))))))))</f>
        <v>28</v>
      </c>
      <c r="F829" s="48" t="s">
        <v>65</v>
      </c>
      <c r="G829" s="110">
        <f>IF($J$1="January",W823,IF($J$1="February",W824,IF($J$1="March",W825,IF($J$1="April",W826,IF($J$1="May",W827,IF($J$1="June",W828,IF($J$1="July",W829,IF($J$1="August",W830,IF($J$1="August",W830,IF($J$1="September",W831,IF($J$1="October",W832,IF($J$1="November",W833,IF($J$1="December",W834)))))))))))))</f>
        <v>0</v>
      </c>
      <c r="H829" s="47"/>
      <c r="I829" s="402" t="s">
        <v>69</v>
      </c>
      <c r="J829" s="403"/>
      <c r="K829" s="53">
        <f>K827+K828</f>
        <v>0</v>
      </c>
      <c r="L829" s="54"/>
      <c r="N829" s="71"/>
      <c r="O829" s="72" t="s">
        <v>50</v>
      </c>
      <c r="P829" s="72"/>
      <c r="Q829" s="72"/>
      <c r="R829" s="72">
        <v>0</v>
      </c>
      <c r="S829" s="63"/>
      <c r="T829" s="72" t="s">
        <v>50</v>
      </c>
      <c r="U829" s="105" t="str">
        <f>IF($J$1="June","",Y828)</f>
        <v/>
      </c>
      <c r="V829" s="74"/>
      <c r="W829" s="105" t="str">
        <f t="shared" si="167"/>
        <v/>
      </c>
      <c r="X829" s="74"/>
      <c r="Y829" s="105" t="str">
        <f t="shared" si="168"/>
        <v/>
      </c>
      <c r="Z829" s="76"/>
    </row>
    <row r="830" spans="1:27" s="29" customFormat="1" ht="21.4" customHeight="1" x14ac:dyDescent="0.2">
      <c r="A830" s="30"/>
      <c r="B830" s="48" t="s">
        <v>6</v>
      </c>
      <c r="C830" s="39">
        <f>IF($J$1="January",Q823,IF($J$1="February",Q824,IF($J$1="March",Q825,IF($J$1="April",Q826,IF($J$1="May",Q827,IF($J$1="June",Q828,IF($J$1="July",Q829,IF($J$1="August",Q830,IF($J$1="August",Q830,IF($J$1="September",Q831,IF($J$1="October",Q832,IF($J$1="November",Q833,IF($J$1="December",Q834)))))))))))))</f>
        <v>3</v>
      </c>
      <c r="F830" s="48" t="s">
        <v>21</v>
      </c>
      <c r="G830" s="110">
        <f>IF($J$1="January",X823,IF($J$1="February",X824,IF($J$1="March",X825,IF($J$1="April",X826,IF($J$1="May",X827,IF($J$1="June",X828,IF($J$1="July",X829,IF($J$1="August",X830,IF($J$1="August",X830,IF($J$1="September",X831,IF($J$1="October",X832,IF($J$1="November",X833,IF($J$1="December",X834)))))))))))))</f>
        <v>0</v>
      </c>
      <c r="H830" s="47"/>
      <c r="I830" s="402" t="s">
        <v>70</v>
      </c>
      <c r="J830" s="403"/>
      <c r="K830" s="43">
        <f>G830</f>
        <v>0</v>
      </c>
      <c r="L830" s="55"/>
      <c r="N830" s="71"/>
      <c r="O830" s="72" t="s">
        <v>51</v>
      </c>
      <c r="P830" s="72"/>
      <c r="Q830" s="72"/>
      <c r="R830" s="72">
        <v>0</v>
      </c>
      <c r="S830" s="63"/>
      <c r="T830" s="72" t="s">
        <v>51</v>
      </c>
      <c r="U830" s="105" t="str">
        <f>IF($J$1="July","",Y829)</f>
        <v/>
      </c>
      <c r="V830" s="74"/>
      <c r="W830" s="105" t="str">
        <f t="shared" si="167"/>
        <v/>
      </c>
      <c r="X830" s="74"/>
      <c r="Y830" s="105" t="str">
        <f t="shared" si="168"/>
        <v/>
      </c>
      <c r="Z830" s="76"/>
    </row>
    <row r="831" spans="1:27" s="29" customFormat="1" ht="21.4" customHeight="1" x14ac:dyDescent="0.2">
      <c r="A831" s="30"/>
      <c r="B831" s="56" t="s">
        <v>68</v>
      </c>
      <c r="C831" s="39">
        <f>IF($J$1="January",R823,IF($J$1="February",R824,IF($J$1="March",R825,IF($J$1="April",R826,IF($J$1="May",R827,IF($J$1="June",R828,IF($J$1="July",R829,IF($J$1="August",R830,IF($J$1="August",R830,IF($J$1="September",R831,IF($J$1="October",R832,IF($J$1="November",R833,IF($J$1="December",R834)))))))))))))</f>
        <v>0</v>
      </c>
      <c r="F831" s="48" t="s">
        <v>67</v>
      </c>
      <c r="G831" s="110">
        <f>IF($J$1="January",Y823,IF($J$1="February",Y824,IF($J$1="March",Y825,IF($J$1="April",Y826,IF($J$1="May",Y827,IF($J$1="June",Y828,IF($J$1="July",Y829,IF($J$1="August",Y830,IF($J$1="August",Y830,IF($J$1="September",Y831,IF($J$1="October",Y832,IF($J$1="November",Y833,IF($J$1="December",Y834)))))))))))))</f>
        <v>0</v>
      </c>
      <c r="I831" s="391" t="s">
        <v>63</v>
      </c>
      <c r="J831" s="393"/>
      <c r="K831" s="57"/>
      <c r="L831" s="58"/>
      <c r="N831" s="71"/>
      <c r="O831" s="72" t="s">
        <v>56</v>
      </c>
      <c r="P831" s="72"/>
      <c r="Q831" s="72"/>
      <c r="R831" s="72">
        <v>0</v>
      </c>
      <c r="S831" s="63"/>
      <c r="T831" s="72" t="s">
        <v>56</v>
      </c>
      <c r="U831" s="105" t="str">
        <f>IF($J$1="August","",Y830)</f>
        <v/>
      </c>
      <c r="V831" s="74"/>
      <c r="W831" s="105" t="str">
        <f t="shared" si="167"/>
        <v/>
      </c>
      <c r="X831" s="74"/>
      <c r="Y831" s="105" t="str">
        <f t="shared" si="168"/>
        <v/>
      </c>
      <c r="Z831" s="76"/>
    </row>
    <row r="832" spans="1:27" s="29" customFormat="1" ht="21.4" customHeight="1" x14ac:dyDescent="0.2">
      <c r="A832" s="30"/>
      <c r="J832" s="107"/>
      <c r="K832" s="107"/>
      <c r="L832" s="46"/>
      <c r="N832" s="71"/>
      <c r="O832" s="72" t="s">
        <v>52</v>
      </c>
      <c r="P832" s="72"/>
      <c r="Q832" s="72"/>
      <c r="R832" s="72">
        <v>0</v>
      </c>
      <c r="S832" s="63"/>
      <c r="T832" s="72" t="s">
        <v>52</v>
      </c>
      <c r="U832" s="105" t="str">
        <f>IF($J$1="September","",Y831)</f>
        <v/>
      </c>
      <c r="V832" s="74"/>
      <c r="W832" s="105" t="str">
        <f t="shared" si="167"/>
        <v/>
      </c>
      <c r="X832" s="74"/>
      <c r="Y832" s="105" t="str">
        <f t="shared" si="168"/>
        <v/>
      </c>
      <c r="Z832" s="76"/>
    </row>
    <row r="833" spans="1:27" s="29" customFormat="1" ht="21.4" customHeight="1" x14ac:dyDescent="0.2">
      <c r="A833" s="30"/>
      <c r="B833" s="404" t="s">
        <v>85</v>
      </c>
      <c r="C833" s="404"/>
      <c r="D833" s="404"/>
      <c r="E833" s="404"/>
      <c r="F833" s="404"/>
      <c r="G833" s="404"/>
      <c r="H833" s="404"/>
      <c r="I833" s="404"/>
      <c r="J833" s="404"/>
      <c r="K833" s="404"/>
      <c r="L833" s="46"/>
      <c r="N833" s="71"/>
      <c r="O833" s="72" t="s">
        <v>57</v>
      </c>
      <c r="P833" s="72"/>
      <c r="Q833" s="72"/>
      <c r="R833" s="72">
        <v>0</v>
      </c>
      <c r="S833" s="63"/>
      <c r="T833" s="72" t="s">
        <v>57</v>
      </c>
      <c r="U833" s="105" t="str">
        <f>IF($J$1="October","",Y832)</f>
        <v/>
      </c>
      <c r="V833" s="74"/>
      <c r="W833" s="105" t="str">
        <f t="shared" si="167"/>
        <v/>
      </c>
      <c r="X833" s="74"/>
      <c r="Y833" s="105" t="str">
        <f t="shared" si="168"/>
        <v/>
      </c>
      <c r="Z833" s="76"/>
    </row>
    <row r="834" spans="1:27" s="29" customFormat="1" ht="21.4" customHeight="1" x14ac:dyDescent="0.2">
      <c r="A834" s="30"/>
      <c r="B834" s="404"/>
      <c r="C834" s="404"/>
      <c r="D834" s="404"/>
      <c r="E834" s="404"/>
      <c r="F834" s="404"/>
      <c r="G834" s="404"/>
      <c r="H834" s="404"/>
      <c r="I834" s="404"/>
      <c r="J834" s="404"/>
      <c r="K834" s="404"/>
      <c r="L834" s="46"/>
      <c r="N834" s="71"/>
      <c r="O834" s="72" t="s">
        <v>58</v>
      </c>
      <c r="P834" s="72"/>
      <c r="Q834" s="72"/>
      <c r="R834" s="72">
        <v>0</v>
      </c>
      <c r="S834" s="63"/>
      <c r="T834" s="72" t="s">
        <v>58</v>
      </c>
      <c r="U834" s="105" t="str">
        <f>IF($J$1="November","",Y833)</f>
        <v/>
      </c>
      <c r="V834" s="74"/>
      <c r="W834" s="105" t="str">
        <f t="shared" si="167"/>
        <v/>
      </c>
      <c r="X834" s="74"/>
      <c r="Y834" s="105" t="str">
        <f t="shared" si="168"/>
        <v/>
      </c>
      <c r="Z834" s="76"/>
    </row>
    <row r="835" spans="1:27" s="29" customFormat="1" ht="21.4" customHeight="1" thickBot="1" x14ac:dyDescent="0.25">
      <c r="A835" s="5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1"/>
      <c r="N835" s="77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9"/>
    </row>
    <row r="836" spans="1:27" s="29" customFormat="1" ht="21.4" customHeight="1" thickBot="1" x14ac:dyDescent="0.25"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7" s="29" customFormat="1" ht="21.4" customHeight="1" x14ac:dyDescent="0.2">
      <c r="A837" s="417" t="s">
        <v>40</v>
      </c>
      <c r="B837" s="418"/>
      <c r="C837" s="418"/>
      <c r="D837" s="418"/>
      <c r="E837" s="418"/>
      <c r="F837" s="418"/>
      <c r="G837" s="418"/>
      <c r="H837" s="418"/>
      <c r="I837" s="418"/>
      <c r="J837" s="418"/>
      <c r="K837" s="418"/>
      <c r="L837" s="419"/>
      <c r="M837" s="28"/>
      <c r="N837" s="64"/>
      <c r="O837" s="405" t="s">
        <v>42</v>
      </c>
      <c r="P837" s="406"/>
      <c r="Q837" s="406"/>
      <c r="R837" s="407"/>
      <c r="S837" s="65"/>
      <c r="T837" s="405" t="s">
        <v>43</v>
      </c>
      <c r="U837" s="406"/>
      <c r="V837" s="406"/>
      <c r="W837" s="406"/>
      <c r="X837" s="406"/>
      <c r="Y837" s="407"/>
      <c r="Z837" s="66"/>
      <c r="AA837" s="28"/>
    </row>
    <row r="838" spans="1:27" s="29" customFormat="1" ht="21.4" customHeight="1" x14ac:dyDescent="0.2">
      <c r="A838" s="30"/>
      <c r="C838" s="395" t="s">
        <v>83</v>
      </c>
      <c r="D838" s="395"/>
      <c r="E838" s="395"/>
      <c r="F838" s="395"/>
      <c r="G838" s="31" t="str">
        <f>$J$1</f>
        <v>May</v>
      </c>
      <c r="H838" s="394">
        <f>$K$1</f>
        <v>2023</v>
      </c>
      <c r="I838" s="394"/>
      <c r="K838" s="32"/>
      <c r="L838" s="33"/>
      <c r="M838" s="32"/>
      <c r="N838" s="67"/>
      <c r="O838" s="68" t="s">
        <v>53</v>
      </c>
      <c r="P838" s="68" t="s">
        <v>7</v>
      </c>
      <c r="Q838" s="68" t="s">
        <v>6</v>
      </c>
      <c r="R838" s="68" t="s">
        <v>54</v>
      </c>
      <c r="S838" s="69"/>
      <c r="T838" s="68" t="s">
        <v>53</v>
      </c>
      <c r="U838" s="68" t="s">
        <v>55</v>
      </c>
      <c r="V838" s="68" t="s">
        <v>20</v>
      </c>
      <c r="W838" s="68" t="s">
        <v>19</v>
      </c>
      <c r="X838" s="68" t="s">
        <v>21</v>
      </c>
      <c r="Y838" s="68" t="s">
        <v>59</v>
      </c>
      <c r="Z838" s="70"/>
      <c r="AA838" s="32"/>
    </row>
    <row r="839" spans="1:27" s="29" customFormat="1" ht="21.4" customHeight="1" x14ac:dyDescent="0.2">
      <c r="A839" s="30"/>
      <c r="D839" s="35"/>
      <c r="E839" s="35"/>
      <c r="F839" s="35"/>
      <c r="G839" s="35"/>
      <c r="H839" s="35"/>
      <c r="J839" s="36" t="s">
        <v>1</v>
      </c>
      <c r="K839" s="37"/>
      <c r="L839" s="38"/>
      <c r="N839" s="71"/>
      <c r="O839" s="72" t="s">
        <v>45</v>
      </c>
      <c r="P839" s="72"/>
      <c r="Q839" s="72"/>
      <c r="R839" s="72">
        <f>15-Q839</f>
        <v>15</v>
      </c>
      <c r="S839" s="73"/>
      <c r="T839" s="72" t="s">
        <v>45</v>
      </c>
      <c r="U839" s="74"/>
      <c r="V839" s="74"/>
      <c r="W839" s="74">
        <f>V839+U839</f>
        <v>0</v>
      </c>
      <c r="X839" s="74"/>
      <c r="Y839" s="74">
        <f>W839-X839</f>
        <v>0</v>
      </c>
      <c r="Z839" s="70"/>
    </row>
    <row r="840" spans="1:27" s="29" customFormat="1" ht="21.4" customHeight="1" x14ac:dyDescent="0.2">
      <c r="A840" s="30"/>
      <c r="B840" s="29" t="s">
        <v>0</v>
      </c>
      <c r="C840" s="40"/>
      <c r="H840" s="41"/>
      <c r="I840" s="35"/>
      <c r="L840" s="42"/>
      <c r="M840" s="28"/>
      <c r="N840" s="75"/>
      <c r="O840" s="72" t="s">
        <v>71</v>
      </c>
      <c r="P840" s="72"/>
      <c r="Q840" s="72"/>
      <c r="R840" s="72" t="str">
        <f>IF(Q840="","",R839-Q840)</f>
        <v/>
      </c>
      <c r="S840" s="63"/>
      <c r="T840" s="72" t="s">
        <v>71</v>
      </c>
      <c r="U840" s="105">
        <f>Y839</f>
        <v>0</v>
      </c>
      <c r="V840" s="74"/>
      <c r="W840" s="105">
        <f>IF(U840="","",U840+V840)</f>
        <v>0</v>
      </c>
      <c r="X840" s="74"/>
      <c r="Y840" s="105">
        <f>IF(W840="","",W840-X840)</f>
        <v>0</v>
      </c>
      <c r="Z840" s="76"/>
      <c r="AA840" s="28"/>
    </row>
    <row r="841" spans="1:27" s="29" customFormat="1" ht="21.4" customHeight="1" x14ac:dyDescent="0.2">
      <c r="A841" s="30"/>
      <c r="B841" s="44" t="s">
        <v>41</v>
      </c>
      <c r="C841" s="62"/>
      <c r="F841" s="411" t="s">
        <v>43</v>
      </c>
      <c r="G841" s="411"/>
      <c r="I841" s="411" t="s">
        <v>44</v>
      </c>
      <c r="J841" s="411"/>
      <c r="K841" s="411"/>
      <c r="L841" s="46"/>
      <c r="N841" s="71"/>
      <c r="O841" s="72" t="s">
        <v>46</v>
      </c>
      <c r="P841" s="72"/>
      <c r="Q841" s="72"/>
      <c r="R841" s="72" t="str">
        <f t="shared" ref="R841:R850" si="169">IF(Q841="","",R840-Q841)</f>
        <v/>
      </c>
      <c r="S841" s="63"/>
      <c r="T841" s="72" t="s">
        <v>46</v>
      </c>
      <c r="U841" s="105">
        <f>IF($J$1="April",Y840,Y840)</f>
        <v>0</v>
      </c>
      <c r="V841" s="74"/>
      <c r="W841" s="105">
        <f t="shared" ref="W841:W850" si="170">IF(U841="","",U841+V841)</f>
        <v>0</v>
      </c>
      <c r="X841" s="74"/>
      <c r="Y841" s="105">
        <f t="shared" ref="Y841:Y850" si="171">IF(W841="","",W841-X841)</f>
        <v>0</v>
      </c>
      <c r="Z841" s="76"/>
    </row>
    <row r="842" spans="1:27" s="29" customFormat="1" ht="21.4" customHeight="1" x14ac:dyDescent="0.2">
      <c r="A842" s="30"/>
      <c r="H842" s="47"/>
      <c r="L842" s="34"/>
      <c r="N842" s="71"/>
      <c r="O842" s="72" t="s">
        <v>47</v>
      </c>
      <c r="P842" s="72"/>
      <c r="Q842" s="72"/>
      <c r="R842" s="72" t="str">
        <f t="shared" si="169"/>
        <v/>
      </c>
      <c r="S842" s="63"/>
      <c r="T842" s="72" t="s">
        <v>47</v>
      </c>
      <c r="U842" s="105">
        <f>IF($J$1="April",Y841,Y841)</f>
        <v>0</v>
      </c>
      <c r="V842" s="74"/>
      <c r="W842" s="105">
        <f t="shared" si="170"/>
        <v>0</v>
      </c>
      <c r="X842" s="74"/>
      <c r="Y842" s="105">
        <f t="shared" si="171"/>
        <v>0</v>
      </c>
      <c r="Z842" s="76"/>
    </row>
    <row r="843" spans="1:27" s="29" customFormat="1" ht="21.4" customHeight="1" x14ac:dyDescent="0.2">
      <c r="A843" s="30"/>
      <c r="B843" s="389" t="s">
        <v>42</v>
      </c>
      <c r="C843" s="390"/>
      <c r="F843" s="48" t="s">
        <v>64</v>
      </c>
      <c r="G843" s="43">
        <f>IF($J$1="January",U839,IF($J$1="February",U840,IF($J$1="March",U841,IF($J$1="April",U842,IF($J$1="May",U843,IF($J$1="June",U844,IF($J$1="July",U845,IF($J$1="August",U846,IF($J$1="August",U846,IF($J$1="September",U847,IF($J$1="October",U848,IF($J$1="November",U849,IF($J$1="December",U850)))))))))))))</f>
        <v>0</v>
      </c>
      <c r="H843" s="47"/>
      <c r="I843" s="49"/>
      <c r="J843" s="50" t="s">
        <v>61</v>
      </c>
      <c r="K843" s="51">
        <f>K839/$K$2*I843</f>
        <v>0</v>
      </c>
      <c r="L843" s="52"/>
      <c r="N843" s="71"/>
      <c r="O843" s="72" t="s">
        <v>48</v>
      </c>
      <c r="P843" s="72"/>
      <c r="Q843" s="72"/>
      <c r="R843" s="72" t="str">
        <f t="shared" si="169"/>
        <v/>
      </c>
      <c r="S843" s="63"/>
      <c r="T843" s="72" t="s">
        <v>48</v>
      </c>
      <c r="U843" s="105">
        <f>IF($J$1="May",Y842,Y842)</f>
        <v>0</v>
      </c>
      <c r="V843" s="74"/>
      <c r="W843" s="105">
        <f t="shared" si="170"/>
        <v>0</v>
      </c>
      <c r="X843" s="74"/>
      <c r="Y843" s="105">
        <f t="shared" si="171"/>
        <v>0</v>
      </c>
      <c r="Z843" s="76"/>
    </row>
    <row r="844" spans="1:27" s="29" customFormat="1" ht="21.4" customHeight="1" x14ac:dyDescent="0.2">
      <c r="A844" s="30"/>
      <c r="B844" s="39"/>
      <c r="C844" s="39"/>
      <c r="F844" s="48" t="s">
        <v>20</v>
      </c>
      <c r="G844" s="43">
        <f>IF($J$1="January",V839,IF($J$1="February",V840,IF($J$1="March",V841,IF($J$1="April",V842,IF($J$1="May",V843,IF($J$1="June",V844,IF($J$1="July",V845,IF($J$1="August",V846,IF($J$1="August",V846,IF($J$1="September",V847,IF($J$1="October",V848,IF($J$1="November",V849,IF($J$1="December",V850)))))))))))))</f>
        <v>0</v>
      </c>
      <c r="H844" s="47"/>
      <c r="I844" s="49"/>
      <c r="J844" s="50" t="s">
        <v>62</v>
      </c>
      <c r="K844" s="53"/>
      <c r="L844" s="54"/>
      <c r="N844" s="71"/>
      <c r="O844" s="72" t="s">
        <v>49</v>
      </c>
      <c r="P844" s="72"/>
      <c r="Q844" s="72"/>
      <c r="R844" s="72" t="str">
        <f t="shared" si="169"/>
        <v/>
      </c>
      <c r="S844" s="63"/>
      <c r="T844" s="72" t="s">
        <v>49</v>
      </c>
      <c r="U844" s="105">
        <f>IF($J$1="May",Y843,Y843)</f>
        <v>0</v>
      </c>
      <c r="V844" s="74"/>
      <c r="W844" s="105">
        <f t="shared" si="170"/>
        <v>0</v>
      </c>
      <c r="X844" s="74"/>
      <c r="Y844" s="105">
        <f t="shared" si="171"/>
        <v>0</v>
      </c>
      <c r="Z844" s="76"/>
    </row>
    <row r="845" spans="1:27" s="29" customFormat="1" ht="21.4" customHeight="1" x14ac:dyDescent="0.2">
      <c r="A845" s="30"/>
      <c r="B845" s="48" t="s">
        <v>7</v>
      </c>
      <c r="C845" s="39">
        <f>IF($J$1="January",P839,IF($J$1="February",P840,IF($J$1="March",P841,IF($J$1="April",P842,IF($J$1="May",P843,IF($J$1="June",P844,IF($J$1="July",P845,IF($J$1="August",P846,IF($J$1="August",P846,IF($J$1="September",P847,IF($J$1="October",P848,IF($J$1="November",P849,IF($J$1="December",P850)))))))))))))</f>
        <v>0</v>
      </c>
      <c r="F845" s="48" t="s">
        <v>65</v>
      </c>
      <c r="G845" s="43">
        <f>IF($J$1="January",W839,IF($J$1="February",W840,IF($J$1="March",W841,IF($J$1="April",W842,IF($J$1="May",W843,IF($J$1="June",W844,IF($J$1="July",W845,IF($J$1="August",W846,IF($J$1="August",W846,IF($J$1="September",W847,IF($J$1="October",W848,IF($J$1="November",W849,IF($J$1="December",W850)))))))))))))</f>
        <v>0</v>
      </c>
      <c r="H845" s="47"/>
      <c r="I845" s="402" t="s">
        <v>69</v>
      </c>
      <c r="J845" s="403"/>
      <c r="K845" s="53">
        <f>K843+K844</f>
        <v>0</v>
      </c>
      <c r="L845" s="54"/>
      <c r="N845" s="71"/>
      <c r="O845" s="72" t="s">
        <v>50</v>
      </c>
      <c r="P845" s="72"/>
      <c r="Q845" s="72"/>
      <c r="R845" s="72" t="str">
        <f t="shared" si="169"/>
        <v/>
      </c>
      <c r="S845" s="63"/>
      <c r="T845" s="72" t="s">
        <v>50</v>
      </c>
      <c r="U845" s="105">
        <f>IF($J$1="May",Y844,Y844)</f>
        <v>0</v>
      </c>
      <c r="V845" s="74"/>
      <c r="W845" s="105">
        <f t="shared" si="170"/>
        <v>0</v>
      </c>
      <c r="X845" s="74"/>
      <c r="Y845" s="105">
        <f t="shared" si="171"/>
        <v>0</v>
      </c>
      <c r="Z845" s="76"/>
    </row>
    <row r="846" spans="1:27" s="29" customFormat="1" ht="21.4" customHeight="1" x14ac:dyDescent="0.2">
      <c r="A846" s="30"/>
      <c r="B846" s="48" t="s">
        <v>6</v>
      </c>
      <c r="C846" s="39">
        <f>IF($J$1="January",Q839,IF($J$1="February",Q840,IF($J$1="March",Q841,IF($J$1="April",Q842,IF($J$1="May",Q843,IF($J$1="June",Q844,IF($J$1="July",Q845,IF($J$1="August",Q846,IF($J$1="August",Q846,IF($J$1="September",Q847,IF($J$1="October",Q848,IF($J$1="November",Q849,IF($J$1="December",Q850)))))))))))))</f>
        <v>0</v>
      </c>
      <c r="F846" s="48" t="s">
        <v>21</v>
      </c>
      <c r="G846" s="43">
        <f>IF($J$1="January",X839,IF($J$1="February",X840,IF($J$1="March",X841,IF($J$1="April",X842,IF($J$1="May",X843,IF($J$1="June",X844,IF($J$1="July",X845,IF($J$1="August",X846,IF($J$1="August",X846,IF($J$1="September",X847,IF($J$1="October",X848,IF($J$1="November",X849,IF($J$1="December",X850)))))))))))))</f>
        <v>0</v>
      </c>
      <c r="H846" s="47"/>
      <c r="I846" s="402" t="s">
        <v>70</v>
      </c>
      <c r="J846" s="403"/>
      <c r="K846" s="43">
        <f>G846</f>
        <v>0</v>
      </c>
      <c r="L846" s="55"/>
      <c r="N846" s="71"/>
      <c r="O846" s="72" t="s">
        <v>51</v>
      </c>
      <c r="P846" s="72"/>
      <c r="Q846" s="72"/>
      <c r="R846" s="72" t="str">
        <f t="shared" si="169"/>
        <v/>
      </c>
      <c r="S846" s="63"/>
      <c r="T846" s="72" t="s">
        <v>51</v>
      </c>
      <c r="U846" s="105" t="str">
        <f>IF($J$1="September",Y845,"")</f>
        <v/>
      </c>
      <c r="V846" s="74"/>
      <c r="W846" s="105" t="str">
        <f t="shared" si="170"/>
        <v/>
      </c>
      <c r="X846" s="74"/>
      <c r="Y846" s="105" t="str">
        <f t="shared" si="171"/>
        <v/>
      </c>
      <c r="Z846" s="76"/>
    </row>
    <row r="847" spans="1:27" s="29" customFormat="1" ht="21.4" customHeight="1" x14ac:dyDescent="0.2">
      <c r="A847" s="30"/>
      <c r="B847" s="56" t="s">
        <v>68</v>
      </c>
      <c r="C847" s="39" t="str">
        <f>IF($J$1="January",R839,IF($J$1="February",R840,IF($J$1="March",R841,IF($J$1="April",R842,IF($J$1="May",R843,IF($J$1="June",R844,IF($J$1="July",R845,IF($J$1="August",R846,IF($J$1="August",R846,IF($J$1="September",R847,IF($J$1="October",R848,IF($J$1="November",R849,IF($J$1="December",R850)))))))))))))</f>
        <v/>
      </c>
      <c r="F847" s="48" t="s">
        <v>67</v>
      </c>
      <c r="G847" s="43">
        <f>IF($J$1="January",Y839,IF($J$1="February",Y840,IF($J$1="March",Y841,IF($J$1="April",Y842,IF($J$1="May",Y843,IF($J$1="June",Y844,IF($J$1="July",Y845,IF($J$1="August",Y846,IF($J$1="August",Y846,IF($J$1="September",Y847,IF($J$1="October",Y848,IF($J$1="November",Y849,IF($J$1="December",Y850)))))))))))))</f>
        <v>0</v>
      </c>
      <c r="I847" s="391" t="s">
        <v>63</v>
      </c>
      <c r="J847" s="393"/>
      <c r="K847" s="57">
        <f>K845-K846</f>
        <v>0</v>
      </c>
      <c r="L847" s="58"/>
      <c r="N847" s="71"/>
      <c r="O847" s="72" t="s">
        <v>56</v>
      </c>
      <c r="P847" s="72"/>
      <c r="Q847" s="72"/>
      <c r="R847" s="72" t="str">
        <f t="shared" si="169"/>
        <v/>
      </c>
      <c r="S847" s="63"/>
      <c r="T847" s="72" t="s">
        <v>56</v>
      </c>
      <c r="U847" s="105" t="str">
        <f>IF($J$1="September",Y846,"")</f>
        <v/>
      </c>
      <c r="V847" s="74"/>
      <c r="W847" s="105" t="str">
        <f t="shared" si="170"/>
        <v/>
      </c>
      <c r="X847" s="74"/>
      <c r="Y847" s="105" t="str">
        <f t="shared" si="171"/>
        <v/>
      </c>
      <c r="Z847" s="76"/>
    </row>
    <row r="848" spans="1:27" s="29" customFormat="1" ht="21.4" customHeight="1" x14ac:dyDescent="0.2">
      <c r="A848" s="30"/>
      <c r="L848" s="46"/>
      <c r="N848" s="71"/>
      <c r="O848" s="72" t="s">
        <v>52</v>
      </c>
      <c r="P848" s="72"/>
      <c r="Q848" s="72"/>
      <c r="R848" s="72" t="str">
        <f t="shared" si="169"/>
        <v/>
      </c>
      <c r="S848" s="63"/>
      <c r="T848" s="72" t="s">
        <v>52</v>
      </c>
      <c r="U848" s="105" t="str">
        <f>IF($J$1="October",Y847,"")</f>
        <v/>
      </c>
      <c r="V848" s="74"/>
      <c r="W848" s="105" t="str">
        <f t="shared" si="170"/>
        <v/>
      </c>
      <c r="X848" s="74"/>
      <c r="Y848" s="105" t="str">
        <f t="shared" si="171"/>
        <v/>
      </c>
      <c r="Z848" s="76"/>
    </row>
    <row r="849" spans="1:27" s="29" customFormat="1" ht="21.4" customHeight="1" x14ac:dyDescent="0.2">
      <c r="A849" s="30"/>
      <c r="B849" s="404" t="s">
        <v>85</v>
      </c>
      <c r="C849" s="404"/>
      <c r="D849" s="404"/>
      <c r="E849" s="404"/>
      <c r="F849" s="404"/>
      <c r="G849" s="404"/>
      <c r="H849" s="404"/>
      <c r="I849" s="404"/>
      <c r="J849" s="404"/>
      <c r="K849" s="404"/>
      <c r="L849" s="46"/>
      <c r="N849" s="71"/>
      <c r="O849" s="72" t="s">
        <v>57</v>
      </c>
      <c r="P849" s="72"/>
      <c r="Q849" s="72"/>
      <c r="R849" s="72" t="str">
        <f t="shared" si="169"/>
        <v/>
      </c>
      <c r="S849" s="63"/>
      <c r="T849" s="72" t="s">
        <v>57</v>
      </c>
      <c r="U849" s="105" t="str">
        <f>IF($J$1="November",Y848,"")</f>
        <v/>
      </c>
      <c r="V849" s="74"/>
      <c r="W849" s="105" t="str">
        <f t="shared" si="170"/>
        <v/>
      </c>
      <c r="X849" s="74"/>
      <c r="Y849" s="105" t="str">
        <f t="shared" si="171"/>
        <v/>
      </c>
      <c r="Z849" s="76"/>
    </row>
    <row r="850" spans="1:27" s="29" customFormat="1" ht="21.4" customHeight="1" x14ac:dyDescent="0.2">
      <c r="A850" s="30"/>
      <c r="B850" s="404"/>
      <c r="C850" s="404"/>
      <c r="D850" s="404"/>
      <c r="E850" s="404"/>
      <c r="F850" s="404"/>
      <c r="G850" s="404"/>
      <c r="H850" s="404"/>
      <c r="I850" s="404"/>
      <c r="J850" s="404"/>
      <c r="K850" s="404"/>
      <c r="L850" s="46"/>
      <c r="N850" s="71"/>
      <c r="O850" s="72" t="s">
        <v>58</v>
      </c>
      <c r="P850" s="72"/>
      <c r="Q850" s="72"/>
      <c r="R850" s="72" t="str">
        <f t="shared" si="169"/>
        <v/>
      </c>
      <c r="S850" s="63"/>
      <c r="T850" s="72" t="s">
        <v>58</v>
      </c>
      <c r="U850" s="105" t="str">
        <f>IF($J$1="Dec",Y849,"")</f>
        <v/>
      </c>
      <c r="V850" s="74"/>
      <c r="W850" s="105" t="str">
        <f t="shared" si="170"/>
        <v/>
      </c>
      <c r="X850" s="74"/>
      <c r="Y850" s="105" t="str">
        <f t="shared" si="171"/>
        <v/>
      </c>
      <c r="Z850" s="76"/>
    </row>
    <row r="851" spans="1:27" s="29" customFormat="1" ht="21.4" customHeight="1" thickBot="1" x14ac:dyDescent="0.25">
      <c r="A851" s="5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1"/>
      <c r="N851" s="77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9"/>
    </row>
    <row r="852" spans="1:27" s="29" customFormat="1" ht="21.4" customHeight="1" thickBot="1" x14ac:dyDescent="0.25"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7" s="29" customFormat="1" ht="21.4" customHeight="1" x14ac:dyDescent="0.2">
      <c r="A853" s="408" t="s">
        <v>40</v>
      </c>
      <c r="B853" s="409"/>
      <c r="C853" s="409"/>
      <c r="D853" s="409"/>
      <c r="E853" s="409"/>
      <c r="F853" s="409"/>
      <c r="G853" s="409"/>
      <c r="H853" s="409"/>
      <c r="I853" s="409"/>
      <c r="J853" s="409"/>
      <c r="K853" s="409"/>
      <c r="L853" s="410"/>
      <c r="M853" s="28"/>
      <c r="N853" s="64"/>
      <c r="O853" s="405" t="s">
        <v>42</v>
      </c>
      <c r="P853" s="406"/>
      <c r="Q853" s="406"/>
      <c r="R853" s="407"/>
      <c r="S853" s="65"/>
      <c r="T853" s="405" t="s">
        <v>43</v>
      </c>
      <c r="U853" s="406"/>
      <c r="V853" s="406"/>
      <c r="W853" s="406"/>
      <c r="X853" s="406"/>
      <c r="Y853" s="407"/>
      <c r="Z853" s="66"/>
      <c r="AA853" s="28"/>
    </row>
    <row r="854" spans="1:27" s="29" customFormat="1" ht="21.4" customHeight="1" x14ac:dyDescent="0.2">
      <c r="A854" s="30"/>
      <c r="C854" s="395" t="s">
        <v>83</v>
      </c>
      <c r="D854" s="395"/>
      <c r="E854" s="395"/>
      <c r="F854" s="395"/>
      <c r="G854" s="31" t="str">
        <f>$J$1</f>
        <v>May</v>
      </c>
      <c r="H854" s="394">
        <f>$K$1</f>
        <v>2023</v>
      </c>
      <c r="I854" s="394"/>
      <c r="K854" s="32"/>
      <c r="L854" s="33"/>
      <c r="M854" s="32"/>
      <c r="N854" s="67"/>
      <c r="O854" s="68" t="s">
        <v>53</v>
      </c>
      <c r="P854" s="68" t="s">
        <v>7</v>
      </c>
      <c r="Q854" s="68" t="s">
        <v>6</v>
      </c>
      <c r="R854" s="68" t="s">
        <v>54</v>
      </c>
      <c r="S854" s="69"/>
      <c r="T854" s="68" t="s">
        <v>53</v>
      </c>
      <c r="U854" s="68" t="s">
        <v>55</v>
      </c>
      <c r="V854" s="68" t="s">
        <v>20</v>
      </c>
      <c r="W854" s="68" t="s">
        <v>19</v>
      </c>
      <c r="X854" s="68" t="s">
        <v>21</v>
      </c>
      <c r="Y854" s="68" t="s">
        <v>59</v>
      </c>
      <c r="Z854" s="70"/>
      <c r="AA854" s="32"/>
    </row>
    <row r="855" spans="1:27" s="29" customFormat="1" ht="21.4" customHeight="1" x14ac:dyDescent="0.2">
      <c r="A855" s="30"/>
      <c r="D855" s="35"/>
      <c r="E855" s="35"/>
      <c r="F855" s="35"/>
      <c r="G855" s="35"/>
      <c r="H855" s="35"/>
      <c r="J855" s="36" t="s">
        <v>1</v>
      </c>
      <c r="K855" s="37"/>
      <c r="L855" s="38"/>
      <c r="N855" s="71"/>
      <c r="O855" s="72" t="s">
        <v>45</v>
      </c>
      <c r="P855" s="72"/>
      <c r="Q855" s="72"/>
      <c r="R855" s="72">
        <v>0</v>
      </c>
      <c r="S855" s="73"/>
      <c r="T855" s="72" t="s">
        <v>45</v>
      </c>
      <c r="U855" s="74"/>
      <c r="V855" s="74"/>
      <c r="W855" s="74">
        <f>V855+U855</f>
        <v>0</v>
      </c>
      <c r="X855" s="74"/>
      <c r="Y855" s="74">
        <f>W855-X855</f>
        <v>0</v>
      </c>
      <c r="Z855" s="70"/>
    </row>
    <row r="856" spans="1:27" s="29" customFormat="1" ht="21.4" customHeight="1" x14ac:dyDescent="0.2">
      <c r="A856" s="30"/>
      <c r="B856" s="29" t="s">
        <v>0</v>
      </c>
      <c r="C856" s="40"/>
      <c r="H856" s="41"/>
      <c r="I856" s="35"/>
      <c r="L856" s="42"/>
      <c r="M856" s="28"/>
      <c r="N856" s="75"/>
      <c r="O856" s="72" t="s">
        <v>71</v>
      </c>
      <c r="P856" s="72"/>
      <c r="Q856" s="72"/>
      <c r="R856" s="72" t="str">
        <f>IF(Q856="","",R855-Q856)</f>
        <v/>
      </c>
      <c r="S856" s="63"/>
      <c r="T856" s="72" t="s">
        <v>71</v>
      </c>
      <c r="U856" s="105">
        <f>IF($J$1="January","",Y855)</f>
        <v>0</v>
      </c>
      <c r="V856" s="74"/>
      <c r="W856" s="105">
        <f>IF(U856="","",U856+V856)</f>
        <v>0</v>
      </c>
      <c r="X856" s="74"/>
      <c r="Y856" s="105">
        <f>IF(W856="","",W856-X856)</f>
        <v>0</v>
      </c>
      <c r="Z856" s="76"/>
      <c r="AA856" s="28"/>
    </row>
    <row r="857" spans="1:27" s="29" customFormat="1" ht="21.4" customHeight="1" x14ac:dyDescent="0.2">
      <c r="A857" s="30"/>
      <c r="B857" s="44" t="s">
        <v>41</v>
      </c>
      <c r="C857" s="45"/>
      <c r="F857" s="411" t="s">
        <v>43</v>
      </c>
      <c r="G857" s="411"/>
      <c r="I857" s="411" t="s">
        <v>44</v>
      </c>
      <c r="J857" s="411"/>
      <c r="K857" s="411"/>
      <c r="L857" s="46"/>
      <c r="N857" s="71"/>
      <c r="O857" s="72" t="s">
        <v>46</v>
      </c>
      <c r="P857" s="72"/>
      <c r="Q857" s="72"/>
      <c r="R857" s="72">
        <v>0</v>
      </c>
      <c r="S857" s="63"/>
      <c r="T857" s="72" t="s">
        <v>46</v>
      </c>
      <c r="U857" s="105">
        <f>IF($J$1="February","",Y856)</f>
        <v>0</v>
      </c>
      <c r="V857" s="74"/>
      <c r="W857" s="105">
        <f t="shared" ref="W857:W866" si="172">IF(U857="","",U857+V857)</f>
        <v>0</v>
      </c>
      <c r="X857" s="74"/>
      <c r="Y857" s="105">
        <f t="shared" ref="Y857:Y866" si="173">IF(W857="","",W857-X857)</f>
        <v>0</v>
      </c>
      <c r="Z857" s="76"/>
    </row>
    <row r="858" spans="1:27" s="29" customFormat="1" ht="21.4" customHeight="1" x14ac:dyDescent="0.2">
      <c r="A858" s="30"/>
      <c r="H858" s="47"/>
      <c r="L858" s="34"/>
      <c r="N858" s="71"/>
      <c r="O858" s="72" t="s">
        <v>47</v>
      </c>
      <c r="P858" s="72"/>
      <c r="Q858" s="72"/>
      <c r="R858" s="72">
        <v>0</v>
      </c>
      <c r="S858" s="63"/>
      <c r="T858" s="72" t="s">
        <v>47</v>
      </c>
      <c r="U858" s="105">
        <f>IF($J$1="March","",Y857)</f>
        <v>0</v>
      </c>
      <c r="V858" s="74"/>
      <c r="W858" s="105">
        <f t="shared" si="172"/>
        <v>0</v>
      </c>
      <c r="X858" s="74"/>
      <c r="Y858" s="105">
        <f t="shared" si="173"/>
        <v>0</v>
      </c>
      <c r="Z858" s="76"/>
    </row>
    <row r="859" spans="1:27" s="29" customFormat="1" ht="21.4" customHeight="1" x14ac:dyDescent="0.2">
      <c r="A859" s="30"/>
      <c r="B859" s="389" t="s">
        <v>42</v>
      </c>
      <c r="C859" s="390"/>
      <c r="F859" s="48" t="s">
        <v>64</v>
      </c>
      <c r="G859" s="43">
        <f>IF($J$1="January",U855,IF($J$1="February",U856,IF($J$1="March",U857,IF($J$1="April",U858,IF($J$1="May",U859,IF($J$1="June",U860,IF($J$1="July",U861,IF($J$1="August",U862,IF($J$1="August",U862,IF($J$1="September",U863,IF($J$1="October",U864,IF($J$1="November",U865,IF($J$1="December",U866)))))))))))))</f>
        <v>0</v>
      </c>
      <c r="H859" s="47"/>
      <c r="I859" s="49">
        <f>IF(C863&gt;0,$K$2,C861)</f>
        <v>0</v>
      </c>
      <c r="J859" s="50" t="s">
        <v>61</v>
      </c>
      <c r="K859" s="51">
        <f>K855/$K$2*I859</f>
        <v>0</v>
      </c>
      <c r="L859" s="52"/>
      <c r="N859" s="71"/>
      <c r="O859" s="72" t="s">
        <v>48</v>
      </c>
      <c r="P859" s="72"/>
      <c r="Q859" s="72"/>
      <c r="R859" s="72">
        <v>0</v>
      </c>
      <c r="S859" s="63"/>
      <c r="T859" s="72" t="s">
        <v>48</v>
      </c>
      <c r="U859" s="105">
        <f>IF($J$1="April","",Y858)</f>
        <v>0</v>
      </c>
      <c r="V859" s="74"/>
      <c r="W859" s="105">
        <f t="shared" si="172"/>
        <v>0</v>
      </c>
      <c r="X859" s="74"/>
      <c r="Y859" s="105">
        <f t="shared" si="173"/>
        <v>0</v>
      </c>
      <c r="Z859" s="76"/>
    </row>
    <row r="860" spans="1:27" s="29" customFormat="1" ht="21.4" customHeight="1" x14ac:dyDescent="0.2">
      <c r="A860" s="30"/>
      <c r="B860" s="39"/>
      <c r="C860" s="39"/>
      <c r="F860" s="48" t="s">
        <v>20</v>
      </c>
      <c r="G860" s="43">
        <f>IF($J$1="January",V855,IF($J$1="February",V856,IF($J$1="March",V857,IF($J$1="April",V858,IF($J$1="May",V859,IF($J$1="June",V860,IF($J$1="July",V861,IF($J$1="August",V862,IF($J$1="August",V862,IF($J$1="September",V863,IF($J$1="October",V864,IF($J$1="November",V865,IF($J$1="December",V866)))))))))))))</f>
        <v>0</v>
      </c>
      <c r="H860" s="47"/>
      <c r="I860" s="84"/>
      <c r="J860" s="50" t="s">
        <v>62</v>
      </c>
      <c r="K860" s="53">
        <f>K855/$K$2/8*I860</f>
        <v>0</v>
      </c>
      <c r="L860" s="54"/>
      <c r="N860" s="71"/>
      <c r="O860" s="72" t="s">
        <v>49</v>
      </c>
      <c r="P860" s="72"/>
      <c r="Q860" s="72"/>
      <c r="R860" s="72" t="str">
        <f t="shared" ref="R860:R864" si="174">IF(Q860="","",R859-Q860)</f>
        <v/>
      </c>
      <c r="S860" s="63"/>
      <c r="T860" s="72" t="s">
        <v>49</v>
      </c>
      <c r="U860" s="105" t="str">
        <f>IF($J$1="May","",Y859)</f>
        <v/>
      </c>
      <c r="V860" s="74"/>
      <c r="W860" s="105" t="str">
        <f t="shared" si="172"/>
        <v/>
      </c>
      <c r="X860" s="74"/>
      <c r="Y860" s="105" t="str">
        <f t="shared" si="173"/>
        <v/>
      </c>
      <c r="Z860" s="76"/>
    </row>
    <row r="861" spans="1:27" s="29" customFormat="1" ht="21.4" customHeight="1" x14ac:dyDescent="0.2">
      <c r="A861" s="30"/>
      <c r="B861" s="48" t="s">
        <v>7</v>
      </c>
      <c r="C861" s="39">
        <f>IF($J$1="January",P855,IF($J$1="February",P856,IF($J$1="March",P857,IF($J$1="April",P858,IF($J$1="May",P859,IF($J$1="June",P860,IF($J$1="July",P861,IF($J$1="August",P862,IF($J$1="August",P862,IF($J$1="September",P863,IF($J$1="October",P864,IF($J$1="November",P865,IF($J$1="December",P866)))))))))))))</f>
        <v>0</v>
      </c>
      <c r="F861" s="48" t="s">
        <v>65</v>
      </c>
      <c r="G861" s="43">
        <f>IF($J$1="January",W855,IF($J$1="February",W856,IF($J$1="March",W857,IF($J$1="April",W858,IF($J$1="May",W859,IF($J$1="June",W860,IF($J$1="July",W861,IF($J$1="August",W862,IF($J$1="August",W862,IF($J$1="September",W863,IF($J$1="October",W864,IF($J$1="November",W865,IF($J$1="December",W866)))))))))))))</f>
        <v>0</v>
      </c>
      <c r="H861" s="47"/>
      <c r="I861" s="402" t="s">
        <v>69</v>
      </c>
      <c r="J861" s="403"/>
      <c r="K861" s="53">
        <f>K859+K860</f>
        <v>0</v>
      </c>
      <c r="L861" s="54"/>
      <c r="N861" s="71"/>
      <c r="O861" s="72" t="s">
        <v>50</v>
      </c>
      <c r="P861" s="72"/>
      <c r="Q861" s="72"/>
      <c r="R861" s="72">
        <v>0</v>
      </c>
      <c r="S861" s="63"/>
      <c r="T861" s="72" t="s">
        <v>50</v>
      </c>
      <c r="U861" s="105" t="str">
        <f>IF($J$1="June","",Y860)</f>
        <v/>
      </c>
      <c r="V861" s="74"/>
      <c r="W861" s="105" t="str">
        <f t="shared" si="172"/>
        <v/>
      </c>
      <c r="X861" s="74"/>
      <c r="Y861" s="105" t="str">
        <f t="shared" si="173"/>
        <v/>
      </c>
      <c r="Z861" s="76"/>
    </row>
    <row r="862" spans="1:27" s="29" customFormat="1" ht="21.4" customHeight="1" x14ac:dyDescent="0.2">
      <c r="A862" s="30"/>
      <c r="B862" s="48" t="s">
        <v>6</v>
      </c>
      <c r="C862" s="39">
        <f>IF($J$1="January",Q855,IF($J$1="February",Q856,IF($J$1="March",Q857,IF($J$1="April",Q858,IF($J$1="May",Q859,IF($J$1="June",Q860,IF($J$1="July",Q861,IF($J$1="August",Q862,IF($J$1="August",Q862,IF($J$1="September",Q863,IF($J$1="October",Q864,IF($J$1="November",Q865,IF($J$1="December",Q866)))))))))))))</f>
        <v>0</v>
      </c>
      <c r="F862" s="48" t="s">
        <v>21</v>
      </c>
      <c r="G862" s="43">
        <f>IF($J$1="January",X855,IF($J$1="February",X856,IF($J$1="March",X857,IF($J$1="April",X858,IF($J$1="May",X859,IF($J$1="June",X860,IF($J$1="July",X861,IF($J$1="August",X862,IF($J$1="August",X862,IF($J$1="September",X863,IF($J$1="October",X864,IF($J$1="November",X865,IF($J$1="December",X866)))))))))))))</f>
        <v>0</v>
      </c>
      <c r="H862" s="47"/>
      <c r="I862" s="402" t="s">
        <v>70</v>
      </c>
      <c r="J862" s="403"/>
      <c r="K862" s="43">
        <f>G862</f>
        <v>0</v>
      </c>
      <c r="L862" s="55"/>
      <c r="N862" s="71"/>
      <c r="O862" s="72" t="s">
        <v>51</v>
      </c>
      <c r="P862" s="72"/>
      <c r="Q862" s="72"/>
      <c r="R862" s="72" t="str">
        <f t="shared" si="174"/>
        <v/>
      </c>
      <c r="S862" s="63"/>
      <c r="T862" s="72" t="s">
        <v>51</v>
      </c>
      <c r="U862" s="105" t="str">
        <f>IF($J$1="July","",Y861)</f>
        <v/>
      </c>
      <c r="V862" s="74"/>
      <c r="W862" s="105" t="str">
        <f t="shared" si="172"/>
        <v/>
      </c>
      <c r="X862" s="74"/>
      <c r="Y862" s="105" t="str">
        <f t="shared" si="173"/>
        <v/>
      </c>
      <c r="Z862" s="76"/>
    </row>
    <row r="863" spans="1:27" s="29" customFormat="1" ht="21.4" customHeight="1" x14ac:dyDescent="0.2">
      <c r="A863" s="30"/>
      <c r="B863" s="56" t="s">
        <v>68</v>
      </c>
      <c r="C863" s="39">
        <f>IF($J$1="January",R855,IF($J$1="February",R856,IF($J$1="March",R857,IF($J$1="April",R858,IF($J$1="May",R859,IF($J$1="June",R860,IF($J$1="July",R861,IF($J$1="August",R862,IF($J$1="August",R862,IF($J$1="September",R863,IF($J$1="October",R864,IF($J$1="November",R865,IF($J$1="December",R866)))))))))))))</f>
        <v>0</v>
      </c>
      <c r="F863" s="48" t="s">
        <v>67</v>
      </c>
      <c r="G863" s="43">
        <f>IF($J$1="January",Y855,IF($J$1="February",Y856,IF($J$1="March",Y857,IF($J$1="April",Y858,IF($J$1="May",Y859,IF($J$1="June",Y860,IF($J$1="July",Y861,IF($J$1="August",Y862,IF($J$1="August",Y862,IF($J$1="September",Y863,IF($J$1="October",Y864,IF($J$1="November",Y865,IF($J$1="December",Y866)))))))))))))</f>
        <v>0</v>
      </c>
      <c r="I863" s="391" t="s">
        <v>63</v>
      </c>
      <c r="J863" s="393"/>
      <c r="K863" s="57">
        <f>K861-K862</f>
        <v>0</v>
      </c>
      <c r="L863" s="58"/>
      <c r="N863" s="71"/>
      <c r="O863" s="72" t="s">
        <v>56</v>
      </c>
      <c r="P863" s="72"/>
      <c r="Q863" s="72"/>
      <c r="R863" s="72"/>
      <c r="S863" s="63"/>
      <c r="T863" s="72" t="s">
        <v>56</v>
      </c>
      <c r="U863" s="105" t="str">
        <f>IF($J$1="August","",Y862)</f>
        <v/>
      </c>
      <c r="V863" s="74"/>
      <c r="W863" s="105" t="str">
        <f t="shared" si="172"/>
        <v/>
      </c>
      <c r="X863" s="74"/>
      <c r="Y863" s="105" t="str">
        <f t="shared" si="173"/>
        <v/>
      </c>
      <c r="Z863" s="76"/>
    </row>
    <row r="864" spans="1:27" s="29" customFormat="1" ht="21.4" customHeight="1" x14ac:dyDescent="0.2">
      <c r="A864" s="30"/>
      <c r="L864" s="46"/>
      <c r="N864" s="71"/>
      <c r="O864" s="72" t="s">
        <v>52</v>
      </c>
      <c r="P864" s="72"/>
      <c r="Q864" s="72"/>
      <c r="R864" s="72" t="str">
        <f t="shared" si="174"/>
        <v/>
      </c>
      <c r="S864" s="63"/>
      <c r="T864" s="72" t="s">
        <v>52</v>
      </c>
      <c r="U864" s="105" t="str">
        <f>IF($J$1="September","",Y863)</f>
        <v/>
      </c>
      <c r="V864" s="74"/>
      <c r="W864" s="105" t="str">
        <f t="shared" si="172"/>
        <v/>
      </c>
      <c r="X864" s="74"/>
      <c r="Y864" s="105" t="str">
        <f t="shared" si="173"/>
        <v/>
      </c>
      <c r="Z864" s="76"/>
    </row>
    <row r="865" spans="1:27" s="29" customFormat="1" ht="21.4" customHeight="1" x14ac:dyDescent="0.2">
      <c r="A865" s="30"/>
      <c r="B865" s="404" t="s">
        <v>85</v>
      </c>
      <c r="C865" s="404"/>
      <c r="D865" s="404"/>
      <c r="E865" s="404"/>
      <c r="F865" s="404"/>
      <c r="G865" s="404"/>
      <c r="H865" s="404"/>
      <c r="I865" s="404"/>
      <c r="J865" s="404"/>
      <c r="K865" s="404"/>
      <c r="L865" s="46"/>
      <c r="N865" s="71"/>
      <c r="O865" s="72" t="s">
        <v>57</v>
      </c>
      <c r="P865" s="72"/>
      <c r="Q865" s="72"/>
      <c r="R865" s="72">
        <v>0</v>
      </c>
      <c r="S865" s="63"/>
      <c r="T865" s="72" t="s">
        <v>57</v>
      </c>
      <c r="U865" s="105" t="str">
        <f>IF($J$1="October","",Y864)</f>
        <v/>
      </c>
      <c r="V865" s="74"/>
      <c r="W865" s="105" t="str">
        <f t="shared" si="172"/>
        <v/>
      </c>
      <c r="X865" s="74"/>
      <c r="Y865" s="105" t="str">
        <f t="shared" si="173"/>
        <v/>
      </c>
      <c r="Z865" s="76"/>
    </row>
    <row r="866" spans="1:27" s="29" customFormat="1" ht="21.4" customHeight="1" x14ac:dyDescent="0.2">
      <c r="A866" s="30"/>
      <c r="B866" s="404"/>
      <c r="C866" s="404"/>
      <c r="D866" s="404"/>
      <c r="E866" s="404"/>
      <c r="F866" s="404"/>
      <c r="G866" s="404"/>
      <c r="H866" s="404"/>
      <c r="I866" s="404"/>
      <c r="J866" s="404"/>
      <c r="K866" s="404"/>
      <c r="L866" s="46"/>
      <c r="N866" s="71"/>
      <c r="O866" s="72" t="s">
        <v>58</v>
      </c>
      <c r="P866" s="72"/>
      <c r="Q866" s="72"/>
      <c r="R866" s="72">
        <v>0</v>
      </c>
      <c r="S866" s="63"/>
      <c r="T866" s="72" t="s">
        <v>58</v>
      </c>
      <c r="U866" s="105" t="str">
        <f>IF($J$1="November","",Y865)</f>
        <v/>
      </c>
      <c r="V866" s="74"/>
      <c r="W866" s="105" t="str">
        <f t="shared" si="172"/>
        <v/>
      </c>
      <c r="X866" s="74"/>
      <c r="Y866" s="105" t="str">
        <f t="shared" si="173"/>
        <v/>
      </c>
      <c r="Z866" s="76"/>
    </row>
    <row r="867" spans="1:27" s="29" customFormat="1" ht="21.4" customHeight="1" thickBot="1" x14ac:dyDescent="0.25">
      <c r="A867" s="5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1"/>
      <c r="N867" s="77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9"/>
    </row>
    <row r="868" spans="1:27" s="29" customFormat="1" ht="21.4" customHeight="1" thickBot="1" x14ac:dyDescent="0.25"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7" s="29" customFormat="1" ht="21.4" customHeight="1" x14ac:dyDescent="0.2">
      <c r="A869" s="417" t="s">
        <v>40</v>
      </c>
      <c r="B869" s="418"/>
      <c r="C869" s="418"/>
      <c r="D869" s="418"/>
      <c r="E869" s="418"/>
      <c r="F869" s="418"/>
      <c r="G869" s="418"/>
      <c r="H869" s="418"/>
      <c r="I869" s="418"/>
      <c r="J869" s="418"/>
      <c r="K869" s="418"/>
      <c r="L869" s="419"/>
      <c r="M869" s="28"/>
      <c r="N869" s="64"/>
      <c r="O869" s="405" t="s">
        <v>42</v>
      </c>
      <c r="P869" s="406"/>
      <c r="Q869" s="406"/>
      <c r="R869" s="407"/>
      <c r="S869" s="65"/>
      <c r="T869" s="405" t="s">
        <v>43</v>
      </c>
      <c r="U869" s="406"/>
      <c r="V869" s="406"/>
      <c r="W869" s="406"/>
      <c r="X869" s="406"/>
      <c r="Y869" s="407"/>
      <c r="Z869" s="66"/>
      <c r="AA869" s="28"/>
    </row>
    <row r="870" spans="1:27" s="29" customFormat="1" ht="21.4" customHeight="1" x14ac:dyDescent="0.2">
      <c r="A870" s="30"/>
      <c r="C870" s="395" t="s">
        <v>83</v>
      </c>
      <c r="D870" s="395"/>
      <c r="E870" s="395"/>
      <c r="F870" s="395"/>
      <c r="G870" s="31" t="str">
        <f>$J$1</f>
        <v>May</v>
      </c>
      <c r="H870" s="394">
        <f>$K$1</f>
        <v>2023</v>
      </c>
      <c r="I870" s="394"/>
      <c r="K870" s="32"/>
      <c r="L870" s="33"/>
      <c r="M870" s="32"/>
      <c r="N870" s="67"/>
      <c r="O870" s="68" t="s">
        <v>53</v>
      </c>
      <c r="P870" s="68" t="s">
        <v>7</v>
      </c>
      <c r="Q870" s="68" t="s">
        <v>6</v>
      </c>
      <c r="R870" s="68" t="s">
        <v>54</v>
      </c>
      <c r="S870" s="69"/>
      <c r="T870" s="68" t="s">
        <v>53</v>
      </c>
      <c r="U870" s="68" t="s">
        <v>55</v>
      </c>
      <c r="V870" s="68" t="s">
        <v>20</v>
      </c>
      <c r="W870" s="68" t="s">
        <v>19</v>
      </c>
      <c r="X870" s="68" t="s">
        <v>21</v>
      </c>
      <c r="Y870" s="68" t="s">
        <v>59</v>
      </c>
      <c r="Z870" s="70"/>
      <c r="AA870" s="32"/>
    </row>
    <row r="871" spans="1:27" s="29" customFormat="1" ht="21.4" customHeight="1" x14ac:dyDescent="0.2">
      <c r="A871" s="30"/>
      <c r="D871" s="35"/>
      <c r="E871" s="35"/>
      <c r="F871" s="35"/>
      <c r="G871" s="35"/>
      <c r="H871" s="35"/>
      <c r="J871" s="36" t="s">
        <v>1</v>
      </c>
      <c r="K871" s="37"/>
      <c r="L871" s="38"/>
      <c r="N871" s="71"/>
      <c r="O871" s="72" t="s">
        <v>45</v>
      </c>
      <c r="P871" s="72"/>
      <c r="Q871" s="72"/>
      <c r="R871" s="72"/>
      <c r="S871" s="73"/>
      <c r="T871" s="72" t="s">
        <v>45</v>
      </c>
      <c r="U871" s="74"/>
      <c r="V871" s="74"/>
      <c r="W871" s="74">
        <f>V871+U871</f>
        <v>0</v>
      </c>
      <c r="X871" s="74"/>
      <c r="Y871" s="74">
        <f>W871-X871</f>
        <v>0</v>
      </c>
      <c r="Z871" s="70"/>
    </row>
    <row r="872" spans="1:27" s="29" customFormat="1" ht="21.4" customHeight="1" x14ac:dyDescent="0.2">
      <c r="A872" s="30"/>
      <c r="B872" s="29" t="s">
        <v>0</v>
      </c>
      <c r="C872" s="40"/>
      <c r="H872" s="41"/>
      <c r="I872" s="35"/>
      <c r="L872" s="42"/>
      <c r="M872" s="28"/>
      <c r="N872" s="75"/>
      <c r="O872" s="72" t="s">
        <v>71</v>
      </c>
      <c r="P872" s="72"/>
      <c r="Q872" s="72"/>
      <c r="R872" s="72" t="str">
        <f>IF(Q872="","",R871-Q872)</f>
        <v/>
      </c>
      <c r="S872" s="63"/>
      <c r="T872" s="72" t="s">
        <v>71</v>
      </c>
      <c r="U872" s="105">
        <f>Y871</f>
        <v>0</v>
      </c>
      <c r="V872" s="74"/>
      <c r="W872" s="105">
        <f>IF(U872="","",U872+V872)</f>
        <v>0</v>
      </c>
      <c r="X872" s="74"/>
      <c r="Y872" s="105">
        <f>IF(W872="","",W872-X872)</f>
        <v>0</v>
      </c>
      <c r="Z872" s="76"/>
      <c r="AA872" s="28"/>
    </row>
    <row r="873" spans="1:27" s="29" customFormat="1" ht="21.4" customHeight="1" x14ac:dyDescent="0.2">
      <c r="A873" s="30"/>
      <c r="B873" s="44" t="s">
        <v>41</v>
      </c>
      <c r="C873" s="45"/>
      <c r="F873" s="411" t="s">
        <v>43</v>
      </c>
      <c r="G873" s="411"/>
      <c r="I873" s="411" t="s">
        <v>44</v>
      </c>
      <c r="J873" s="411"/>
      <c r="K873" s="411"/>
      <c r="L873" s="46"/>
      <c r="N873" s="71"/>
      <c r="O873" s="72" t="s">
        <v>46</v>
      </c>
      <c r="P873" s="72"/>
      <c r="Q873" s="72"/>
      <c r="R873" s="72" t="str">
        <f t="shared" ref="R873:R882" si="175">IF(Q873="","",R872-Q873)</f>
        <v/>
      </c>
      <c r="S873" s="63"/>
      <c r="T873" s="72" t="s">
        <v>46</v>
      </c>
      <c r="U873" s="105">
        <f>IF($J$1="April",Y872,Y872)</f>
        <v>0</v>
      </c>
      <c r="V873" s="74"/>
      <c r="W873" s="105">
        <f t="shared" ref="W873:W882" si="176">IF(U873="","",U873+V873)</f>
        <v>0</v>
      </c>
      <c r="X873" s="74"/>
      <c r="Y873" s="105">
        <f t="shared" ref="Y873:Y882" si="177">IF(W873="","",W873-X873)</f>
        <v>0</v>
      </c>
      <c r="Z873" s="76"/>
    </row>
    <row r="874" spans="1:27" s="29" customFormat="1" ht="21.4" customHeight="1" x14ac:dyDescent="0.2">
      <c r="A874" s="30"/>
      <c r="H874" s="47"/>
      <c r="L874" s="34"/>
      <c r="N874" s="71"/>
      <c r="O874" s="72" t="s">
        <v>47</v>
      </c>
      <c r="P874" s="72"/>
      <c r="Q874" s="72"/>
      <c r="R874" s="72" t="str">
        <f t="shared" si="175"/>
        <v/>
      </c>
      <c r="S874" s="63"/>
      <c r="T874" s="72" t="s">
        <v>47</v>
      </c>
      <c r="U874" s="105">
        <f>IF($J$1="April",Y873,Y873)</f>
        <v>0</v>
      </c>
      <c r="V874" s="74"/>
      <c r="W874" s="105">
        <f t="shared" si="176"/>
        <v>0</v>
      </c>
      <c r="X874" s="74"/>
      <c r="Y874" s="105">
        <f t="shared" si="177"/>
        <v>0</v>
      </c>
      <c r="Z874" s="76"/>
    </row>
    <row r="875" spans="1:27" s="29" customFormat="1" ht="21.4" customHeight="1" x14ac:dyDescent="0.2">
      <c r="A875" s="30"/>
      <c r="B875" s="389" t="s">
        <v>42</v>
      </c>
      <c r="C875" s="390"/>
      <c r="F875" s="48" t="s">
        <v>64</v>
      </c>
      <c r="G875" s="109">
        <f>IF($J$1="January",U871,IF($J$1="February",U872,IF($J$1="March",U873,IF($J$1="April",U874,IF($J$1="May",U875,IF($J$1="June",U876,IF($J$1="July",U877,IF($J$1="August",U878,IF($J$1="August",U878,IF($J$1="September",U879,IF($J$1="October",U880,IF($J$1="November",U881,IF($J$1="December",U882)))))))))))))</f>
        <v>0</v>
      </c>
      <c r="H875" s="47"/>
      <c r="I875" s="49"/>
      <c r="J875" s="50" t="s">
        <v>61</v>
      </c>
      <c r="K875" s="51">
        <f>K871/$K$2*I875</f>
        <v>0</v>
      </c>
      <c r="L875" s="52"/>
      <c r="N875" s="71"/>
      <c r="O875" s="72" t="s">
        <v>48</v>
      </c>
      <c r="P875" s="72"/>
      <c r="Q875" s="72"/>
      <c r="R875" s="72" t="str">
        <f t="shared" si="175"/>
        <v/>
      </c>
      <c r="S875" s="63"/>
      <c r="T875" s="72" t="s">
        <v>48</v>
      </c>
      <c r="U875" s="105">
        <f>IF($J$1="May",Y874,Y874)</f>
        <v>0</v>
      </c>
      <c r="V875" s="74"/>
      <c r="W875" s="105">
        <f t="shared" si="176"/>
        <v>0</v>
      </c>
      <c r="X875" s="74"/>
      <c r="Y875" s="105">
        <f t="shared" si="177"/>
        <v>0</v>
      </c>
      <c r="Z875" s="76"/>
    </row>
    <row r="876" spans="1:27" s="29" customFormat="1" ht="21.4" customHeight="1" x14ac:dyDescent="0.2">
      <c r="A876" s="30"/>
      <c r="B876" s="39"/>
      <c r="C876" s="39"/>
      <c r="F876" s="48" t="s">
        <v>20</v>
      </c>
      <c r="G876" s="109">
        <f>IF($J$1="January",V871,IF($J$1="February",V872,IF($J$1="March",V873,IF($J$1="April",V874,IF($J$1="May",V875,IF($J$1="June",V876,IF($J$1="July",V877,IF($J$1="August",V878,IF($J$1="August",V878,IF($J$1="September",V879,IF($J$1="October",V880,IF($J$1="November",V881,IF($J$1="December",V882)))))))))))))</f>
        <v>0</v>
      </c>
      <c r="H876" s="47"/>
      <c r="I876" s="84"/>
      <c r="J876" s="50" t="s">
        <v>62</v>
      </c>
      <c r="K876" s="53">
        <f>K871/$K$2/8*I876</f>
        <v>0</v>
      </c>
      <c r="L876" s="54"/>
      <c r="N876" s="71"/>
      <c r="O876" s="72" t="s">
        <v>49</v>
      </c>
      <c r="P876" s="72"/>
      <c r="Q876" s="72"/>
      <c r="R876" s="72" t="str">
        <f t="shared" si="175"/>
        <v/>
      </c>
      <c r="S876" s="63"/>
      <c r="T876" s="72" t="s">
        <v>49</v>
      </c>
      <c r="U876" s="105">
        <f>IF($J$1="May",Y875,Y875)</f>
        <v>0</v>
      </c>
      <c r="V876" s="74"/>
      <c r="W876" s="105">
        <f t="shared" si="176"/>
        <v>0</v>
      </c>
      <c r="X876" s="74"/>
      <c r="Y876" s="105">
        <f t="shared" si="177"/>
        <v>0</v>
      </c>
      <c r="Z876" s="76"/>
    </row>
    <row r="877" spans="1:27" s="29" customFormat="1" ht="21.4" customHeight="1" x14ac:dyDescent="0.2">
      <c r="A877" s="30"/>
      <c r="B877" s="48" t="s">
        <v>7</v>
      </c>
      <c r="C877" s="39">
        <f>IF($J$1="January",P871,IF($J$1="February",P872,IF($J$1="March",P873,IF($J$1="April",P874,IF($J$1="May",P875,IF($J$1="June",P876,IF($J$1="July",P877,IF($J$1="August",P878,IF($J$1="August",P878,IF($J$1="September",P879,IF($J$1="October",P880,IF($J$1="November",P881,IF($J$1="December",P882)))))))))))))</f>
        <v>0</v>
      </c>
      <c r="F877" s="48" t="s">
        <v>65</v>
      </c>
      <c r="G877" s="109">
        <f>IF($J$1="January",W871,IF($J$1="February",W872,IF($J$1="March",W873,IF($J$1="April",W874,IF($J$1="May",W875,IF($J$1="June",W876,IF($J$1="July",W877,IF($J$1="August",W878,IF($J$1="August",W878,IF($J$1="September",W879,IF($J$1="October",W880,IF($J$1="November",W881,IF($J$1="December",W882)))))))))))))</f>
        <v>0</v>
      </c>
      <c r="H877" s="47"/>
      <c r="I877" s="402" t="s">
        <v>69</v>
      </c>
      <c r="J877" s="403"/>
      <c r="K877" s="53">
        <f>K875+K876</f>
        <v>0</v>
      </c>
      <c r="L877" s="54"/>
      <c r="N877" s="71"/>
      <c r="O877" s="72" t="s">
        <v>50</v>
      </c>
      <c r="P877" s="72"/>
      <c r="Q877" s="72"/>
      <c r="R877" s="72" t="str">
        <f t="shared" si="175"/>
        <v/>
      </c>
      <c r="S877" s="63"/>
      <c r="T877" s="72" t="s">
        <v>50</v>
      </c>
      <c r="U877" s="105">
        <f>Y876</f>
        <v>0</v>
      </c>
      <c r="V877" s="74"/>
      <c r="W877" s="105">
        <f t="shared" si="176"/>
        <v>0</v>
      </c>
      <c r="X877" s="74"/>
      <c r="Y877" s="105">
        <f t="shared" si="177"/>
        <v>0</v>
      </c>
      <c r="Z877" s="76"/>
    </row>
    <row r="878" spans="1:27" s="29" customFormat="1" ht="21.4" customHeight="1" x14ac:dyDescent="0.2">
      <c r="A878" s="30"/>
      <c r="B878" s="48" t="s">
        <v>6</v>
      </c>
      <c r="C878" s="39">
        <f>IF($J$1="January",Q871,IF($J$1="February",Q872,IF($J$1="March",Q873,IF($J$1="April",Q874,IF($J$1="May",Q875,IF($J$1="June",Q876,IF($J$1="July",Q877,IF($J$1="August",Q878,IF($J$1="August",Q878,IF($J$1="September",Q879,IF($J$1="October",Q880,IF($J$1="November",Q881,IF($J$1="December",Q882)))))))))))))</f>
        <v>0</v>
      </c>
      <c r="F878" s="48" t="s">
        <v>21</v>
      </c>
      <c r="G878" s="109">
        <f>IF($J$1="January",X871,IF($J$1="February",X872,IF($J$1="March",X873,IF($J$1="April",X874,IF($J$1="May",X875,IF($J$1="June",X876,IF($J$1="July",X877,IF($J$1="August",X878,IF($J$1="August",X878,IF($J$1="September",X879,IF($J$1="October",X880,IF($J$1="November",X881,IF($J$1="December",X882)))))))))))))</f>
        <v>0</v>
      </c>
      <c r="H878" s="47"/>
      <c r="I878" s="402" t="s">
        <v>70</v>
      </c>
      <c r="J878" s="403"/>
      <c r="K878" s="43">
        <f>G878</f>
        <v>0</v>
      </c>
      <c r="L878" s="55"/>
      <c r="N878" s="71"/>
      <c r="O878" s="72" t="s">
        <v>51</v>
      </c>
      <c r="P878" s="72"/>
      <c r="Q878" s="72"/>
      <c r="R878" s="72" t="str">
        <f t="shared" si="175"/>
        <v/>
      </c>
      <c r="S878" s="63"/>
      <c r="T878" s="72" t="s">
        <v>51</v>
      </c>
      <c r="U878" s="105">
        <f>Y877</f>
        <v>0</v>
      </c>
      <c r="V878" s="74"/>
      <c r="W878" s="105">
        <f t="shared" si="176"/>
        <v>0</v>
      </c>
      <c r="X878" s="74"/>
      <c r="Y878" s="105">
        <f t="shared" si="177"/>
        <v>0</v>
      </c>
      <c r="Z878" s="76"/>
    </row>
    <row r="879" spans="1:27" s="29" customFormat="1" ht="21.4" customHeight="1" x14ac:dyDescent="0.2">
      <c r="A879" s="30"/>
      <c r="B879" s="56" t="s">
        <v>68</v>
      </c>
      <c r="C879" s="39" t="str">
        <f>IF($J$1="January",R871,IF($J$1="February",R872,IF($J$1="March",R873,IF($J$1="April",R874,IF($J$1="May",R875,IF($J$1="June",R876,IF($J$1="July",R877,IF($J$1="August",R878,IF($J$1="August",R878,IF($J$1="September",R879,IF($J$1="October",R880,IF($J$1="November",R881,IF($J$1="December",R882)))))))))))))</f>
        <v/>
      </c>
      <c r="F879" s="48" t="s">
        <v>67</v>
      </c>
      <c r="G879" s="109">
        <f>IF($J$1="January",Y871,IF($J$1="February",Y872,IF($J$1="March",Y873,IF($J$1="April",Y874,IF($J$1="May",Y875,IF($J$1="June",Y876,IF($J$1="July",Y877,IF($J$1="August",Y878,IF($J$1="August",Y878,IF($J$1="September",Y879,IF($J$1="October",Y880,IF($J$1="November",Y881,IF($J$1="December",Y882)))))))))))))</f>
        <v>0</v>
      </c>
      <c r="I879" s="391" t="s">
        <v>63</v>
      </c>
      <c r="J879" s="393"/>
      <c r="K879" s="57">
        <f>K877-K878</f>
        <v>0</v>
      </c>
      <c r="L879" s="58"/>
      <c r="N879" s="71"/>
      <c r="O879" s="72" t="s">
        <v>56</v>
      </c>
      <c r="P879" s="72"/>
      <c r="Q879" s="72"/>
      <c r="R879" s="72" t="str">
        <f t="shared" si="175"/>
        <v/>
      </c>
      <c r="S879" s="63"/>
      <c r="T879" s="72" t="s">
        <v>56</v>
      </c>
      <c r="U879" s="105">
        <f>Y878</f>
        <v>0</v>
      </c>
      <c r="V879" s="74"/>
      <c r="W879" s="105">
        <f t="shared" si="176"/>
        <v>0</v>
      </c>
      <c r="X879" s="74"/>
      <c r="Y879" s="105">
        <f t="shared" si="177"/>
        <v>0</v>
      </c>
      <c r="Z879" s="76"/>
    </row>
    <row r="880" spans="1:27" s="29" customFormat="1" ht="21.4" customHeight="1" x14ac:dyDescent="0.2">
      <c r="A880" s="30"/>
      <c r="I880" s="111"/>
      <c r="K880" s="107"/>
      <c r="L880" s="46"/>
      <c r="N880" s="71"/>
      <c r="O880" s="72" t="s">
        <v>52</v>
      </c>
      <c r="P880" s="72"/>
      <c r="Q880" s="72"/>
      <c r="R880" s="72" t="str">
        <f t="shared" si="175"/>
        <v/>
      </c>
      <c r="S880" s="63"/>
      <c r="T880" s="72" t="s">
        <v>52</v>
      </c>
      <c r="U880" s="105"/>
      <c r="V880" s="74"/>
      <c r="W880" s="105" t="str">
        <f t="shared" si="176"/>
        <v/>
      </c>
      <c r="X880" s="74"/>
      <c r="Y880" s="105" t="str">
        <f t="shared" si="177"/>
        <v/>
      </c>
      <c r="Z880" s="76"/>
    </row>
    <row r="881" spans="1:26" s="29" customFormat="1" ht="21.4" customHeight="1" x14ac:dyDescent="0.2">
      <c r="A881" s="30"/>
      <c r="B881" s="404"/>
      <c r="C881" s="404"/>
      <c r="D881" s="404"/>
      <c r="E881" s="404"/>
      <c r="F881" s="404"/>
      <c r="G881" s="404"/>
      <c r="H881" s="404"/>
      <c r="I881" s="404"/>
      <c r="J881" s="404"/>
      <c r="K881" s="404"/>
      <c r="L881" s="46"/>
      <c r="N881" s="71"/>
      <c r="O881" s="72" t="s">
        <v>57</v>
      </c>
      <c r="P881" s="72"/>
      <c r="Q881" s="72"/>
      <c r="R881" s="72" t="str">
        <f t="shared" si="175"/>
        <v/>
      </c>
      <c r="S881" s="63"/>
      <c r="T881" s="72" t="s">
        <v>57</v>
      </c>
      <c r="U881" s="105"/>
      <c r="V881" s="74"/>
      <c r="W881" s="105" t="str">
        <f t="shared" si="176"/>
        <v/>
      </c>
      <c r="X881" s="74"/>
      <c r="Y881" s="105" t="str">
        <f t="shared" si="177"/>
        <v/>
      </c>
      <c r="Z881" s="76"/>
    </row>
    <row r="882" spans="1:26" s="29" customFormat="1" ht="21.4" customHeight="1" x14ac:dyDescent="0.2">
      <c r="A882" s="30"/>
      <c r="B882" s="404"/>
      <c r="C882" s="404"/>
      <c r="D882" s="404"/>
      <c r="E882" s="404"/>
      <c r="F882" s="404"/>
      <c r="G882" s="404"/>
      <c r="H882" s="404"/>
      <c r="I882" s="404"/>
      <c r="J882" s="404"/>
      <c r="K882" s="404"/>
      <c r="L882" s="46"/>
      <c r="N882" s="71"/>
      <c r="O882" s="72" t="s">
        <v>58</v>
      </c>
      <c r="P882" s="72"/>
      <c r="Q882" s="72"/>
      <c r="R882" s="72" t="str">
        <f t="shared" si="175"/>
        <v/>
      </c>
      <c r="S882" s="63"/>
      <c r="T882" s="72" t="s">
        <v>58</v>
      </c>
      <c r="U882" s="105"/>
      <c r="V882" s="74"/>
      <c r="W882" s="105" t="str">
        <f t="shared" si="176"/>
        <v/>
      </c>
      <c r="X882" s="74"/>
      <c r="Y882" s="105" t="str">
        <f t="shared" si="177"/>
        <v/>
      </c>
      <c r="Z882" s="76"/>
    </row>
    <row r="883" spans="1:26" s="29" customFormat="1" ht="21.4" customHeight="1" thickBot="1" x14ac:dyDescent="0.25">
      <c r="A883" s="5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1"/>
      <c r="N883" s="77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9"/>
    </row>
    <row r="884" spans="1:26" s="29" customFormat="1" ht="21.4" customHeight="1" x14ac:dyDescent="0.2"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</sheetData>
  <mergeCells count="664">
    <mergeCell ref="B843:C843"/>
    <mergeCell ref="I466:J466"/>
    <mergeCell ref="I783:J783"/>
    <mergeCell ref="B685:C685"/>
    <mergeCell ref="I236:K236"/>
    <mergeCell ref="I735:J735"/>
    <mergeCell ref="I736:J736"/>
    <mergeCell ref="B738:K739"/>
    <mergeCell ref="B436:K437"/>
    <mergeCell ref="I514:J514"/>
    <mergeCell ref="I274:J274"/>
    <mergeCell ref="B276:K277"/>
    <mergeCell ref="A488:L488"/>
    <mergeCell ref="B430:C430"/>
    <mergeCell ref="I656:J656"/>
    <mergeCell ref="I657:J657"/>
    <mergeCell ref="I719:J719"/>
    <mergeCell ref="F651:G651"/>
    <mergeCell ref="B611:K612"/>
    <mergeCell ref="I609:J609"/>
    <mergeCell ref="I608:J608"/>
    <mergeCell ref="I689:J689"/>
    <mergeCell ref="A695:L695"/>
    <mergeCell ref="B691:K692"/>
    <mergeCell ref="T615:Y615"/>
    <mergeCell ref="T726:Y726"/>
    <mergeCell ref="T456:Y456"/>
    <mergeCell ref="A376:L376"/>
    <mergeCell ref="F524:G524"/>
    <mergeCell ref="I524:K524"/>
    <mergeCell ref="B526:C526"/>
    <mergeCell ref="I560:J560"/>
    <mergeCell ref="H822:I822"/>
    <mergeCell ref="B388:K389"/>
    <mergeCell ref="C521:F521"/>
    <mergeCell ref="B500:K501"/>
    <mergeCell ref="I496:J496"/>
    <mergeCell ref="I498:J498"/>
    <mergeCell ref="B817:K818"/>
    <mergeCell ref="C806:F806"/>
    <mergeCell ref="H806:I806"/>
    <mergeCell ref="I734:J734"/>
    <mergeCell ref="C790:F790"/>
    <mergeCell ref="I434:J434"/>
    <mergeCell ref="H457:I457"/>
    <mergeCell ref="B716:C716"/>
    <mergeCell ref="I718:J718"/>
    <mergeCell ref="O663:R663"/>
    <mergeCell ref="I879:J879"/>
    <mergeCell ref="F841:G841"/>
    <mergeCell ref="B494:C494"/>
    <mergeCell ref="I128:J128"/>
    <mergeCell ref="O456:R456"/>
    <mergeCell ref="I625:J625"/>
    <mergeCell ref="B849:K850"/>
    <mergeCell ref="I556:K556"/>
    <mergeCell ref="F460:G460"/>
    <mergeCell ref="O488:R488"/>
    <mergeCell ref="O853:R853"/>
    <mergeCell ref="O424:R424"/>
    <mergeCell ref="F428:G428"/>
    <mergeCell ref="I433:J433"/>
    <mergeCell ref="O869:R869"/>
    <mergeCell ref="F857:G857"/>
    <mergeCell ref="I857:K857"/>
    <mergeCell ref="B132:K133"/>
    <mergeCell ref="F348:G348"/>
    <mergeCell ref="I348:K348"/>
    <mergeCell ref="I129:J129"/>
    <mergeCell ref="C313:F313"/>
    <mergeCell ref="C727:F727"/>
    <mergeCell ref="B548:K549"/>
    <mergeCell ref="O56:R56"/>
    <mergeCell ref="T56:Y56"/>
    <mergeCell ref="T39:Y39"/>
    <mergeCell ref="I48:J48"/>
    <mergeCell ref="I49:J49"/>
    <mergeCell ref="B148:K149"/>
    <mergeCell ref="A599:L599"/>
    <mergeCell ref="I176:J176"/>
    <mergeCell ref="I177:J177"/>
    <mergeCell ref="A152:L152"/>
    <mergeCell ref="F140:G140"/>
    <mergeCell ref="I140:K140"/>
    <mergeCell ref="B142:C142"/>
    <mergeCell ref="I160:J160"/>
    <mergeCell ref="I161:J161"/>
    <mergeCell ref="I162:J162"/>
    <mergeCell ref="C137:F137"/>
    <mergeCell ref="H137:I137"/>
    <mergeCell ref="I130:J130"/>
    <mergeCell ref="O120:R120"/>
    <mergeCell ref="C121:F121"/>
    <mergeCell ref="H121:I121"/>
    <mergeCell ref="A120:L120"/>
    <mergeCell ref="B76:D76"/>
    <mergeCell ref="T152:Y152"/>
    <mergeCell ref="T599:Y599"/>
    <mergeCell ref="I226:J226"/>
    <mergeCell ref="C201:F201"/>
    <mergeCell ref="H201:I201"/>
    <mergeCell ref="H217:I217"/>
    <mergeCell ref="F220:G220"/>
    <mergeCell ref="I220:K220"/>
    <mergeCell ref="I210:J210"/>
    <mergeCell ref="I225:J225"/>
    <mergeCell ref="B206:C206"/>
    <mergeCell ref="A200:L200"/>
    <mergeCell ref="I224:J224"/>
    <mergeCell ref="O152:R152"/>
    <mergeCell ref="C153:F153"/>
    <mergeCell ref="B180:K181"/>
    <mergeCell ref="C233:F233"/>
    <mergeCell ref="B238:C238"/>
    <mergeCell ref="O280:R280"/>
    <mergeCell ref="T232:Y232"/>
    <mergeCell ref="T184:Y184"/>
    <mergeCell ref="T216:Y216"/>
    <mergeCell ref="I257:J257"/>
    <mergeCell ref="B158:C158"/>
    <mergeCell ref="C1:I1"/>
    <mergeCell ref="I655:J655"/>
    <mergeCell ref="B190:C190"/>
    <mergeCell ref="I43:K43"/>
    <mergeCell ref="F60:G60"/>
    <mergeCell ref="I588:K588"/>
    <mergeCell ref="C40:F40"/>
    <mergeCell ref="B45:C45"/>
    <mergeCell ref="I47:J47"/>
    <mergeCell ref="I242:J242"/>
    <mergeCell ref="H185:I185"/>
    <mergeCell ref="F188:G188"/>
    <mergeCell ref="I188:K188"/>
    <mergeCell ref="F603:G603"/>
    <mergeCell ref="H600:I600"/>
    <mergeCell ref="B164:K165"/>
    <mergeCell ref="I651:K651"/>
    <mergeCell ref="I64:J64"/>
    <mergeCell ref="C89:F89"/>
    <mergeCell ref="B62:C62"/>
    <mergeCell ref="A136:L136"/>
    <mergeCell ref="H153:I153"/>
    <mergeCell ref="F156:G156"/>
    <mergeCell ref="I156:K156"/>
    <mergeCell ref="F92:G92"/>
    <mergeCell ref="I92:K92"/>
    <mergeCell ref="B68:K69"/>
    <mergeCell ref="B590:C590"/>
    <mergeCell ref="A39:L39"/>
    <mergeCell ref="B596:K597"/>
    <mergeCell ref="I593:J593"/>
    <mergeCell ref="I66:J66"/>
    <mergeCell ref="C57:F57"/>
    <mergeCell ref="H57:I57"/>
    <mergeCell ref="I594:J594"/>
    <mergeCell ref="I192:J192"/>
    <mergeCell ref="F588:G588"/>
    <mergeCell ref="C169:F169"/>
    <mergeCell ref="H169:I169"/>
    <mergeCell ref="I178:J178"/>
    <mergeCell ref="F43:G43"/>
    <mergeCell ref="I193:J193"/>
    <mergeCell ref="A184:L184"/>
    <mergeCell ref="H233:I233"/>
    <mergeCell ref="B174:C174"/>
    <mergeCell ref="C185:F185"/>
    <mergeCell ref="I272:J272"/>
    <mergeCell ref="A104:L104"/>
    <mergeCell ref="I113:J113"/>
    <mergeCell ref="O88:R88"/>
    <mergeCell ref="B51:K52"/>
    <mergeCell ref="T520:Y520"/>
    <mergeCell ref="O679:R679"/>
    <mergeCell ref="O23:R23"/>
    <mergeCell ref="I65:J65"/>
    <mergeCell ref="A56:L56"/>
    <mergeCell ref="H40:I40"/>
    <mergeCell ref="T136:Y136"/>
    <mergeCell ref="I81:J81"/>
    <mergeCell ref="A584:L584"/>
    <mergeCell ref="O584:R584"/>
    <mergeCell ref="T584:Y584"/>
    <mergeCell ref="C585:F585"/>
    <mergeCell ref="H585:I585"/>
    <mergeCell ref="I592:J592"/>
    <mergeCell ref="I194:J194"/>
    <mergeCell ref="I60:K60"/>
    <mergeCell ref="T392:Y392"/>
    <mergeCell ref="B35:K36"/>
    <mergeCell ref="I33:J33"/>
    <mergeCell ref="O136:R136"/>
    <mergeCell ref="I369:J369"/>
    <mergeCell ref="T264:Y264"/>
    <mergeCell ref="H89:I89"/>
    <mergeCell ref="A168:L168"/>
    <mergeCell ref="F236:G236"/>
    <mergeCell ref="F683:G683"/>
    <mergeCell ref="B228:K229"/>
    <mergeCell ref="B244:K245"/>
    <mergeCell ref="I444:K444"/>
    <mergeCell ref="A504:L504"/>
    <mergeCell ref="C648:F648"/>
    <mergeCell ref="H648:I648"/>
    <mergeCell ref="A456:L456"/>
    <mergeCell ref="C457:F457"/>
    <mergeCell ref="F316:G316"/>
    <mergeCell ref="I460:K460"/>
    <mergeCell ref="C600:F600"/>
    <mergeCell ref="A647:L647"/>
    <mergeCell ref="B196:K197"/>
    <mergeCell ref="I290:J290"/>
    <mergeCell ref="H680:I680"/>
    <mergeCell ref="F667:G667"/>
    <mergeCell ref="I667:K667"/>
    <mergeCell ref="I385:J385"/>
    <mergeCell ref="B260:K261"/>
    <mergeCell ref="T647:Y647"/>
    <mergeCell ref="T663:Y663"/>
    <mergeCell ref="T296:Y296"/>
    <mergeCell ref="T695:Y695"/>
    <mergeCell ref="C664:F664"/>
    <mergeCell ref="A232:L232"/>
    <mergeCell ref="I672:J672"/>
    <mergeCell ref="I688:J688"/>
    <mergeCell ref="C249:F249"/>
    <mergeCell ref="B675:K676"/>
    <mergeCell ref="O232:R232"/>
    <mergeCell ref="I273:J273"/>
    <mergeCell ref="F252:G252"/>
    <mergeCell ref="B653:C653"/>
    <mergeCell ref="A248:L248"/>
    <mergeCell ref="B659:K660"/>
    <mergeCell ref="A296:L296"/>
    <mergeCell ref="O344:R344"/>
    <mergeCell ref="O408:R408"/>
    <mergeCell ref="O248:R248"/>
    <mergeCell ref="B334:C334"/>
    <mergeCell ref="B308:K309"/>
    <mergeCell ref="I289:J289"/>
    <mergeCell ref="I320:J320"/>
    <mergeCell ref="I699:K699"/>
    <mergeCell ref="A710:L710"/>
    <mergeCell ref="T88:Y88"/>
    <mergeCell ref="I240:J240"/>
    <mergeCell ref="O773:R773"/>
    <mergeCell ref="I241:J241"/>
    <mergeCell ref="I252:K252"/>
    <mergeCell ref="B254:C254"/>
    <mergeCell ref="I256:J256"/>
    <mergeCell ref="F172:G172"/>
    <mergeCell ref="I172:K172"/>
    <mergeCell ref="F332:G332"/>
    <mergeCell ref="B100:K101"/>
    <mergeCell ref="I258:J258"/>
    <mergeCell ref="H281:I281"/>
    <mergeCell ref="B340:K341"/>
    <mergeCell ref="B452:K453"/>
    <mergeCell ref="I300:K300"/>
    <mergeCell ref="B701:C701"/>
    <mergeCell ref="I332:K332"/>
    <mergeCell ref="T679:Y679"/>
    <mergeCell ref="C680:F680"/>
    <mergeCell ref="O168:R168"/>
    <mergeCell ref="T168:Y168"/>
    <mergeCell ref="F108:G108"/>
    <mergeCell ref="I482:J482"/>
    <mergeCell ref="A280:L280"/>
    <mergeCell ref="B302:C302"/>
    <mergeCell ref="C297:F297"/>
    <mergeCell ref="H790:I790"/>
    <mergeCell ref="H727:I727"/>
    <mergeCell ref="F730:G730"/>
    <mergeCell ref="C281:F281"/>
    <mergeCell ref="A679:L679"/>
    <mergeCell ref="B669:C669"/>
    <mergeCell ref="A328:L328"/>
    <mergeCell ref="I635:K635"/>
    <mergeCell ref="I683:K683"/>
    <mergeCell ref="H664:I664"/>
    <mergeCell ref="I673:J673"/>
    <mergeCell ref="I671:J671"/>
    <mergeCell ref="I703:J703"/>
    <mergeCell ref="I704:J704"/>
    <mergeCell ref="I705:J705"/>
    <mergeCell ref="B707:K708"/>
    <mergeCell ref="H711:I711"/>
    <mergeCell ref="I639:J639"/>
    <mergeCell ref="C632:F632"/>
    <mergeCell ref="I877:J877"/>
    <mergeCell ref="I578:J578"/>
    <mergeCell ref="O615:R615"/>
    <mergeCell ref="I878:J878"/>
    <mergeCell ref="F873:G873"/>
    <mergeCell ref="A869:L869"/>
    <mergeCell ref="T710:Y710"/>
    <mergeCell ref="O631:R631"/>
    <mergeCell ref="I782:J782"/>
    <mergeCell ref="A853:L853"/>
    <mergeCell ref="I847:J847"/>
    <mergeCell ref="B865:K866"/>
    <mergeCell ref="I862:J862"/>
    <mergeCell ref="B785:K786"/>
    <mergeCell ref="B643:K644"/>
    <mergeCell ref="I863:J863"/>
    <mergeCell ref="I841:K841"/>
    <mergeCell ref="B875:C875"/>
    <mergeCell ref="T869:Y869"/>
    <mergeCell ref="B859:C859"/>
    <mergeCell ref="C870:F870"/>
    <mergeCell ref="I873:K873"/>
    <mergeCell ref="C838:F838"/>
    <mergeCell ref="T853:Y853"/>
    <mergeCell ref="I623:J623"/>
    <mergeCell ref="I465:J465"/>
    <mergeCell ref="C616:F616"/>
    <mergeCell ref="H616:I616"/>
    <mergeCell ref="I450:J450"/>
    <mergeCell ref="F635:G635"/>
    <mergeCell ref="B478:C478"/>
    <mergeCell ref="I640:J640"/>
    <mergeCell ref="F444:G444"/>
    <mergeCell ref="A837:L837"/>
    <mergeCell ref="A758:L758"/>
    <mergeCell ref="H759:I759"/>
    <mergeCell ref="C774:F774"/>
    <mergeCell ref="I746:K746"/>
    <mergeCell ref="A821:L821"/>
    <mergeCell ref="B827:C827"/>
    <mergeCell ref="I814:J814"/>
    <mergeCell ref="A805:L805"/>
    <mergeCell ref="B811:C811"/>
    <mergeCell ref="B779:C779"/>
    <mergeCell ref="I781:J781"/>
    <mergeCell ref="F746:G746"/>
    <mergeCell ref="I762:K762"/>
    <mergeCell ref="F762:G762"/>
    <mergeCell ref="I108:K108"/>
    <mergeCell ref="B110:C110"/>
    <mergeCell ref="C105:F105"/>
    <mergeCell ref="I798:J798"/>
    <mergeCell ref="A312:L312"/>
    <mergeCell ref="B754:K755"/>
    <mergeCell ref="A773:L773"/>
    <mergeCell ref="H105:I105"/>
    <mergeCell ref="I114:J114"/>
    <mergeCell ref="H329:I329"/>
    <mergeCell ref="B350:C350"/>
    <mergeCell ref="B627:K628"/>
    <mergeCell ref="A424:L424"/>
    <mergeCell ref="B212:K213"/>
    <mergeCell ref="I204:K204"/>
    <mergeCell ref="I412:K412"/>
    <mergeCell ref="H345:I345"/>
    <mergeCell ref="B356:K357"/>
    <mergeCell ref="I352:J352"/>
    <mergeCell ref="B126:C126"/>
    <mergeCell ref="A264:L264"/>
    <mergeCell ref="I304:J304"/>
    <mergeCell ref="I562:J562"/>
    <mergeCell ref="I288:J288"/>
    <mergeCell ref="I80:J80"/>
    <mergeCell ref="B621:C621"/>
    <mergeCell ref="C537:F537"/>
    <mergeCell ref="I809:K809"/>
    <mergeCell ref="F825:G825"/>
    <mergeCell ref="B580:K581"/>
    <mergeCell ref="I766:J766"/>
    <mergeCell ref="I813:J813"/>
    <mergeCell ref="A568:L568"/>
    <mergeCell ref="A631:L631"/>
    <mergeCell ref="C265:F265"/>
    <mergeCell ref="B446:C446"/>
    <mergeCell ref="F777:G777"/>
    <mergeCell ref="F476:G476"/>
    <mergeCell ref="B270:C270"/>
    <mergeCell ref="I480:J480"/>
    <mergeCell ref="I481:J481"/>
    <mergeCell ref="I476:K476"/>
    <mergeCell ref="I336:J336"/>
    <mergeCell ref="H473:I473"/>
    <mergeCell ref="A552:L552"/>
    <mergeCell ref="F556:G556"/>
    <mergeCell ref="B366:C366"/>
    <mergeCell ref="B414:C414"/>
    <mergeCell ref="I353:J353"/>
    <mergeCell ref="H774:I774"/>
    <mergeCell ref="B795:C795"/>
    <mergeCell ref="I386:J386"/>
    <mergeCell ref="F540:G540"/>
    <mergeCell ref="I540:K540"/>
    <mergeCell ref="B542:C542"/>
    <mergeCell ref="I544:J544"/>
    <mergeCell ref="I545:J545"/>
    <mergeCell ref="B574:C574"/>
    <mergeCell ref="A440:L440"/>
    <mergeCell ref="B468:K469"/>
    <mergeCell ref="C759:F759"/>
    <mergeCell ref="I626:J626"/>
    <mergeCell ref="B462:C462"/>
    <mergeCell ref="I720:J720"/>
    <mergeCell ref="B722:K723"/>
    <mergeCell ref="I777:K777"/>
    <mergeCell ref="H743:I743"/>
    <mergeCell ref="C441:F441"/>
    <mergeCell ref="F714:G714"/>
    <mergeCell ref="I714:K714"/>
    <mergeCell ref="A663:L663"/>
    <mergeCell ref="I624:J624"/>
    <mergeCell ref="T104:Y104"/>
    <mergeCell ref="C569:F569"/>
    <mergeCell ref="H569:I569"/>
    <mergeCell ref="F572:G572"/>
    <mergeCell ref="I572:K572"/>
    <mergeCell ref="I577:J577"/>
    <mergeCell ref="I368:J368"/>
    <mergeCell ref="A392:L392"/>
    <mergeCell ref="I448:J448"/>
    <mergeCell ref="I449:J449"/>
    <mergeCell ref="H409:I409"/>
    <mergeCell ref="F412:G412"/>
    <mergeCell ref="I124:K124"/>
    <mergeCell ref="A360:L360"/>
    <mergeCell ref="I396:K396"/>
    <mergeCell ref="B398:C398"/>
    <mergeCell ref="I384:J384"/>
    <mergeCell ref="F300:G300"/>
    <mergeCell ref="T280:Y280"/>
    <mergeCell ref="O360:R360"/>
    <mergeCell ref="T360:Y360"/>
    <mergeCell ref="T248:Y248"/>
    <mergeCell ref="O440:R440"/>
    <mergeCell ref="I305:J305"/>
    <mergeCell ref="O7:R7"/>
    <mergeCell ref="I751:J751"/>
    <mergeCell ref="A742:L742"/>
    <mergeCell ref="O742:R742"/>
    <mergeCell ref="O39:R39"/>
    <mergeCell ref="B404:K405"/>
    <mergeCell ref="I400:J400"/>
    <mergeCell ref="I401:J401"/>
    <mergeCell ref="I402:J402"/>
    <mergeCell ref="C393:F393"/>
    <mergeCell ref="H393:I393"/>
    <mergeCell ref="F396:G396"/>
    <mergeCell ref="B605:C605"/>
    <mergeCell ref="I416:J416"/>
    <mergeCell ref="I417:J417"/>
    <mergeCell ref="I418:J418"/>
    <mergeCell ref="C409:F409"/>
    <mergeCell ref="I687:J687"/>
    <mergeCell ref="I144:J144"/>
    <mergeCell ref="I145:J145"/>
    <mergeCell ref="I146:J146"/>
    <mergeCell ref="A726:L726"/>
    <mergeCell ref="A7:L7"/>
    <mergeCell ref="B637:C637"/>
    <mergeCell ref="I98:J98"/>
    <mergeCell ref="F204:G204"/>
    <mergeCell ref="I306:J306"/>
    <mergeCell ref="B881:K882"/>
    <mergeCell ref="H249:I249"/>
    <mergeCell ref="B94:C94"/>
    <mergeCell ref="O184:R184"/>
    <mergeCell ref="O599:R599"/>
    <mergeCell ref="O695:R695"/>
    <mergeCell ref="O821:R821"/>
    <mergeCell ref="F284:G284"/>
    <mergeCell ref="I284:K284"/>
    <mergeCell ref="B286:C286"/>
    <mergeCell ref="I337:J337"/>
    <mergeCell ref="I338:J338"/>
    <mergeCell ref="B748:C748"/>
    <mergeCell ref="I768:J768"/>
    <mergeCell ref="I529:J529"/>
    <mergeCell ref="F809:G809"/>
    <mergeCell ref="I209:J209"/>
    <mergeCell ref="B372:K373"/>
    <mergeCell ref="I316:K316"/>
    <mergeCell ref="A216:L216"/>
    <mergeCell ref="I815:J815"/>
    <mergeCell ref="T312:Y312"/>
    <mergeCell ref="I845:J845"/>
    <mergeCell ref="A615:L615"/>
    <mergeCell ref="O536:R536"/>
    <mergeCell ref="O805:R805"/>
    <mergeCell ref="O837:R837"/>
    <mergeCell ref="C854:F854"/>
    <mergeCell ref="H854:I854"/>
    <mergeCell ref="O647:R647"/>
    <mergeCell ref="B318:C318"/>
    <mergeCell ref="I432:J432"/>
    <mergeCell ref="I730:K730"/>
    <mergeCell ref="I321:J321"/>
    <mergeCell ref="B532:K533"/>
    <mergeCell ref="O710:R710"/>
    <mergeCell ref="I830:J830"/>
    <mergeCell ref="I831:J831"/>
    <mergeCell ref="C822:F822"/>
    <mergeCell ref="T472:Y472"/>
    <mergeCell ref="F380:G380"/>
    <mergeCell ref="I380:K380"/>
    <mergeCell ref="B382:C382"/>
    <mergeCell ref="T805:Y805"/>
    <mergeCell ref="O392:R392"/>
    <mergeCell ref="T72:Y72"/>
    <mergeCell ref="O216:R216"/>
    <mergeCell ref="I619:K619"/>
    <mergeCell ref="O552:R552"/>
    <mergeCell ref="B460:C460"/>
    <mergeCell ref="F619:G619"/>
    <mergeCell ref="B564:K565"/>
    <mergeCell ref="I322:J322"/>
    <mergeCell ref="B324:K325"/>
    <mergeCell ref="O568:R568"/>
    <mergeCell ref="C553:F553"/>
    <mergeCell ref="H553:I553"/>
    <mergeCell ref="I97:J97"/>
    <mergeCell ref="O104:R104"/>
    <mergeCell ref="O296:R296"/>
    <mergeCell ref="A88:L88"/>
    <mergeCell ref="I112:J112"/>
    <mergeCell ref="H265:I265"/>
    <mergeCell ref="F268:G268"/>
    <mergeCell ref="I268:K268"/>
    <mergeCell ref="A344:L344"/>
    <mergeCell ref="T328:Y328"/>
    <mergeCell ref="C329:F329"/>
    <mergeCell ref="I82:J82"/>
    <mergeCell ref="T424:Y424"/>
    <mergeCell ref="I799:J799"/>
    <mergeCell ref="T631:Y631"/>
    <mergeCell ref="I793:K793"/>
    <mergeCell ref="B764:C764"/>
    <mergeCell ref="I752:J752"/>
    <mergeCell ref="A789:L789"/>
    <mergeCell ref="C711:F711"/>
    <mergeCell ref="I607:J607"/>
    <mergeCell ref="I603:K603"/>
    <mergeCell ref="C473:F473"/>
    <mergeCell ref="H696:I696"/>
    <mergeCell ref="C489:F489"/>
    <mergeCell ref="C696:F696"/>
    <mergeCell ref="O520:R520"/>
    <mergeCell ref="T440:Y440"/>
    <mergeCell ref="T504:Y504"/>
    <mergeCell ref="T488:Y488"/>
    <mergeCell ref="A520:L520"/>
    <mergeCell ref="I497:J497"/>
    <mergeCell ref="C743:F743"/>
    <mergeCell ref="T773:Y773"/>
    <mergeCell ref="B732:C732"/>
    <mergeCell ref="H441:I441"/>
    <mergeCell ref="H870:I870"/>
    <mergeCell ref="B558:C558"/>
    <mergeCell ref="H537:I537"/>
    <mergeCell ref="T200:Y200"/>
    <mergeCell ref="B770:K771"/>
    <mergeCell ref="B801:K802"/>
    <mergeCell ref="I797:J797"/>
    <mergeCell ref="O264:R264"/>
    <mergeCell ref="O758:R758"/>
    <mergeCell ref="T758:Y758"/>
    <mergeCell ref="T344:Y344"/>
    <mergeCell ref="I354:J354"/>
    <mergeCell ref="C345:F345"/>
    <mergeCell ref="O726:R726"/>
    <mergeCell ref="F793:G793"/>
    <mergeCell ref="B420:K421"/>
    <mergeCell ref="T742:Y742"/>
    <mergeCell ref="T789:Y789"/>
    <mergeCell ref="H313:I313"/>
    <mergeCell ref="O789:R789"/>
    <mergeCell ref="I767:J767"/>
    <mergeCell ref="H838:I838"/>
    <mergeCell ref="I846:J846"/>
    <mergeCell ref="I861:J861"/>
    <mergeCell ref="O72:R72"/>
    <mergeCell ref="A72:L72"/>
    <mergeCell ref="C217:F217"/>
    <mergeCell ref="O312:R312"/>
    <mergeCell ref="H489:I489"/>
    <mergeCell ref="F492:G492"/>
    <mergeCell ref="I492:K492"/>
    <mergeCell ref="B222:C222"/>
    <mergeCell ref="O376:R376"/>
    <mergeCell ref="C377:F377"/>
    <mergeCell ref="H377:I377"/>
    <mergeCell ref="I464:J464"/>
    <mergeCell ref="O200:R200"/>
    <mergeCell ref="I208:J208"/>
    <mergeCell ref="I428:K428"/>
    <mergeCell ref="O328:R328"/>
    <mergeCell ref="B78:C78"/>
    <mergeCell ref="B84:K85"/>
    <mergeCell ref="I96:J96"/>
    <mergeCell ref="H361:I361"/>
    <mergeCell ref="F364:G364"/>
    <mergeCell ref="I364:K364"/>
    <mergeCell ref="I76:K76"/>
    <mergeCell ref="B116:K117"/>
    <mergeCell ref="T120:Y120"/>
    <mergeCell ref="C73:F73"/>
    <mergeCell ref="H73:I73"/>
    <mergeCell ref="F76:G76"/>
    <mergeCell ref="F124:G124"/>
    <mergeCell ref="T376:Y376"/>
    <mergeCell ref="T837:Y837"/>
    <mergeCell ref="T821:Y821"/>
    <mergeCell ref="T568:Y568"/>
    <mergeCell ref="T552:Y552"/>
    <mergeCell ref="I829:J829"/>
    <mergeCell ref="B516:K517"/>
    <mergeCell ref="I512:J512"/>
    <mergeCell ref="I513:J513"/>
    <mergeCell ref="I825:K825"/>
    <mergeCell ref="I576:J576"/>
    <mergeCell ref="B833:K834"/>
    <mergeCell ref="I561:J561"/>
    <mergeCell ref="O472:R472"/>
    <mergeCell ref="T536:Y536"/>
    <mergeCell ref="B484:K485"/>
    <mergeCell ref="I528:J528"/>
    <mergeCell ref="I750:J750"/>
    <mergeCell ref="F699:G699"/>
    <mergeCell ref="T7:Y7"/>
    <mergeCell ref="I31:J31"/>
    <mergeCell ref="I32:J32"/>
    <mergeCell ref="B292:K293"/>
    <mergeCell ref="I641:J641"/>
    <mergeCell ref="A536:L536"/>
    <mergeCell ref="I546:J546"/>
    <mergeCell ref="C425:F425"/>
    <mergeCell ref="C505:F505"/>
    <mergeCell ref="H505:I505"/>
    <mergeCell ref="F508:G508"/>
    <mergeCell ref="H297:I297"/>
    <mergeCell ref="B510:C510"/>
    <mergeCell ref="I508:K508"/>
    <mergeCell ref="T408:Y408"/>
    <mergeCell ref="C361:F361"/>
    <mergeCell ref="I370:J370"/>
    <mergeCell ref="A408:L408"/>
    <mergeCell ref="H632:I632"/>
    <mergeCell ref="H521:I521"/>
    <mergeCell ref="A472:L472"/>
    <mergeCell ref="O504:R504"/>
    <mergeCell ref="H425:I425"/>
    <mergeCell ref="I530:J530"/>
    <mergeCell ref="B29:C29"/>
    <mergeCell ref="I27:K27"/>
    <mergeCell ref="H24:I24"/>
    <mergeCell ref="C24:F24"/>
    <mergeCell ref="T23:Y23"/>
    <mergeCell ref="A23:L23"/>
    <mergeCell ref="I11:K11"/>
    <mergeCell ref="H8:I8"/>
    <mergeCell ref="C8:F8"/>
    <mergeCell ref="B13:C13"/>
    <mergeCell ref="F11:G11"/>
    <mergeCell ref="I15:J15"/>
    <mergeCell ref="I16:J16"/>
    <mergeCell ref="I17:J17"/>
    <mergeCell ref="B19:K20"/>
    <mergeCell ref="F27:G27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3" manualBreakCount="13">
    <brk id="102" max="11" man="1"/>
    <brk id="150" max="11" man="1"/>
    <brk id="198" max="11" man="1"/>
    <brk id="246" max="11" man="1"/>
    <brk id="294" max="11" man="1"/>
    <brk id="342" max="11" man="1"/>
    <brk id="390" max="11" man="1"/>
    <brk id="438" max="11" man="1"/>
    <brk id="486" max="11" man="1"/>
    <brk id="534" max="11" man="1"/>
    <brk id="582" max="11" man="1"/>
    <brk id="629" max="11" man="1"/>
    <brk id="74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55" t="s">
        <v>149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</row>
    <row r="2" spans="1:26" ht="48.75" customHeight="1" x14ac:dyDescent="0.2">
      <c r="A2" s="165" t="s">
        <v>97</v>
      </c>
      <c r="B2" s="166" t="s">
        <v>113</v>
      </c>
      <c r="C2" s="166" t="s">
        <v>111</v>
      </c>
      <c r="D2" s="166" t="s">
        <v>112</v>
      </c>
      <c r="E2" s="166" t="s">
        <v>114</v>
      </c>
      <c r="F2" s="166" t="s">
        <v>115</v>
      </c>
      <c r="G2" s="166" t="s">
        <v>116</v>
      </c>
      <c r="H2" s="167" t="s">
        <v>119</v>
      </c>
      <c r="I2" s="167" t="s">
        <v>136</v>
      </c>
      <c r="J2" s="167" t="s">
        <v>145</v>
      </c>
      <c r="K2" s="167" t="s">
        <v>146</v>
      </c>
      <c r="L2" s="167" t="s">
        <v>147</v>
      </c>
      <c r="M2" s="167" t="s">
        <v>148</v>
      </c>
      <c r="N2" s="167" t="s">
        <v>155</v>
      </c>
      <c r="O2" s="167" t="s">
        <v>157</v>
      </c>
      <c r="P2" s="167" t="s">
        <v>163</v>
      </c>
      <c r="Q2" s="167" t="s">
        <v>164</v>
      </c>
      <c r="R2" s="171" t="s">
        <v>150</v>
      </c>
      <c r="S2" s="2"/>
      <c r="T2" s="14"/>
      <c r="U2" s="2"/>
      <c r="V2" s="2"/>
      <c r="W2" s="114"/>
      <c r="X2" s="2"/>
      <c r="Y2" s="2"/>
    </row>
    <row r="3" spans="1:26" ht="20.25" customHeight="1" x14ac:dyDescent="0.25">
      <c r="A3" s="169" t="s">
        <v>98</v>
      </c>
      <c r="B3" s="159">
        <v>100000</v>
      </c>
      <c r="C3" s="160">
        <v>100000</v>
      </c>
      <c r="D3" s="160">
        <v>100000</v>
      </c>
      <c r="E3" s="160">
        <v>100000</v>
      </c>
      <c r="F3" s="160">
        <v>100000</v>
      </c>
      <c r="G3" s="160">
        <v>100000</v>
      </c>
      <c r="H3" s="172">
        <v>100000</v>
      </c>
      <c r="I3" s="172">
        <v>100000</v>
      </c>
      <c r="J3" s="172">
        <v>100000</v>
      </c>
      <c r="K3" s="172">
        <v>0</v>
      </c>
      <c r="L3" s="172">
        <v>100000</v>
      </c>
      <c r="M3" s="172">
        <v>100000</v>
      </c>
      <c r="N3" s="172">
        <v>100000</v>
      </c>
      <c r="O3" s="172">
        <v>100000</v>
      </c>
      <c r="P3" s="172">
        <v>100000</v>
      </c>
      <c r="Q3" s="172">
        <v>100000</v>
      </c>
      <c r="R3" s="172">
        <f>Q3-P3</f>
        <v>0</v>
      </c>
      <c r="S3" s="2"/>
      <c r="T3" s="14"/>
      <c r="U3" s="2"/>
      <c r="V3" s="2"/>
      <c r="W3" s="114"/>
      <c r="X3" s="2"/>
      <c r="Y3" s="2"/>
      <c r="Z3" s="8"/>
    </row>
    <row r="4" spans="1:26" ht="20.25" customHeight="1" x14ac:dyDescent="0.25">
      <c r="A4" s="170" t="s">
        <v>36</v>
      </c>
      <c r="B4" s="161">
        <v>60000</v>
      </c>
      <c r="C4" s="162">
        <v>60000</v>
      </c>
      <c r="D4" s="162">
        <v>60000</v>
      </c>
      <c r="E4" s="162">
        <v>60000</v>
      </c>
      <c r="F4" s="162">
        <v>60000</v>
      </c>
      <c r="G4" s="162">
        <v>60000</v>
      </c>
      <c r="H4" s="173">
        <v>60000</v>
      </c>
      <c r="I4" s="173">
        <v>60000</v>
      </c>
      <c r="J4" s="173">
        <v>60000</v>
      </c>
      <c r="K4" s="173">
        <v>60000</v>
      </c>
      <c r="L4" s="172">
        <v>60000</v>
      </c>
      <c r="M4" s="172">
        <v>60000</v>
      </c>
      <c r="N4" s="172">
        <v>60000</v>
      </c>
      <c r="O4" s="172">
        <v>62000</v>
      </c>
      <c r="P4" s="172">
        <v>62000</v>
      </c>
      <c r="Q4" s="172">
        <v>62000</v>
      </c>
      <c r="R4" s="172">
        <f t="shared" ref="R4:R15" si="0">Q4-P4</f>
        <v>0</v>
      </c>
      <c r="S4" s="2"/>
      <c r="T4" s="114"/>
      <c r="U4" s="2"/>
      <c r="V4" s="2"/>
      <c r="W4" s="114"/>
      <c r="X4" s="2"/>
      <c r="Y4" s="2"/>
    </row>
    <row r="5" spans="1:26" ht="20.25" customHeight="1" x14ac:dyDescent="0.25">
      <c r="A5" s="168" t="s">
        <v>34</v>
      </c>
      <c r="B5" s="163">
        <v>73206</v>
      </c>
      <c r="C5" s="162">
        <v>87000</v>
      </c>
      <c r="D5" s="162">
        <v>65000</v>
      </c>
      <c r="E5" s="162">
        <v>67000</v>
      </c>
      <c r="F5" s="162">
        <v>65000</v>
      </c>
      <c r="G5" s="162">
        <v>66000</v>
      </c>
      <c r="H5" s="173">
        <v>88000</v>
      </c>
      <c r="I5" s="173">
        <v>103489.58333333333</v>
      </c>
      <c r="J5" s="173">
        <v>87822.580645161288</v>
      </c>
      <c r="K5" s="173">
        <v>84933.333333333328</v>
      </c>
      <c r="L5" s="172">
        <v>66000</v>
      </c>
      <c r="M5" s="172">
        <v>103483.87096774194</v>
      </c>
      <c r="N5" s="172">
        <v>118000</v>
      </c>
      <c r="O5" s="172">
        <v>117387.09677419355</v>
      </c>
      <c r="P5" s="172">
        <v>119000</v>
      </c>
      <c r="Q5" s="172">
        <v>94000</v>
      </c>
      <c r="R5" s="172">
        <f t="shared" si="0"/>
        <v>-25000</v>
      </c>
      <c r="S5" s="2"/>
      <c r="T5" s="114"/>
      <c r="U5" s="2"/>
      <c r="V5" s="2"/>
      <c r="W5" s="114"/>
      <c r="X5" s="2"/>
      <c r="Y5" s="2"/>
    </row>
    <row r="6" spans="1:26" ht="20.25" customHeight="1" x14ac:dyDescent="0.25">
      <c r="A6" s="168" t="s">
        <v>99</v>
      </c>
      <c r="B6" s="163">
        <v>147448.27586206896</v>
      </c>
      <c r="C6" s="162">
        <v>116709.67741935482</v>
      </c>
      <c r="D6" s="162">
        <v>32250</v>
      </c>
      <c r="E6" s="162">
        <v>32250</v>
      </c>
      <c r="F6" s="162">
        <v>32250</v>
      </c>
      <c r="G6" s="162">
        <v>32250</v>
      </c>
      <c r="H6" s="173">
        <v>32250</v>
      </c>
      <c r="I6" s="173">
        <v>29300</v>
      </c>
      <c r="J6" s="173">
        <v>31750</v>
      </c>
      <c r="K6" s="173">
        <v>40875</v>
      </c>
      <c r="L6" s="172">
        <v>31500</v>
      </c>
      <c r="M6" s="172">
        <v>31500</v>
      </c>
      <c r="N6" s="172">
        <v>31500</v>
      </c>
      <c r="O6" s="172">
        <v>31500</v>
      </c>
      <c r="P6" s="172">
        <f>'Salary Sheets'!Q27</f>
        <v>127743.95161290323</v>
      </c>
      <c r="Q6" s="172">
        <v>37258.06451612903</v>
      </c>
      <c r="R6" s="172">
        <f t="shared" si="0"/>
        <v>-90485.887096774197</v>
      </c>
      <c r="S6" s="114"/>
      <c r="T6" s="14"/>
      <c r="U6" s="2"/>
      <c r="V6" s="2"/>
      <c r="W6" s="114"/>
      <c r="X6" s="2"/>
      <c r="Y6" s="2"/>
    </row>
    <row r="7" spans="1:26" ht="20.25" customHeight="1" x14ac:dyDescent="0.25">
      <c r="A7" s="168" t="s">
        <v>100</v>
      </c>
      <c r="B7" s="163">
        <v>132799.31034482759</v>
      </c>
      <c r="C7" s="162">
        <v>63387.096774193546</v>
      </c>
      <c r="D7" s="162">
        <v>41481.25</v>
      </c>
      <c r="E7" s="162">
        <v>53254.032258064515</v>
      </c>
      <c r="F7" s="162">
        <v>42143.75</v>
      </c>
      <c r="G7" s="162">
        <v>30919.354838709678</v>
      </c>
      <c r="H7" s="173">
        <v>35761.088709677424</v>
      </c>
      <c r="I7" s="173">
        <v>99415.625</v>
      </c>
      <c r="J7" s="173">
        <v>97959.677419354834</v>
      </c>
      <c r="K7" s="173">
        <v>54868.75</v>
      </c>
      <c r="L7" s="172">
        <v>52703.629032258061</v>
      </c>
      <c r="M7" s="172">
        <v>53987.145161290318</v>
      </c>
      <c r="N7" s="172">
        <v>92420.758928571435</v>
      </c>
      <c r="O7" s="172">
        <v>81163.548387096773</v>
      </c>
      <c r="P7" s="172">
        <v>72583.333333333328</v>
      </c>
      <c r="Q7" s="172">
        <v>75645.161290322576</v>
      </c>
      <c r="R7" s="172">
        <f t="shared" si="0"/>
        <v>3061.8279569892475</v>
      </c>
      <c r="S7" s="114"/>
      <c r="T7" s="14"/>
      <c r="U7" s="121"/>
      <c r="V7" s="121"/>
      <c r="W7" s="121"/>
      <c r="X7" s="121"/>
      <c r="Y7" s="2"/>
    </row>
    <row r="8" spans="1:26" ht="20.25" customHeight="1" x14ac:dyDescent="0.25">
      <c r="A8" s="168" t="s">
        <v>35</v>
      </c>
      <c r="B8" s="163">
        <v>372668.96551724145</v>
      </c>
      <c r="C8" s="162">
        <v>306071.05846774194</v>
      </c>
      <c r="D8" s="162">
        <v>205928.33333333331</v>
      </c>
      <c r="E8" s="162">
        <v>255428.46774193548</v>
      </c>
      <c r="F8" s="162">
        <v>285739.58333333343</v>
      </c>
      <c r="G8" s="162">
        <v>169628.98387096776</v>
      </c>
      <c r="H8" s="173">
        <v>214618.54838709679</v>
      </c>
      <c r="I8" s="173">
        <v>263865.91666666669</v>
      </c>
      <c r="J8" s="173">
        <v>288039.31451612909</v>
      </c>
      <c r="K8" s="173">
        <v>261683.95833333337</v>
      </c>
      <c r="L8" s="172">
        <v>193254.97580645161</v>
      </c>
      <c r="M8" s="172">
        <v>212582.85483870967</v>
      </c>
      <c r="N8" s="172">
        <v>232213.1696428571</v>
      </c>
      <c r="O8" s="172">
        <v>241484.47580645161</v>
      </c>
      <c r="P8" s="172">
        <f>'Salary Sheets'!Q45</f>
        <v>324826.61290322576</v>
      </c>
      <c r="Q8" s="172">
        <v>201483.87096774194</v>
      </c>
      <c r="R8" s="172">
        <f t="shared" si="0"/>
        <v>-123342.74193548382</v>
      </c>
      <c r="S8" s="114"/>
      <c r="T8" s="14"/>
      <c r="U8" s="2"/>
      <c r="V8" s="2"/>
      <c r="W8" s="114"/>
      <c r="X8" s="2"/>
      <c r="Y8" s="2"/>
    </row>
    <row r="9" spans="1:26" ht="20.25" customHeight="1" x14ac:dyDescent="0.25">
      <c r="A9" s="168" t="s">
        <v>101</v>
      </c>
      <c r="B9" s="163">
        <v>120506.03448275861</v>
      </c>
      <c r="C9" s="162">
        <v>131841.12903225809</v>
      </c>
      <c r="D9" s="162">
        <v>104362.49999999999</v>
      </c>
      <c r="E9" s="162">
        <v>104752.41935483871</v>
      </c>
      <c r="F9" s="162">
        <v>113883.33333333334</v>
      </c>
      <c r="G9" s="162">
        <v>105737.90322580645</v>
      </c>
      <c r="H9" s="173">
        <v>103883.06451612903</v>
      </c>
      <c r="I9" s="173">
        <v>109841.66666666667</v>
      </c>
      <c r="J9" s="173">
        <v>117032.25806451612</v>
      </c>
      <c r="K9" s="173">
        <v>105759.16666666667</v>
      </c>
      <c r="L9" s="172">
        <v>119633.06451612904</v>
      </c>
      <c r="M9" s="172">
        <v>122745.96774193548</v>
      </c>
      <c r="N9" s="172">
        <v>113383.92857142855</v>
      </c>
      <c r="O9" s="172">
        <v>100282.25806451612</v>
      </c>
      <c r="P9" s="172">
        <v>116254.16666666666</v>
      </c>
      <c r="Q9" s="172">
        <v>121334.67741935483</v>
      </c>
      <c r="R9" s="172">
        <f t="shared" si="0"/>
        <v>5080.5107526881766</v>
      </c>
      <c r="S9" s="114"/>
      <c r="T9" s="14"/>
      <c r="U9" s="2"/>
      <c r="V9" s="2"/>
      <c r="W9" s="114"/>
      <c r="X9" s="2"/>
      <c r="Y9" s="2"/>
      <c r="Z9" s="14"/>
    </row>
    <row r="10" spans="1:26" ht="20.25" customHeight="1" x14ac:dyDescent="0.25">
      <c r="A10" s="168" t="s">
        <v>102</v>
      </c>
      <c r="B10" s="163">
        <v>93330.732758620696</v>
      </c>
      <c r="C10" s="162">
        <v>87991.93548387097</v>
      </c>
      <c r="D10" s="162">
        <v>61687.5</v>
      </c>
      <c r="E10" s="162">
        <v>72469.354838709682</v>
      </c>
      <c r="F10" s="162">
        <v>92054.166666666672</v>
      </c>
      <c r="G10" s="162">
        <v>92983.870967741939</v>
      </c>
      <c r="H10" s="173">
        <v>95745.967741935485</v>
      </c>
      <c r="I10" s="173">
        <v>91266.666666666657</v>
      </c>
      <c r="J10" s="173">
        <v>82338.709677419363</v>
      </c>
      <c r="K10" s="173">
        <v>87658.333333333328</v>
      </c>
      <c r="L10" s="172">
        <v>98245.967741935485</v>
      </c>
      <c r="M10" s="172">
        <v>104427.41935483871</v>
      </c>
      <c r="N10" s="172">
        <v>89080.357142857145</v>
      </c>
      <c r="O10" s="172">
        <v>87447.580645161288</v>
      </c>
      <c r="P10" s="172">
        <v>92458.333333333343</v>
      </c>
      <c r="Q10" s="172">
        <v>89770.161290322576</v>
      </c>
      <c r="R10" s="172">
        <f t="shared" si="0"/>
        <v>-2688.1720430107671</v>
      </c>
      <c r="S10" s="114"/>
      <c r="T10" s="14"/>
      <c r="U10" s="8"/>
      <c r="V10" s="8"/>
      <c r="W10" s="140"/>
      <c r="X10" s="8"/>
      <c r="Y10" s="2"/>
      <c r="Z10" s="14"/>
    </row>
    <row r="11" spans="1:26" ht="20.25" customHeight="1" x14ac:dyDescent="0.25">
      <c r="A11" s="168" t="s">
        <v>103</v>
      </c>
      <c r="B11" s="163">
        <v>47469.310344827587</v>
      </c>
      <c r="C11" s="162">
        <v>29145.16129032258</v>
      </c>
      <c r="D11" s="162">
        <v>27083.333333333332</v>
      </c>
      <c r="E11" s="162">
        <v>28830.645161290322</v>
      </c>
      <c r="F11" s="162">
        <v>27083.333333333332</v>
      </c>
      <c r="G11" s="162">
        <v>29145.16129032258</v>
      </c>
      <c r="H11" s="173">
        <v>45596.774193548386</v>
      </c>
      <c r="I11" s="173">
        <v>45641.666666666672</v>
      </c>
      <c r="J11" s="173">
        <v>48903.225806451621</v>
      </c>
      <c r="K11" s="173">
        <v>39968.75</v>
      </c>
      <c r="L11" s="172">
        <v>48483.870967741939</v>
      </c>
      <c r="M11" s="172">
        <v>52201.612903225803</v>
      </c>
      <c r="N11" s="172">
        <v>67227.678571428565</v>
      </c>
      <c r="O11" s="172">
        <v>107939.51612903226</v>
      </c>
      <c r="P11" s="172">
        <v>81066.666666666672</v>
      </c>
      <c r="Q11" s="172">
        <v>84967.741935483878</v>
      </c>
      <c r="R11" s="172">
        <f t="shared" si="0"/>
        <v>3901.075268817207</v>
      </c>
      <c r="S11" s="114"/>
      <c r="T11" s="14"/>
      <c r="U11" s="2"/>
      <c r="V11" s="2"/>
      <c r="W11" s="114"/>
      <c r="X11" s="2"/>
      <c r="Y11" s="8"/>
    </row>
    <row r="12" spans="1:26" ht="36" customHeight="1" x14ac:dyDescent="0.25">
      <c r="A12" s="290" t="s">
        <v>162</v>
      </c>
      <c r="B12" s="163"/>
      <c r="C12" s="162"/>
      <c r="D12" s="162"/>
      <c r="E12" s="162"/>
      <c r="F12" s="162"/>
      <c r="G12" s="162"/>
      <c r="H12" s="173"/>
      <c r="I12" s="173"/>
      <c r="J12" s="173"/>
      <c r="K12" s="173"/>
      <c r="L12" s="172"/>
      <c r="M12" s="172"/>
      <c r="N12" s="172"/>
      <c r="O12" s="172"/>
      <c r="P12" s="172">
        <f>'Salary Sheets'!Q69</f>
        <v>282141.12903225806</v>
      </c>
      <c r="Q12" s="172">
        <v>254832.25806451612</v>
      </c>
      <c r="R12" s="172">
        <f t="shared" si="0"/>
        <v>-27308.870967741939</v>
      </c>
      <c r="S12" s="114"/>
      <c r="T12" s="14"/>
      <c r="U12" s="2"/>
      <c r="V12" s="2"/>
      <c r="W12" s="114"/>
      <c r="X12" s="2"/>
      <c r="Y12" s="8"/>
    </row>
    <row r="13" spans="1:26" ht="20.25" customHeight="1" x14ac:dyDescent="0.25">
      <c r="A13" s="168" t="s">
        <v>165</v>
      </c>
      <c r="B13" s="163"/>
      <c r="C13" s="162"/>
      <c r="D13" s="162"/>
      <c r="E13" s="162"/>
      <c r="F13" s="162"/>
      <c r="G13" s="162"/>
      <c r="H13" s="173"/>
      <c r="I13" s="173"/>
      <c r="J13" s="173"/>
      <c r="K13" s="173"/>
      <c r="L13" s="172"/>
      <c r="M13" s="172"/>
      <c r="N13" s="172"/>
      <c r="O13" s="172"/>
      <c r="P13" s="172" t="e">
        <f>'Salary Sheets'!#REF!</f>
        <v>#REF!</v>
      </c>
      <c r="Q13" s="172" t="e">
        <f>'Salary Sheets'!#REF!</f>
        <v>#REF!</v>
      </c>
      <c r="R13" s="172" t="e">
        <f t="shared" si="0"/>
        <v>#REF!</v>
      </c>
      <c r="S13" s="114"/>
      <c r="T13" s="14"/>
      <c r="U13" s="2"/>
      <c r="V13" s="2"/>
      <c r="W13" s="114"/>
      <c r="X13" s="2"/>
      <c r="Y13" s="8"/>
    </row>
    <row r="14" spans="1:26" ht="20.25" customHeight="1" x14ac:dyDescent="0.25">
      <c r="A14" s="168" t="s">
        <v>161</v>
      </c>
      <c r="B14" s="163">
        <v>160366.37931034484</v>
      </c>
      <c r="C14" s="163">
        <v>169366.93548387097</v>
      </c>
      <c r="D14" s="163">
        <v>177360</v>
      </c>
      <c r="E14" s="163">
        <v>201414.11290322582</v>
      </c>
      <c r="F14" s="163">
        <v>185683.33333333334</v>
      </c>
      <c r="G14" s="163">
        <v>178671.93548387097</v>
      </c>
      <c r="H14" s="173">
        <v>186343.54838709679</v>
      </c>
      <c r="I14" s="173">
        <v>183710</v>
      </c>
      <c r="J14" s="173">
        <v>208798.38709677421</v>
      </c>
      <c r="K14" s="173">
        <v>172205.83333333334</v>
      </c>
      <c r="L14" s="172">
        <v>99483.870967741939</v>
      </c>
      <c r="M14" s="172">
        <v>104608.87096774192</v>
      </c>
      <c r="N14" s="172">
        <v>156408.92857142858</v>
      </c>
      <c r="O14" s="172">
        <v>106806.45161290321</v>
      </c>
      <c r="P14" s="172">
        <v>127450</v>
      </c>
      <c r="Q14" s="172">
        <v>0</v>
      </c>
      <c r="R14" s="172">
        <f t="shared" si="0"/>
        <v>-127450</v>
      </c>
      <c r="S14" s="2"/>
      <c r="T14" s="14"/>
      <c r="U14" s="2"/>
      <c r="V14" s="2"/>
      <c r="W14" s="114"/>
      <c r="X14" s="2"/>
      <c r="Y14" s="8"/>
      <c r="Z14" s="14"/>
    </row>
    <row r="15" spans="1:26" ht="31.5" x14ac:dyDescent="0.2">
      <c r="A15" s="174" t="s">
        <v>158</v>
      </c>
      <c r="B15" s="164">
        <v>214942.75862068965</v>
      </c>
      <c r="C15" s="163">
        <v>204628.70967741933</v>
      </c>
      <c r="D15" s="163">
        <v>91566.666666666672</v>
      </c>
      <c r="E15" s="163">
        <v>100387.09677419355</v>
      </c>
      <c r="F15" s="163">
        <v>41733.333333333336</v>
      </c>
      <c r="G15" s="163">
        <v>2580.6451612903224</v>
      </c>
      <c r="H15" s="173">
        <v>34870.967741935485</v>
      </c>
      <c r="I15" s="173">
        <v>61920.833333333336</v>
      </c>
      <c r="J15" s="173">
        <v>44959.677419354841</v>
      </c>
      <c r="K15" s="173">
        <v>38666.666666666672</v>
      </c>
      <c r="L15" s="172">
        <v>39516.129032258061</v>
      </c>
      <c r="M15" s="172">
        <v>43000</v>
      </c>
      <c r="N15" s="172">
        <v>50142.857142857145</v>
      </c>
      <c r="O15" s="172">
        <v>102443.54838709676</v>
      </c>
      <c r="P15" s="172">
        <f>'Salary Sheets'!Q73</f>
        <v>28000</v>
      </c>
      <c r="Q15" s="172">
        <f>'Salary Sheets'!Q73</f>
        <v>28000</v>
      </c>
      <c r="R15" s="172">
        <f t="shared" si="0"/>
        <v>0</v>
      </c>
      <c r="S15" s="2"/>
      <c r="U15" s="8"/>
      <c r="V15" s="8"/>
      <c r="W15" s="140"/>
      <c r="X15" s="8"/>
      <c r="Y15" s="8"/>
      <c r="Z15" s="14"/>
    </row>
    <row r="16" spans="1:26" ht="29.25" customHeight="1" x14ac:dyDescent="0.2">
      <c r="A16" s="220" t="s">
        <v>104</v>
      </c>
      <c r="B16" s="220">
        <f t="shared" ref="B16:R16" si="1">SUM(B3:B15)</f>
        <v>1522737.7672413792</v>
      </c>
      <c r="C16" s="220">
        <f t="shared" si="1"/>
        <v>1356141.7036290322</v>
      </c>
      <c r="D16" s="220">
        <f t="shared" si="1"/>
        <v>966719.58333333326</v>
      </c>
      <c r="E16" s="220">
        <f t="shared" si="1"/>
        <v>1075786.1290322579</v>
      </c>
      <c r="F16" s="220">
        <f>SUM(F3:F15)</f>
        <v>1045570.8333333336</v>
      </c>
      <c r="G16" s="220">
        <f>SUM(G3:G15)</f>
        <v>867917.8548387097</v>
      </c>
      <c r="H16" s="220">
        <f>SUM(H3:H15)</f>
        <v>997069.95967741939</v>
      </c>
      <c r="I16" s="220">
        <f>SUM(I3:I15)</f>
        <v>1148451.9583333333</v>
      </c>
      <c r="J16" s="220">
        <f>SUM(J3:J15)</f>
        <v>1167603.8306451614</v>
      </c>
      <c r="K16" s="220">
        <f t="shared" si="1"/>
        <v>946619.79166666674</v>
      </c>
      <c r="L16" s="220">
        <f t="shared" ref="L16:P16" si="2">SUM(L3:L15)</f>
        <v>908821.50806451624</v>
      </c>
      <c r="M16" s="220">
        <f t="shared" si="2"/>
        <v>988537.74193548388</v>
      </c>
      <c r="N16" s="220">
        <f t="shared" si="2"/>
        <v>1110377.6785714284</v>
      </c>
      <c r="O16" s="220">
        <f t="shared" si="2"/>
        <v>1138454.4758064516</v>
      </c>
      <c r="P16" s="220" t="e">
        <f t="shared" si="2"/>
        <v>#REF!</v>
      </c>
      <c r="Q16" s="220" t="e">
        <f>SUM(Q3:Q15)</f>
        <v>#REF!</v>
      </c>
      <c r="R16" s="220" t="e">
        <f t="shared" si="1"/>
        <v>#REF!</v>
      </c>
      <c r="S16" s="8"/>
      <c r="W16" s="140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22"/>
  <sheetViews>
    <sheetView workbookViewId="0">
      <selection activeCell="K20" sqref="K19:K20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55" t="s">
        <v>206</v>
      </c>
      <c r="B1" s="455"/>
      <c r="C1" s="455"/>
      <c r="D1" s="455"/>
      <c r="E1" s="455"/>
    </row>
    <row r="2" spans="1:5" ht="18" x14ac:dyDescent="0.2">
      <c r="A2" s="346" t="s">
        <v>216</v>
      </c>
      <c r="B2" s="342"/>
      <c r="C2" s="347" t="s">
        <v>214</v>
      </c>
      <c r="D2" s="347" t="s">
        <v>215</v>
      </c>
      <c r="E2" s="347" t="s">
        <v>2</v>
      </c>
    </row>
    <row r="3" spans="1:5" ht="15.75" customHeight="1" x14ac:dyDescent="0.25">
      <c r="A3" s="169" t="s">
        <v>134</v>
      </c>
      <c r="B3" s="460" t="s">
        <v>225</v>
      </c>
      <c r="C3" s="348">
        <v>24500</v>
      </c>
      <c r="D3" s="348">
        <v>2000</v>
      </c>
      <c r="E3" s="172">
        <f t="shared" ref="E3:E6" si="0">D3+C3</f>
        <v>26500</v>
      </c>
    </row>
    <row r="4" spans="1:5" ht="15.75" x14ac:dyDescent="0.25">
      <c r="A4" s="169" t="s">
        <v>151</v>
      </c>
      <c r="B4" s="461"/>
      <c r="C4" s="348">
        <v>25000</v>
      </c>
      <c r="D4" s="348">
        <v>2000</v>
      </c>
      <c r="E4" s="172">
        <f t="shared" si="0"/>
        <v>27000</v>
      </c>
    </row>
    <row r="5" spans="1:5" ht="15.75" x14ac:dyDescent="0.25">
      <c r="A5" s="169" t="s">
        <v>224</v>
      </c>
      <c r="B5" s="461"/>
      <c r="C5" s="348">
        <v>32500</v>
      </c>
      <c r="D5" s="348">
        <v>2000</v>
      </c>
      <c r="E5" s="172">
        <f t="shared" si="0"/>
        <v>34500</v>
      </c>
    </row>
    <row r="6" spans="1:5" ht="15.75" x14ac:dyDescent="0.25">
      <c r="A6" s="169" t="s">
        <v>189</v>
      </c>
      <c r="B6" s="462"/>
      <c r="C6" s="348">
        <v>21000</v>
      </c>
      <c r="D6" s="348">
        <v>1000</v>
      </c>
      <c r="E6" s="172">
        <f t="shared" si="0"/>
        <v>22000</v>
      </c>
    </row>
    <row r="7" spans="1:5" ht="20.25" customHeight="1" x14ac:dyDescent="0.25">
      <c r="A7" s="169" t="s">
        <v>207</v>
      </c>
      <c r="B7" s="456" t="s">
        <v>213</v>
      </c>
      <c r="C7" s="172">
        <v>40000</v>
      </c>
      <c r="D7" s="172">
        <v>5000</v>
      </c>
      <c r="E7" s="172">
        <f>D7+C7</f>
        <v>45000</v>
      </c>
    </row>
    <row r="8" spans="1:5" ht="20.25" customHeight="1" x14ac:dyDescent="0.25">
      <c r="A8" s="170" t="s">
        <v>208</v>
      </c>
      <c r="B8" s="457"/>
      <c r="C8" s="173">
        <v>55000</v>
      </c>
      <c r="D8" s="173">
        <v>5000</v>
      </c>
      <c r="E8" s="172">
        <f t="shared" ref="E8:E14" si="1">D8+C8</f>
        <v>60000</v>
      </c>
    </row>
    <row r="9" spans="1:5" ht="20.25" customHeight="1" x14ac:dyDescent="0.25">
      <c r="A9" s="168" t="s">
        <v>78</v>
      </c>
      <c r="B9" s="457"/>
      <c r="C9" s="173">
        <v>30000</v>
      </c>
      <c r="D9" s="173">
        <v>5000</v>
      </c>
      <c r="E9" s="172">
        <f t="shared" si="1"/>
        <v>35000</v>
      </c>
    </row>
    <row r="10" spans="1:5" ht="20.25" customHeight="1" x14ac:dyDescent="0.25">
      <c r="A10" s="168" t="s">
        <v>209</v>
      </c>
      <c r="B10" s="457"/>
      <c r="C10" s="173">
        <v>38000</v>
      </c>
      <c r="D10" s="173">
        <v>5000</v>
      </c>
      <c r="E10" s="172">
        <f t="shared" si="1"/>
        <v>43000</v>
      </c>
    </row>
    <row r="11" spans="1:5" ht="20.25" customHeight="1" x14ac:dyDescent="0.25">
      <c r="A11" s="168" t="s">
        <v>210</v>
      </c>
      <c r="B11" s="457"/>
      <c r="C11" s="173">
        <v>28000</v>
      </c>
      <c r="D11" s="173">
        <v>3000</v>
      </c>
      <c r="E11" s="172">
        <f t="shared" si="1"/>
        <v>31000</v>
      </c>
    </row>
    <row r="12" spans="1:5" ht="20.25" customHeight="1" x14ac:dyDescent="0.25">
      <c r="A12" s="168" t="s">
        <v>211</v>
      </c>
      <c r="B12" s="457"/>
      <c r="C12" s="173">
        <v>22000</v>
      </c>
      <c r="D12" s="173">
        <v>3000</v>
      </c>
      <c r="E12" s="172">
        <f t="shared" si="1"/>
        <v>25000</v>
      </c>
    </row>
    <row r="13" spans="1:5" ht="20.25" customHeight="1" x14ac:dyDescent="0.25">
      <c r="A13" s="168" t="s">
        <v>212</v>
      </c>
      <c r="B13" s="457"/>
      <c r="C13" s="173">
        <v>24000</v>
      </c>
      <c r="D13" s="173">
        <v>2000</v>
      </c>
      <c r="E13" s="172">
        <f t="shared" si="1"/>
        <v>26000</v>
      </c>
    </row>
    <row r="14" spans="1:5" ht="20.25" customHeight="1" x14ac:dyDescent="0.25">
      <c r="A14" s="168" t="s">
        <v>74</v>
      </c>
      <c r="B14" s="458"/>
      <c r="C14" s="173">
        <v>27000</v>
      </c>
      <c r="D14" s="173">
        <v>3000</v>
      </c>
      <c r="E14" s="172">
        <f t="shared" si="1"/>
        <v>30000</v>
      </c>
    </row>
    <row r="15" spans="1:5" ht="20.25" customHeight="1" x14ac:dyDescent="0.25">
      <c r="A15" s="343" t="s">
        <v>218</v>
      </c>
      <c r="B15" s="459" t="s">
        <v>217</v>
      </c>
      <c r="C15" s="173">
        <v>54000</v>
      </c>
      <c r="D15" s="173">
        <v>5000</v>
      </c>
      <c r="E15" s="172">
        <f t="shared" ref="E15:E22" si="2">D15+C15</f>
        <v>59000</v>
      </c>
    </row>
    <row r="16" spans="1:5" ht="36" customHeight="1" x14ac:dyDescent="0.25">
      <c r="A16" s="344" t="s">
        <v>219</v>
      </c>
      <c r="B16" s="459"/>
      <c r="C16" s="173">
        <v>27500</v>
      </c>
      <c r="D16" s="173">
        <v>2000</v>
      </c>
      <c r="E16" s="172">
        <f t="shared" si="2"/>
        <v>29500</v>
      </c>
    </row>
    <row r="17" spans="1:5" ht="20.25" customHeight="1" x14ac:dyDescent="0.25">
      <c r="A17" s="343" t="s">
        <v>220</v>
      </c>
      <c r="B17" s="459"/>
      <c r="C17" s="173">
        <v>22500</v>
      </c>
      <c r="D17" s="173">
        <v>2000</v>
      </c>
      <c r="E17" s="172">
        <f t="shared" si="2"/>
        <v>24500</v>
      </c>
    </row>
    <row r="18" spans="1:5" ht="20.25" customHeight="1" x14ac:dyDescent="0.25">
      <c r="A18" s="343" t="s">
        <v>221</v>
      </c>
      <c r="B18" s="459"/>
      <c r="C18" s="173">
        <v>22500</v>
      </c>
      <c r="D18" s="173">
        <v>2000</v>
      </c>
      <c r="E18" s="172">
        <f t="shared" si="2"/>
        <v>24500</v>
      </c>
    </row>
    <row r="19" spans="1:5" ht="15.75" x14ac:dyDescent="0.25">
      <c r="A19" s="343" t="s">
        <v>75</v>
      </c>
      <c r="B19" s="463">
        <v>45017</v>
      </c>
      <c r="C19" s="345">
        <v>45000</v>
      </c>
      <c r="D19" s="173">
        <v>5000</v>
      </c>
      <c r="E19" s="172">
        <f t="shared" si="2"/>
        <v>50000</v>
      </c>
    </row>
    <row r="20" spans="1:5" ht="15.75" x14ac:dyDescent="0.25">
      <c r="A20" s="343" t="s">
        <v>222</v>
      </c>
      <c r="B20" s="464"/>
      <c r="C20" s="345">
        <v>19000</v>
      </c>
      <c r="D20" s="173">
        <v>3000</v>
      </c>
      <c r="E20" s="172">
        <f t="shared" si="2"/>
        <v>22000</v>
      </c>
    </row>
    <row r="21" spans="1:5" ht="15.75" x14ac:dyDescent="0.25">
      <c r="A21" s="343" t="s">
        <v>156</v>
      </c>
      <c r="B21" s="464"/>
      <c r="C21" s="345">
        <v>47000</v>
      </c>
      <c r="D21" s="173">
        <v>3000</v>
      </c>
      <c r="E21" s="172">
        <f t="shared" si="2"/>
        <v>50000</v>
      </c>
    </row>
    <row r="22" spans="1:5" ht="15.75" x14ac:dyDescent="0.25">
      <c r="A22" s="343" t="s">
        <v>229</v>
      </c>
      <c r="B22" s="358">
        <v>45047</v>
      </c>
      <c r="C22" s="356">
        <v>25000</v>
      </c>
      <c r="D22" s="357">
        <v>30000</v>
      </c>
      <c r="E22" s="172">
        <f t="shared" si="2"/>
        <v>55000</v>
      </c>
    </row>
  </sheetData>
  <autoFilter ref="A2:E2" xr:uid="{69971A69-1AB5-4F7A-A4C2-73A1E09F711B}"/>
  <mergeCells count="5">
    <mergeCell ref="B7:B14"/>
    <mergeCell ref="A1:E1"/>
    <mergeCell ref="B15:B18"/>
    <mergeCell ref="B3:B6"/>
    <mergeCell ref="B19:B21"/>
  </mergeCells>
  <phoneticPr fontId="6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2023-06-06T10:25:25Z</cp:lastPrinted>
  <dcterms:created xsi:type="dcterms:W3CDTF">2007-01-04T05:01:09Z</dcterms:created>
  <dcterms:modified xsi:type="dcterms:W3CDTF">2023-06-27T11:49:32Z</dcterms:modified>
</cp:coreProperties>
</file>