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c details" sheetId="1" r:id="rId1"/>
    <sheet name="Bill # 1" sheetId="2" r:id="rId2"/>
    <sheet name="Bill # 2" sheetId="3" r:id="rId3"/>
  </sheets>
  <calcPr calcId="152511"/>
</workbook>
</file>

<file path=xl/calcChain.xml><?xml version="1.0" encoding="utf-8"?>
<calcChain xmlns="http://schemas.openxmlformats.org/spreadsheetml/2006/main">
  <c r="C20" i="3" l="1"/>
  <c r="C23" i="3"/>
  <c r="C22" i="2"/>
  <c r="C16" i="3" l="1"/>
  <c r="H10" i="3" l="1"/>
  <c r="C21" i="3" l="1"/>
  <c r="C8" i="3"/>
  <c r="B5" i="3"/>
  <c r="B6" i="3" s="1"/>
  <c r="B7" i="3" s="1"/>
  <c r="M19" i="1" l="1"/>
  <c r="M17" i="1"/>
  <c r="K16" i="1"/>
  <c r="F35" i="3" l="1"/>
  <c r="F31" i="3"/>
  <c r="C17" i="1" l="1"/>
  <c r="K5" i="3"/>
  <c r="K4" i="3"/>
  <c r="H5" i="3"/>
  <c r="G12" i="1" l="1"/>
  <c r="C12" i="1"/>
  <c r="E12" i="1" s="1"/>
  <c r="C25" i="2"/>
  <c r="C19" i="2" l="1"/>
  <c r="I20" i="2" l="1"/>
  <c r="C8" i="2"/>
  <c r="D20" i="2" l="1"/>
  <c r="C20" i="2"/>
  <c r="C5" i="3" l="1"/>
  <c r="C6" i="3" l="1"/>
  <c r="C7" i="3" s="1"/>
  <c r="K10" i="3"/>
  <c r="C11" i="3" l="1"/>
  <c r="C12" i="3"/>
  <c r="E12" i="2"/>
  <c r="H27" i="3" l="1"/>
  <c r="D21" i="3"/>
  <c r="G20" i="2" s="1"/>
  <c r="F37" i="3"/>
  <c r="C9" i="3"/>
  <c r="C18" i="3" s="1"/>
  <c r="H21" i="3"/>
  <c r="H24" i="3" s="1"/>
  <c r="H25" i="3" s="1"/>
  <c r="C9" i="2"/>
  <c r="C17" i="2" s="1"/>
  <c r="H26" i="3" l="1"/>
  <c r="H28" i="3" s="1"/>
  <c r="H30" i="3" s="1"/>
  <c r="F32" i="3"/>
  <c r="F33" i="3" s="1"/>
  <c r="F34" i="3" s="1"/>
  <c r="F36" i="3" s="1"/>
  <c r="F38" i="3" s="1"/>
  <c r="C5" i="2"/>
  <c r="B5" i="2"/>
  <c r="B6" i="2" s="1"/>
  <c r="B7" i="2" s="1"/>
  <c r="C6" i="2" l="1"/>
  <c r="C7" i="2" s="1"/>
  <c r="C12" i="2" l="1"/>
  <c r="C11" i="2"/>
  <c r="E11" i="1" l="1"/>
  <c r="G11" i="1" l="1"/>
  <c r="H33" i="1" l="1"/>
  <c r="H34" i="1" s="1"/>
  <c r="H6" i="1" l="1"/>
  <c r="C10" i="1" l="1"/>
  <c r="C16" i="1" s="1"/>
  <c r="E10" i="1" l="1"/>
  <c r="E16" i="1" s="1"/>
  <c r="G10" i="1" l="1"/>
  <c r="G16" i="1" s="1"/>
  <c r="G17" i="1" s="1"/>
</calcChain>
</file>

<file path=xl/sharedStrings.xml><?xml version="1.0" encoding="utf-8"?>
<sst xmlns="http://schemas.openxmlformats.org/spreadsheetml/2006/main" count="76" uniqueCount="56">
  <si>
    <t>Contract Value</t>
  </si>
  <si>
    <t>Retention Hold 10%</t>
  </si>
  <si>
    <t>Payable amount</t>
  </si>
  <si>
    <t>Receiving details</t>
  </si>
  <si>
    <t>Payment</t>
  </si>
  <si>
    <t>Gross payment reeived</t>
  </si>
  <si>
    <t>Chq amount</t>
  </si>
  <si>
    <t>Receiving date</t>
  </si>
  <si>
    <t>Net Receivable amount</t>
  </si>
  <si>
    <t>Total receiving till todate</t>
  </si>
  <si>
    <t>Remarks</t>
  </si>
  <si>
    <t>Tax rate</t>
  </si>
  <si>
    <t>Tax deducted</t>
  </si>
  <si>
    <t>Mobilization advance 25%</t>
  </si>
  <si>
    <t>Financail Summary for the project Imtiaz Super market DHA Phase VIII</t>
  </si>
  <si>
    <t>Net Amount Receivable</t>
  </si>
  <si>
    <t>Fire</t>
  </si>
  <si>
    <t>Materrial</t>
  </si>
  <si>
    <t>Labour</t>
  </si>
  <si>
    <t xml:space="preserve">HVAC </t>
  </si>
  <si>
    <t>Ttoal</t>
  </si>
  <si>
    <t>Discount 7.4333%</t>
  </si>
  <si>
    <t>SST 13%</t>
  </si>
  <si>
    <t>Total amount</t>
  </si>
  <si>
    <t>Less Mob advance 25%</t>
  </si>
  <si>
    <t>Adhoc received</t>
  </si>
  <si>
    <t>Less 20% SRB</t>
  </si>
  <si>
    <t xml:space="preserve">Chq amount </t>
  </si>
  <si>
    <t>1st Bill Summary</t>
  </si>
  <si>
    <t xml:space="preserve">Imtiaz Store DHA </t>
  </si>
  <si>
    <t>Total</t>
  </si>
  <si>
    <t>Adhoc Payment against 1st bill</t>
  </si>
  <si>
    <t>Final payment  1st bill</t>
  </si>
  <si>
    <t>SRB 20%</t>
  </si>
  <si>
    <t>Less Retention 10%</t>
  </si>
  <si>
    <t>Less Tax 7%</t>
  </si>
  <si>
    <t>Retention Money</t>
  </si>
  <si>
    <t>1st Bill</t>
  </si>
  <si>
    <t>2nd Bill</t>
  </si>
  <si>
    <t>Total hold</t>
  </si>
  <si>
    <t>Mobilization</t>
  </si>
  <si>
    <t>3rd Bill</t>
  </si>
  <si>
    <t>Loss</t>
  </si>
  <si>
    <t>Liability</t>
  </si>
  <si>
    <t>Net loss</t>
  </si>
  <si>
    <t>2nd bill paymnt</t>
  </si>
  <si>
    <t>after add retention</t>
  </si>
  <si>
    <t>after less remaining mob</t>
  </si>
  <si>
    <t>100% SRB 1st bill</t>
  </si>
  <si>
    <t>80% SRB 1st bill</t>
  </si>
  <si>
    <t>net profit</t>
  </si>
  <si>
    <t>Adhoc Payment against 2nd bill</t>
  </si>
  <si>
    <t>Net Payable</t>
  </si>
  <si>
    <t>25% on net amount before SST</t>
  </si>
  <si>
    <t>10% on net amount before SST</t>
  </si>
  <si>
    <t>Less Tax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</si>
</sst>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4" fontId="0" fillId="0" borderId="1" xfId="1" applyNumberFormat="1" applyFont="1" applyBorder="1"/>
    <xf numFmtId="0" fontId="0" fillId="0" borderId="1" xfId="0" applyBorder="1"/>
    <xf numFmtId="15" fontId="4" fillId="0" borderId="1" xfId="0" applyNumberFormat="1" applyFont="1" applyFill="1" applyBorder="1" applyAlignment="1">
      <alignment vertical="center"/>
    </xf>
    <xf numFmtId="164" fontId="5" fillId="0" borderId="1" xfId="0" applyNumberFormat="1" applyFont="1" applyBorder="1"/>
    <xf numFmtId="164" fontId="5" fillId="0" borderId="1" xfId="1" applyNumberFormat="1" applyFont="1" applyBorder="1"/>
    <xf numFmtId="164" fontId="2" fillId="0" borderId="1" xfId="1" applyNumberFormat="1" applyFont="1" applyBorder="1"/>
    <xf numFmtId="164" fontId="2" fillId="0" borderId="2" xfId="1" applyNumberFormat="1" applyFont="1" applyBorder="1" applyAlignment="1"/>
    <xf numFmtId="164" fontId="0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0" borderId="3" xfId="1" applyNumberFormat="1" applyFont="1" applyBorder="1" applyAlignment="1"/>
    <xf numFmtId="164" fontId="2" fillId="0" borderId="4" xfId="1" applyNumberFormat="1" applyFont="1" applyBorder="1"/>
    <xf numFmtId="164" fontId="0" fillId="0" borderId="0" xfId="0" applyNumberFormat="1"/>
    <xf numFmtId="0" fontId="5" fillId="0" borderId="1" xfId="0" applyFont="1" applyBorder="1" applyAlignment="1"/>
    <xf numFmtId="166" fontId="0" fillId="0" borderId="0" xfId="0" applyNumberFormat="1"/>
    <xf numFmtId="0" fontId="6" fillId="0" borderId="0" xfId="0" applyFont="1" applyFill="1" applyBorder="1" applyAlignment="1">
      <alignment horizontal="center"/>
    </xf>
    <xf numFmtId="165" fontId="0" fillId="0" borderId="1" xfId="2" applyNumberFormat="1" applyFont="1" applyBorder="1" applyAlignment="1">
      <alignment vertical="center"/>
    </xf>
    <xf numFmtId="164" fontId="0" fillId="0" borderId="1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164" fontId="7" fillId="0" borderId="1" xfId="1" applyNumberFormat="1" applyFont="1" applyBorder="1"/>
    <xf numFmtId="164" fontId="8" fillId="0" borderId="1" xfId="1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right" wrapText="1"/>
    </xf>
    <xf numFmtId="164" fontId="9" fillId="0" borderId="1" xfId="1" applyNumberFormat="1" applyFont="1" applyBorder="1"/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vertical="center"/>
    </xf>
    <xf numFmtId="164" fontId="7" fillId="0" borderId="1" xfId="1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10" fillId="0" borderId="1" xfId="0" applyFont="1" applyBorder="1"/>
    <xf numFmtId="164" fontId="10" fillId="0" borderId="1" xfId="1" applyNumberFormat="1" applyFont="1" applyBorder="1"/>
    <xf numFmtId="164" fontId="6" fillId="0" borderId="0" xfId="0" applyNumberFormat="1" applyFont="1" applyFill="1" applyBorder="1" applyAlignment="1">
      <alignment horizontal="center"/>
    </xf>
    <xf numFmtId="9" fontId="0" fillId="0" borderId="0" xfId="0" applyNumberFormat="1"/>
    <xf numFmtId="43" fontId="0" fillId="0" borderId="0" xfId="1" applyNumberFormat="1" applyFont="1"/>
    <xf numFmtId="43" fontId="6" fillId="0" borderId="0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8</xdr:row>
      <xdr:rowOff>85724</xdr:rowOff>
    </xdr:from>
    <xdr:to>
      <xdr:col>8</xdr:col>
      <xdr:colOff>561975</xdr:colOff>
      <xdr:row>15</xdr:row>
      <xdr:rowOff>85724</xdr:rowOff>
    </xdr:to>
    <xdr:sp macro="" textlink="">
      <xdr:nvSpPr>
        <xdr:cNvPr id="4" name="TextBox 3"/>
        <xdr:cNvSpPr txBox="1"/>
      </xdr:nvSpPr>
      <xdr:spPr>
        <a:xfrm>
          <a:off x="6629400" y="2114549"/>
          <a:ext cx="216217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20%</a:t>
          </a:r>
          <a:r>
            <a:rPr lang="en-US" sz="1100" baseline="0"/>
            <a:t> SRB did not deducted by client Imtiaz mistakenly, Mr. Urshan told that you will submit whole 100% SST amount to SRB There will be no issue and then i called to Mr. Zohaid Tax consultant he also endorsed this and said ok submit the whole amount</a:t>
          </a:r>
        </a:p>
        <a:p>
          <a:endParaRPr lang="en-US" sz="1100"/>
        </a:p>
      </xdr:txBody>
    </xdr:sp>
    <xdr:clientData/>
  </xdr:twoCellAnchor>
  <xdr:twoCellAnchor>
    <xdr:from>
      <xdr:col>3</xdr:col>
      <xdr:colOff>47625</xdr:colOff>
      <xdr:row>13</xdr:row>
      <xdr:rowOff>190500</xdr:rowOff>
    </xdr:from>
    <xdr:to>
      <xdr:col>5</xdr:col>
      <xdr:colOff>323850</xdr:colOff>
      <xdr:row>19</xdr:row>
      <xdr:rowOff>85725</xdr:rowOff>
    </xdr:to>
    <xdr:cxnSp macro="">
      <xdr:nvCxnSpPr>
        <xdr:cNvPr id="6" name="Straight Arrow Connector 5"/>
        <xdr:cNvCxnSpPr/>
      </xdr:nvCxnSpPr>
      <xdr:spPr>
        <a:xfrm flipV="1">
          <a:off x="4667250" y="3409950"/>
          <a:ext cx="1819275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4"/>
  <sheetViews>
    <sheetView workbookViewId="0">
      <selection activeCell="L20" sqref="L20"/>
    </sheetView>
  </sheetViews>
  <sheetFormatPr defaultRowHeight="15" x14ac:dyDescent="0.25"/>
  <cols>
    <col min="1" max="1" width="29.7109375" customWidth="1"/>
    <col min="2" max="2" width="16.7109375" customWidth="1"/>
    <col min="3" max="3" width="13.42578125" customWidth="1"/>
    <col min="4" max="4" width="8.85546875" bestFit="1" customWidth="1"/>
    <col min="5" max="6" width="12.7109375" customWidth="1"/>
    <col min="7" max="7" width="18.7109375" customWidth="1"/>
    <col min="8" max="8" width="15.85546875" customWidth="1"/>
    <col min="11" max="11" width="13.28515625" bestFit="1" customWidth="1"/>
    <col min="13" max="13" width="12.5703125" style="1" bestFit="1" customWidth="1"/>
    <col min="14" max="16" width="9.140625" style="1"/>
  </cols>
  <sheetData>
    <row r="3" spans="1:13" ht="23.25" x14ac:dyDescent="0.35">
      <c r="A3" s="44" t="s">
        <v>14</v>
      </c>
      <c r="B3" s="45"/>
      <c r="C3" s="45"/>
      <c r="D3" s="45"/>
      <c r="E3" s="45"/>
      <c r="F3" s="45"/>
      <c r="G3" s="45"/>
      <c r="H3" s="46"/>
    </row>
    <row r="4" spans="1:13" x14ac:dyDescent="0.25">
      <c r="G4" s="14" t="s">
        <v>0</v>
      </c>
      <c r="H4" s="15">
        <v>26000000</v>
      </c>
    </row>
    <row r="5" spans="1:13" x14ac:dyDescent="0.25">
      <c r="G5" s="9" t="s">
        <v>1</v>
      </c>
      <c r="H5" s="8"/>
    </row>
    <row r="6" spans="1:13" x14ac:dyDescent="0.25">
      <c r="G6" s="9" t="s">
        <v>2</v>
      </c>
      <c r="H6" s="8">
        <f>H4-H5</f>
        <v>26000000</v>
      </c>
    </row>
    <row r="8" spans="1:13" ht="23.25" x14ac:dyDescent="0.35">
      <c r="A8" s="43" t="s">
        <v>3</v>
      </c>
      <c r="B8" s="43"/>
      <c r="C8" s="43"/>
      <c r="D8" s="43"/>
      <c r="E8" s="43"/>
      <c r="F8" s="43"/>
      <c r="G8" s="43"/>
      <c r="H8" s="43"/>
    </row>
    <row r="9" spans="1:13" ht="47.25" x14ac:dyDescent="0.25">
      <c r="A9" s="11" t="s">
        <v>4</v>
      </c>
      <c r="B9" s="12" t="s">
        <v>7</v>
      </c>
      <c r="C9" s="12" t="s">
        <v>5</v>
      </c>
      <c r="D9" s="12" t="s">
        <v>11</v>
      </c>
      <c r="E9" s="12" t="s">
        <v>12</v>
      </c>
      <c r="F9" s="12" t="s">
        <v>33</v>
      </c>
      <c r="G9" s="11" t="s">
        <v>6</v>
      </c>
      <c r="H9" s="11" t="s">
        <v>10</v>
      </c>
    </row>
    <row r="10" spans="1:13" ht="28.5" customHeight="1" x14ac:dyDescent="0.25">
      <c r="A10" s="21" t="s">
        <v>13</v>
      </c>
      <c r="B10" s="5">
        <v>44217</v>
      </c>
      <c r="C10" s="10">
        <f>H6*25%</f>
        <v>6500000</v>
      </c>
      <c r="D10" s="20">
        <v>7.4999999999999997E-2</v>
      </c>
      <c r="E10" s="10">
        <f>D10*C10</f>
        <v>487500</v>
      </c>
      <c r="F10" s="10">
        <v>0</v>
      </c>
      <c r="G10" s="10">
        <f>C10-E10</f>
        <v>6012500</v>
      </c>
      <c r="H10" s="13"/>
    </row>
    <row r="11" spans="1:13" ht="28.5" customHeight="1" x14ac:dyDescent="0.25">
      <c r="A11" s="21" t="s">
        <v>31</v>
      </c>
      <c r="B11" s="5">
        <v>44233</v>
      </c>
      <c r="C11" s="10">
        <v>3000000</v>
      </c>
      <c r="D11" s="20">
        <v>6.5000000000000002E-2</v>
      </c>
      <c r="E11" s="10">
        <f>D11*C11</f>
        <v>195000</v>
      </c>
      <c r="F11" s="10">
        <v>0</v>
      </c>
      <c r="G11" s="10">
        <f>C11-E11</f>
        <v>2805000</v>
      </c>
      <c r="H11" s="13"/>
    </row>
    <row r="12" spans="1:13" ht="18.75" customHeight="1" x14ac:dyDescent="0.25">
      <c r="A12" s="21" t="s">
        <v>32</v>
      </c>
      <c r="B12" s="5">
        <v>44517</v>
      </c>
      <c r="C12" s="10">
        <f>'Bill # 1'!C17</f>
        <v>1049580.0885438644</v>
      </c>
      <c r="D12" s="20">
        <v>7.0000000000000007E-2</v>
      </c>
      <c r="E12" s="10">
        <f>D12*C12</f>
        <v>73470.606198070513</v>
      </c>
      <c r="F12" s="10">
        <v>0</v>
      </c>
      <c r="G12" s="10">
        <f>C12-E12</f>
        <v>976109.48234579386</v>
      </c>
      <c r="H12" s="13"/>
    </row>
    <row r="13" spans="1:13" x14ac:dyDescent="0.25">
      <c r="A13" s="21" t="s">
        <v>51</v>
      </c>
      <c r="B13" s="4"/>
      <c r="C13" s="3"/>
      <c r="D13" s="20"/>
      <c r="E13" s="10"/>
      <c r="F13" s="10"/>
      <c r="G13" s="10"/>
      <c r="H13" s="4"/>
    </row>
    <row r="14" spans="1:13" x14ac:dyDescent="0.25">
      <c r="A14" s="4"/>
      <c r="B14" s="4"/>
      <c r="C14" s="3"/>
      <c r="D14" s="20"/>
      <c r="E14" s="10"/>
      <c r="F14" s="10"/>
      <c r="G14" s="10"/>
      <c r="H14" s="4"/>
      <c r="K14" s="1">
        <v>5580000</v>
      </c>
      <c r="M14" s="1">
        <v>100000</v>
      </c>
    </row>
    <row r="15" spans="1:13" x14ac:dyDescent="0.25">
      <c r="A15" s="4"/>
      <c r="B15" s="4"/>
      <c r="C15" s="4"/>
      <c r="D15" s="4"/>
      <c r="E15" s="4"/>
      <c r="F15" s="4"/>
      <c r="G15" s="4"/>
      <c r="H15" s="4"/>
      <c r="M15" s="1">
        <v>90000</v>
      </c>
    </row>
    <row r="16" spans="1:13" ht="15.75" x14ac:dyDescent="0.25">
      <c r="A16" s="17" t="s">
        <v>9</v>
      </c>
      <c r="B16" s="17"/>
      <c r="C16" s="6">
        <f>SUM(C10:C15)</f>
        <v>10549580.088543864</v>
      </c>
      <c r="D16" s="6">
        <v>0</v>
      </c>
      <c r="E16" s="6">
        <f>SUM(E10:E15)</f>
        <v>755970.60619807057</v>
      </c>
      <c r="F16" s="6"/>
      <c r="G16" s="6">
        <f>SUM(G10:G15)</f>
        <v>9793609.4823457934</v>
      </c>
      <c r="H16" s="4"/>
      <c r="K16" s="1">
        <f>K14/93%</f>
        <v>6000000</v>
      </c>
    </row>
    <row r="17" spans="1:13" ht="15.75" x14ac:dyDescent="0.25">
      <c r="A17" s="17" t="s">
        <v>8</v>
      </c>
      <c r="B17" s="17"/>
      <c r="C17" s="42">
        <f>H4-C16</f>
        <v>15450419.911456136</v>
      </c>
      <c r="D17" s="17"/>
      <c r="E17" s="17"/>
      <c r="F17" s="17"/>
      <c r="G17" s="7">
        <f>H6-G16</f>
        <v>16206390.517654207</v>
      </c>
      <c r="H17" s="3"/>
      <c r="M17" s="1">
        <f>M14-M15</f>
        <v>10000</v>
      </c>
    </row>
    <row r="18" spans="1:13" x14ac:dyDescent="0.25">
      <c r="G18" s="1"/>
    </row>
    <row r="19" spans="1:13" x14ac:dyDescent="0.25">
      <c r="C19" s="16"/>
      <c r="G19" s="1"/>
      <c r="H19" s="2"/>
      <c r="M19" s="1">
        <f>M17-M14</f>
        <v>-90000</v>
      </c>
    </row>
    <row r="20" spans="1:13" x14ac:dyDescent="0.25">
      <c r="G20" s="1"/>
    </row>
    <row r="21" spans="1:13" x14ac:dyDescent="0.25">
      <c r="G21" s="1"/>
    </row>
    <row r="22" spans="1:13" x14ac:dyDescent="0.25">
      <c r="C22" s="2"/>
    </row>
    <row r="24" spans="1:13" x14ac:dyDescent="0.25">
      <c r="E24" s="16"/>
      <c r="F24" s="16"/>
    </row>
    <row r="32" spans="1:13" x14ac:dyDescent="0.25">
      <c r="H32" s="1">
        <v>3780000</v>
      </c>
    </row>
    <row r="33" spans="8:8" x14ac:dyDescent="0.25">
      <c r="H33" s="18">
        <f>H32*7.5%</f>
        <v>283500</v>
      </c>
    </row>
    <row r="34" spans="8:8" x14ac:dyDescent="0.25">
      <c r="H34" s="18">
        <f>H32-H33</f>
        <v>3496500</v>
      </c>
    </row>
  </sheetData>
  <mergeCells count="2">
    <mergeCell ref="A8:H8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23" sqref="C23"/>
    </sheetView>
  </sheetViews>
  <sheetFormatPr defaultRowHeight="15.75" x14ac:dyDescent="0.25"/>
  <cols>
    <col min="1" max="1" width="37.28515625" customWidth="1"/>
    <col min="2" max="2" width="16.42578125" customWidth="1"/>
    <col min="3" max="3" width="15.5703125" style="1" customWidth="1"/>
    <col min="4" max="4" width="33" style="19" customWidth="1"/>
    <col min="5" max="5" width="11.5703125" style="19" bestFit="1" customWidth="1"/>
    <col min="6" max="6" width="9.140625" style="19"/>
    <col min="7" max="7" width="12.7109375" style="19" bestFit="1" customWidth="1"/>
    <col min="8" max="16384" width="9.140625" style="19"/>
  </cols>
  <sheetData>
    <row r="1" spans="1:5" ht="26.25" x14ac:dyDescent="0.25">
      <c r="A1" s="47" t="s">
        <v>29</v>
      </c>
      <c r="B1" s="47"/>
      <c r="C1" s="47"/>
    </row>
    <row r="2" spans="1:5" ht="18.75" x14ac:dyDescent="0.3">
      <c r="A2" s="29" t="s">
        <v>28</v>
      </c>
      <c r="B2" s="34" t="s">
        <v>17</v>
      </c>
      <c r="C2" s="35" t="s">
        <v>18</v>
      </c>
    </row>
    <row r="3" spans="1:5" ht="18.75" x14ac:dyDescent="0.3">
      <c r="A3" s="22" t="s">
        <v>19</v>
      </c>
      <c r="B3" s="31">
        <v>3146687</v>
      </c>
      <c r="C3" s="23">
        <v>694538</v>
      </c>
    </row>
    <row r="4" spans="1:5" ht="18.75" x14ac:dyDescent="0.3">
      <c r="A4" s="22" t="s">
        <v>16</v>
      </c>
      <c r="B4" s="31">
        <v>2217695</v>
      </c>
      <c r="C4" s="23">
        <v>442028</v>
      </c>
    </row>
    <row r="5" spans="1:5" ht="18.75" x14ac:dyDescent="0.3">
      <c r="A5" s="22" t="s">
        <v>20</v>
      </c>
      <c r="B5" s="32">
        <f>SUM(B3:B4)</f>
        <v>5364382</v>
      </c>
      <c r="C5" s="32">
        <f>SUM(C3:C4)</f>
        <v>1136566</v>
      </c>
    </row>
    <row r="6" spans="1:5" ht="18.75" x14ac:dyDescent="0.3">
      <c r="A6" s="22" t="s">
        <v>21</v>
      </c>
      <c r="B6" s="31">
        <f>B5*7.403666%</f>
        <v>397160.92624412</v>
      </c>
      <c r="C6" s="31">
        <f>C5*7.403666%</f>
        <v>84147.550509560009</v>
      </c>
    </row>
    <row r="7" spans="1:5" ht="18.75" x14ac:dyDescent="0.3">
      <c r="A7" s="22" t="s">
        <v>15</v>
      </c>
      <c r="B7" s="32">
        <f>B5-B6</f>
        <v>4967221.0737558799</v>
      </c>
      <c r="C7" s="32">
        <f>C5-C6</f>
        <v>1052418.4494904401</v>
      </c>
      <c r="D7" s="38"/>
    </row>
    <row r="8" spans="1:5" ht="21" x14ac:dyDescent="0.35">
      <c r="A8" s="22" t="s">
        <v>22</v>
      </c>
      <c r="B8" s="33">
        <v>0</v>
      </c>
      <c r="C8" s="24">
        <f>C7*13%</f>
        <v>136814.39843375722</v>
      </c>
      <c r="E8" s="38"/>
    </row>
    <row r="9" spans="1:5" ht="18.75" x14ac:dyDescent="0.3">
      <c r="A9" s="29" t="s">
        <v>23</v>
      </c>
      <c r="B9" s="36"/>
      <c r="C9" s="37">
        <f>C8+C7+B7</f>
        <v>6156453.921680077</v>
      </c>
    </row>
    <row r="10" spans="1:5" ht="18.75" x14ac:dyDescent="0.3">
      <c r="A10" s="25"/>
      <c r="B10" s="25"/>
      <c r="C10" s="23"/>
    </row>
    <row r="11" spans="1:5" ht="18.75" x14ac:dyDescent="0.3">
      <c r="A11" s="26" t="s">
        <v>24</v>
      </c>
      <c r="B11" s="26"/>
      <c r="C11" s="23">
        <f>SUM(B7+C7)*25%</f>
        <v>1504909.88081158</v>
      </c>
      <c r="D11" s="19" t="s">
        <v>53</v>
      </c>
    </row>
    <row r="12" spans="1:5" ht="18.75" x14ac:dyDescent="0.3">
      <c r="A12" s="26" t="s">
        <v>34</v>
      </c>
      <c r="B12" s="22"/>
      <c r="C12" s="23">
        <f>SUM(B7+C7)*10%</f>
        <v>601963.95232463197</v>
      </c>
      <c r="D12" s="19" t="s">
        <v>54</v>
      </c>
      <c r="E12" s="38">
        <f>C12+'Bill # 2'!C12</f>
        <v>2350318.4844702762</v>
      </c>
    </row>
    <row r="13" spans="1:5" ht="18.75" x14ac:dyDescent="0.3">
      <c r="A13" s="22" t="s">
        <v>25</v>
      </c>
      <c r="B13" s="22"/>
      <c r="C13" s="23">
        <v>3000000</v>
      </c>
    </row>
    <row r="14" spans="1:5" ht="18.75" x14ac:dyDescent="0.3">
      <c r="A14" s="22"/>
      <c r="B14" s="22"/>
      <c r="C14" s="23"/>
    </row>
    <row r="15" spans="1:5" ht="18.75" x14ac:dyDescent="0.3">
      <c r="A15" s="22"/>
      <c r="B15" s="22"/>
      <c r="C15" s="23"/>
    </row>
    <row r="16" spans="1:5" ht="18.75" x14ac:dyDescent="0.3">
      <c r="A16" s="22"/>
      <c r="B16" s="22"/>
      <c r="C16" s="23"/>
    </row>
    <row r="17" spans="1:9" ht="18.75" x14ac:dyDescent="0.3">
      <c r="A17" s="22" t="s">
        <v>15</v>
      </c>
      <c r="B17" s="22"/>
      <c r="C17" s="23">
        <f>C9-C11-C12-C13</f>
        <v>1049580.0885438644</v>
      </c>
    </row>
    <row r="18" spans="1:9" ht="18.75" x14ac:dyDescent="0.3">
      <c r="A18" s="22"/>
      <c r="B18" s="22"/>
      <c r="C18" s="23"/>
      <c r="I18" s="19">
        <v>1111932</v>
      </c>
    </row>
    <row r="19" spans="1:9" ht="18.75" x14ac:dyDescent="0.3">
      <c r="A19" s="22" t="s">
        <v>35</v>
      </c>
      <c r="B19" s="22"/>
      <c r="C19" s="23">
        <f>C17*7%</f>
        <v>73470.606198070513</v>
      </c>
      <c r="I19" s="19">
        <v>109451</v>
      </c>
    </row>
    <row r="20" spans="1:9" ht="21" x14ac:dyDescent="0.35">
      <c r="A20" s="22" t="s">
        <v>26</v>
      </c>
      <c r="B20" s="22"/>
      <c r="C20" s="27">
        <f>C8*20%</f>
        <v>27362.879686751447</v>
      </c>
      <c r="D20" s="40">
        <f>C8*80%</f>
        <v>109451.51874700579</v>
      </c>
      <c r="E20" s="39">
        <v>0.8</v>
      </c>
      <c r="G20" s="41">
        <f>D20+'Bill # 2'!D21</f>
        <v>418441.93701348692</v>
      </c>
      <c r="I20" s="19">
        <f>I18-I19</f>
        <v>1002481</v>
      </c>
    </row>
    <row r="21" spans="1:9" x14ac:dyDescent="0.25">
      <c r="A21" s="28"/>
      <c r="B21" s="28"/>
      <c r="C21" s="3"/>
    </row>
    <row r="22" spans="1:9" ht="18.75" x14ac:dyDescent="0.3">
      <c r="A22" s="29" t="s">
        <v>27</v>
      </c>
      <c r="B22" s="29"/>
      <c r="C22" s="30">
        <f>C17-C19</f>
        <v>976109.48234579386</v>
      </c>
    </row>
    <row r="23" spans="1:9" x14ac:dyDescent="0.25">
      <c r="A23" s="28"/>
      <c r="B23" s="28"/>
      <c r="C23" s="3"/>
    </row>
    <row r="25" spans="1:9" x14ac:dyDescent="0.25">
      <c r="C25" s="1">
        <f>C22+C20</f>
        <v>1003472.3620325453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4" workbookViewId="0">
      <selection activeCell="E14" sqref="E14"/>
    </sheetView>
  </sheetViews>
  <sheetFormatPr defaultRowHeight="15" x14ac:dyDescent="0.25"/>
  <cols>
    <col min="1" max="1" width="37.28515625" customWidth="1"/>
    <col min="2" max="2" width="16.42578125" customWidth="1"/>
    <col min="3" max="3" width="18.140625" style="1" customWidth="1"/>
    <col min="4" max="4" width="11.5703125" bestFit="1" customWidth="1"/>
    <col min="5" max="5" width="23.85546875" customWidth="1"/>
    <col min="6" max="6" width="14" bestFit="1" customWidth="1"/>
    <col min="7" max="7" width="12.5703125" customWidth="1"/>
    <col min="8" max="8" width="19.28515625" style="1" customWidth="1"/>
    <col min="9" max="9" width="5.28515625" style="1" customWidth="1"/>
    <col min="10" max="10" width="17.5703125" customWidth="1"/>
    <col min="11" max="11" width="13.28515625" style="1" bestFit="1" customWidth="1"/>
    <col min="13" max="13" width="10.5703125" bestFit="1" customWidth="1"/>
  </cols>
  <sheetData>
    <row r="1" spans="1:13" ht="26.25" x14ac:dyDescent="0.25">
      <c r="A1" s="47" t="s">
        <v>29</v>
      </c>
      <c r="B1" s="47"/>
      <c r="C1" s="47"/>
    </row>
    <row r="2" spans="1:13" ht="18.75" x14ac:dyDescent="0.3">
      <c r="A2" s="29" t="s">
        <v>28</v>
      </c>
      <c r="B2" s="34" t="s">
        <v>17</v>
      </c>
      <c r="C2" s="35" t="s">
        <v>18</v>
      </c>
    </row>
    <row r="3" spans="1:13" ht="18.75" x14ac:dyDescent="0.3">
      <c r="A3" s="22" t="s">
        <v>19</v>
      </c>
      <c r="B3" s="31">
        <v>12142064</v>
      </c>
      <c r="C3" s="23">
        <v>2589942</v>
      </c>
    </row>
    <row r="4" spans="1:13" ht="18.75" x14ac:dyDescent="0.3">
      <c r="A4" s="22" t="s">
        <v>16</v>
      </c>
      <c r="B4" s="31">
        <v>3530785</v>
      </c>
      <c r="C4" s="23">
        <v>618675</v>
      </c>
      <c r="G4" s="48" t="s">
        <v>36</v>
      </c>
      <c r="H4" s="48"/>
      <c r="J4" t="s">
        <v>40</v>
      </c>
      <c r="K4" s="1">
        <f>'rec details'!C10</f>
        <v>6500000</v>
      </c>
    </row>
    <row r="5" spans="1:13" ht="18.75" x14ac:dyDescent="0.3">
      <c r="A5" s="22" t="s">
        <v>30</v>
      </c>
      <c r="B5" s="32">
        <f>SUM(B3:B4)</f>
        <v>15672849</v>
      </c>
      <c r="C5" s="32">
        <f>SUM(C3:C4)</f>
        <v>3208617</v>
      </c>
      <c r="E5" s="16"/>
      <c r="G5" t="s">
        <v>37</v>
      </c>
      <c r="H5" s="1">
        <f>'Bill # 1'!C12</f>
        <v>601963.95232463197</v>
      </c>
      <c r="J5" t="s">
        <v>37</v>
      </c>
      <c r="K5" s="1">
        <f>'Bill # 1'!C11</f>
        <v>1504909.88081158</v>
      </c>
    </row>
    <row r="6" spans="1:13" ht="18.75" x14ac:dyDescent="0.3">
      <c r="A6" s="22" t="s">
        <v>21</v>
      </c>
      <c r="B6" s="31">
        <f>B5*7.403666%</f>
        <v>1160365.3926443402</v>
      </c>
      <c r="C6" s="31">
        <f>C5*7.403666%</f>
        <v>237555.28589922001</v>
      </c>
      <c r="G6" t="s">
        <v>38</v>
      </c>
      <c r="H6" s="1">
        <v>1739574</v>
      </c>
      <c r="J6" t="s">
        <v>38</v>
      </c>
      <c r="K6" s="1">
        <v>4348936</v>
      </c>
    </row>
    <row r="7" spans="1:13" ht="18.75" x14ac:dyDescent="0.3">
      <c r="A7" s="22" t="s">
        <v>15</v>
      </c>
      <c r="B7" s="32">
        <f>B5-B6</f>
        <v>14512483.60735566</v>
      </c>
      <c r="C7" s="32">
        <f>C5-C6</f>
        <v>2971061.71410078</v>
      </c>
      <c r="D7" s="16"/>
      <c r="G7" t="s">
        <v>41</v>
      </c>
      <c r="H7" s="1">
        <v>0</v>
      </c>
      <c r="J7" t="s">
        <v>41</v>
      </c>
      <c r="K7" s="1">
        <v>0</v>
      </c>
    </row>
    <row r="8" spans="1:13" ht="21" x14ac:dyDescent="0.35">
      <c r="A8" s="22" t="s">
        <v>22</v>
      </c>
      <c r="B8" s="33">
        <v>0</v>
      </c>
      <c r="C8" s="24">
        <f>C7*13%</f>
        <v>386238.02283310139</v>
      </c>
    </row>
    <row r="9" spans="1:13" ht="18.75" x14ac:dyDescent="0.3">
      <c r="A9" s="29" t="s">
        <v>23</v>
      </c>
      <c r="B9" s="36"/>
      <c r="C9" s="37">
        <f>C8+C7+B7</f>
        <v>17869783.344289541</v>
      </c>
    </row>
    <row r="10" spans="1:13" ht="18.75" x14ac:dyDescent="0.3">
      <c r="A10" s="25"/>
      <c r="B10" s="25"/>
      <c r="C10" s="23"/>
      <c r="G10" t="s">
        <v>39</v>
      </c>
      <c r="H10" s="1">
        <f>SUM(H5:H9)</f>
        <v>2341537.9523246321</v>
      </c>
      <c r="K10" s="1">
        <f>K4-K5-K6</f>
        <v>646154.11918842047</v>
      </c>
      <c r="M10" s="16"/>
    </row>
    <row r="11" spans="1:13" ht="18.75" x14ac:dyDescent="0.3">
      <c r="A11" s="26" t="s">
        <v>24</v>
      </c>
      <c r="B11" s="26"/>
      <c r="C11" s="23">
        <f>SUM(B7+C7)*25%</f>
        <v>4370886.3303641099</v>
      </c>
    </row>
    <row r="12" spans="1:13" ht="18.75" x14ac:dyDescent="0.3">
      <c r="A12" s="26" t="s">
        <v>34</v>
      </c>
      <c r="B12" s="22"/>
      <c r="C12" s="23">
        <f>SUM(B7+C7)*10%</f>
        <v>1748354.5321456441</v>
      </c>
    </row>
    <row r="13" spans="1:13" ht="18.75" x14ac:dyDescent="0.3">
      <c r="A13" s="22"/>
      <c r="B13" s="22"/>
      <c r="C13" s="23"/>
      <c r="E13" s="16"/>
    </row>
    <row r="14" spans="1:13" ht="18.75" x14ac:dyDescent="0.3">
      <c r="A14" s="22"/>
      <c r="B14" s="22"/>
      <c r="C14" s="23"/>
      <c r="E14" s="16"/>
    </row>
    <row r="15" spans="1:13" ht="18.75" x14ac:dyDescent="0.3">
      <c r="A15" s="22"/>
      <c r="B15" s="22"/>
      <c r="C15" s="23"/>
    </row>
    <row r="16" spans="1:13" ht="18.75" x14ac:dyDescent="0.3">
      <c r="A16" s="22" t="s">
        <v>15</v>
      </c>
      <c r="B16" s="22"/>
      <c r="C16" s="23">
        <f>C9-C11-C12</f>
        <v>11750542.481779788</v>
      </c>
    </row>
    <row r="17" spans="1:8" ht="18.75" x14ac:dyDescent="0.3">
      <c r="A17" s="22" t="s">
        <v>25</v>
      </c>
      <c r="B17" s="22"/>
      <c r="C17" s="23">
        <v>6000000</v>
      </c>
    </row>
    <row r="18" spans="1:8" ht="18.75" x14ac:dyDescent="0.3">
      <c r="A18" s="22" t="s">
        <v>52</v>
      </c>
      <c r="B18" s="22"/>
      <c r="C18" s="23">
        <f>C16-C17</f>
        <v>5750542.4817797877</v>
      </c>
    </row>
    <row r="19" spans="1:8" ht="18.75" x14ac:dyDescent="0.3">
      <c r="A19" s="22"/>
      <c r="B19" s="22"/>
      <c r="C19" s="23"/>
    </row>
    <row r="20" spans="1:8" ht="18.75" x14ac:dyDescent="0.3">
      <c r="A20" s="22" t="s">
        <v>55</v>
      </c>
      <c r="B20" s="22"/>
      <c r="C20" s="23">
        <f>C18*6%</f>
        <v>345032.54890678724</v>
      </c>
    </row>
    <row r="21" spans="1:8" ht="21" x14ac:dyDescent="0.35">
      <c r="A21" s="22" t="s">
        <v>26</v>
      </c>
      <c r="B21" s="22"/>
      <c r="C21" s="27">
        <f>C8*20%</f>
        <v>77247.604566620284</v>
      </c>
      <c r="D21" s="1">
        <f>C8*80%</f>
        <v>308990.41826648114</v>
      </c>
      <c r="E21" s="39">
        <v>0.8</v>
      </c>
      <c r="H21" s="1">
        <f>C16+'rec details'!C16</f>
        <v>22300122.570323654</v>
      </c>
    </row>
    <row r="22" spans="1:8" x14ac:dyDescent="0.25">
      <c r="A22" s="28"/>
      <c r="B22" s="28"/>
      <c r="C22" s="3"/>
      <c r="H22" s="1">
        <v>12611405</v>
      </c>
    </row>
    <row r="23" spans="1:8" ht="18.75" x14ac:dyDescent="0.3">
      <c r="A23" s="29" t="s">
        <v>27</v>
      </c>
      <c r="B23" s="29"/>
      <c r="C23" s="30">
        <f>C18-C20</f>
        <v>5405509.9328730004</v>
      </c>
    </row>
    <row r="24" spans="1:8" x14ac:dyDescent="0.25">
      <c r="A24" s="28"/>
      <c r="B24" s="28"/>
      <c r="C24" s="3"/>
      <c r="H24" s="1">
        <f>H21-H22</f>
        <v>9688717.5703236535</v>
      </c>
    </row>
    <row r="25" spans="1:8" x14ac:dyDescent="0.25">
      <c r="H25" s="1">
        <f>H24+H10-K10</f>
        <v>11384101.403459866</v>
      </c>
    </row>
    <row r="26" spans="1:8" x14ac:dyDescent="0.25">
      <c r="H26" s="1">
        <f>'rec details'!E16+'Bill # 1'!C19+'Bill # 2'!C20</f>
        <v>1174473.7613029284</v>
      </c>
    </row>
    <row r="27" spans="1:8" x14ac:dyDescent="0.25">
      <c r="H27" s="1">
        <f>'Bill # 1'!C8+'Bill # 2'!C8</f>
        <v>523052.42126685858</v>
      </c>
    </row>
    <row r="28" spans="1:8" x14ac:dyDescent="0.25">
      <c r="H28" s="1">
        <f>H25-H26-H27</f>
        <v>9686575.2208900768</v>
      </c>
    </row>
    <row r="29" spans="1:8" x14ac:dyDescent="0.25">
      <c r="E29" t="s">
        <v>42</v>
      </c>
      <c r="F29" s="1">
        <v>-2817797</v>
      </c>
      <c r="H29" s="1">
        <v>2700000</v>
      </c>
    </row>
    <row r="30" spans="1:8" x14ac:dyDescent="0.25">
      <c r="E30" t="s">
        <v>43</v>
      </c>
      <c r="F30" s="1">
        <v>-2700000</v>
      </c>
      <c r="H30" s="1">
        <f>H28-H29</f>
        <v>6986575.2208900768</v>
      </c>
    </row>
    <row r="31" spans="1:8" x14ac:dyDescent="0.25">
      <c r="E31" t="s">
        <v>44</v>
      </c>
      <c r="F31" s="16">
        <f>SUM(F29:F30)</f>
        <v>-5517797</v>
      </c>
    </row>
    <row r="32" spans="1:8" x14ac:dyDescent="0.25">
      <c r="E32" t="s">
        <v>45</v>
      </c>
      <c r="F32" s="16">
        <f>F31+C23</f>
        <v>-112287.06712699961</v>
      </c>
    </row>
    <row r="33" spans="5:6" x14ac:dyDescent="0.25">
      <c r="E33" t="s">
        <v>46</v>
      </c>
      <c r="F33" s="16">
        <f>F32+H10</f>
        <v>2229250.8851976325</v>
      </c>
    </row>
    <row r="34" spans="5:6" x14ac:dyDescent="0.25">
      <c r="E34" t="s">
        <v>47</v>
      </c>
      <c r="F34" s="16">
        <f>F33-K10</f>
        <v>1583096.766009212</v>
      </c>
    </row>
    <row r="35" spans="5:6" x14ac:dyDescent="0.25">
      <c r="E35" t="s">
        <v>48</v>
      </c>
      <c r="F35" s="1">
        <f>'Bill # 1'!C8</f>
        <v>136814.39843375722</v>
      </c>
    </row>
    <row r="36" spans="5:6" x14ac:dyDescent="0.25">
      <c r="F36" s="1">
        <f>F34-F35</f>
        <v>1446282.3675754548</v>
      </c>
    </row>
    <row r="37" spans="5:6" x14ac:dyDescent="0.25">
      <c r="E37" t="s">
        <v>49</v>
      </c>
      <c r="F37" s="1">
        <f>C8*80%</f>
        <v>308990.41826648114</v>
      </c>
    </row>
    <row r="38" spans="5:6" x14ac:dyDescent="0.25">
      <c r="E38" t="s">
        <v>50</v>
      </c>
      <c r="F38" s="1">
        <f>F36-F37</f>
        <v>1137291.9493089737</v>
      </c>
    </row>
    <row r="39" spans="5:6" x14ac:dyDescent="0.25">
      <c r="F39" s="1"/>
    </row>
    <row r="40" spans="5:6" x14ac:dyDescent="0.25">
      <c r="F40" s="1"/>
    </row>
  </sheetData>
  <mergeCells count="2">
    <mergeCell ref="A1:C1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 details</vt:lpstr>
      <vt:lpstr>Bill # 1</vt:lpstr>
      <vt:lpstr>Bill #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2022-07-22T15:12:58Z</dcterms:modified>
</cp:coreProperties>
</file>