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D8AFCB73-D6E9-4387-B6F5-DED486C6B9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1">Sheet2!$M$1:$N$25</definedName>
  </definedNames>
  <calcPr calcId="181029"/>
</workbook>
</file>

<file path=xl/calcChain.xml><?xml version="1.0" encoding="utf-8"?>
<calcChain xmlns="http://schemas.openxmlformats.org/spreadsheetml/2006/main">
  <c r="N21" i="2" l="1"/>
  <c r="N6" i="2" l="1"/>
  <c r="N2" i="2"/>
  <c r="N3" i="2" s="1"/>
  <c r="N4" i="2" s="1"/>
  <c r="N14" i="2"/>
  <c r="N7" i="2" l="1"/>
  <c r="E22" i="2"/>
  <c r="N8" i="2" l="1"/>
  <c r="N9" i="2" s="1"/>
  <c r="N23" i="2" s="1"/>
  <c r="N25" i="2" s="1"/>
  <c r="B14" i="2"/>
  <c r="I24" i="3" l="1"/>
  <c r="E6" i="3" l="1"/>
  <c r="G6" i="3" s="1"/>
  <c r="I6" i="3" s="1"/>
  <c r="L17" i="3" l="1"/>
  <c r="E5" i="3"/>
  <c r="G5" i="3" s="1"/>
  <c r="I5" i="3" s="1"/>
  <c r="L18" i="3" s="1"/>
  <c r="N10" i="3"/>
  <c r="H12" i="2" l="1"/>
  <c r="E13" i="2" l="1"/>
  <c r="K10" i="2" l="1"/>
  <c r="H11" i="2"/>
  <c r="B13" i="2" l="1"/>
  <c r="K11" i="2" l="1"/>
  <c r="E23" i="2" l="1"/>
  <c r="E24" i="2" l="1"/>
  <c r="E25" i="2" l="1"/>
  <c r="E26" i="2" s="1"/>
  <c r="E12" i="2" l="1"/>
  <c r="E11" i="2"/>
  <c r="E10" i="2"/>
  <c r="E9" i="2"/>
  <c r="E3" i="2"/>
  <c r="E2" i="2"/>
  <c r="E18" i="2" l="1"/>
  <c r="E4" i="2"/>
  <c r="E5" i="2" s="1"/>
  <c r="H10" i="2"/>
  <c r="H9" i="2"/>
  <c r="B22" i="2"/>
  <c r="B12" i="2"/>
  <c r="B11" i="2"/>
  <c r="B10" i="2"/>
  <c r="B9" i="2"/>
  <c r="B3" i="2"/>
  <c r="E14" i="1"/>
  <c r="F14" i="1" s="1"/>
  <c r="G14" i="1" s="1"/>
  <c r="B23" i="2" l="1"/>
  <c r="B24" i="2" s="1"/>
  <c r="H18" i="2"/>
  <c r="E6" i="2"/>
  <c r="B18" i="2"/>
  <c r="E6" i="1"/>
  <c r="B25" i="2" l="1"/>
  <c r="B26" i="2" s="1"/>
  <c r="E20" i="2"/>
  <c r="E28" i="2" s="1"/>
  <c r="D35" i="2" s="1"/>
  <c r="F6" i="1"/>
  <c r="G6" i="1" s="1"/>
  <c r="E10" i="1"/>
  <c r="H3" i="2" s="1"/>
  <c r="E9" i="1"/>
  <c r="E13" i="1"/>
  <c r="B2" i="2" s="1"/>
  <c r="B4" i="2" s="1"/>
  <c r="B5" i="2" s="1"/>
  <c r="F9" i="1" l="1"/>
  <c r="H2" i="2"/>
  <c r="H4" i="2" s="1"/>
  <c r="H5" i="2" s="1"/>
  <c r="H6" i="2" s="1"/>
  <c r="H20" i="2" s="1"/>
  <c r="D37" i="2" s="1"/>
  <c r="B6" i="2"/>
  <c r="B20" i="2" s="1"/>
  <c r="B28" i="2"/>
  <c r="D33" i="2" s="1"/>
  <c r="F10" i="1"/>
  <c r="G10" i="1" s="1"/>
  <c r="G9" i="1"/>
  <c r="F13" i="1"/>
  <c r="G13" i="1" s="1"/>
  <c r="P13" i="1" s="1"/>
  <c r="R9" i="1" l="1"/>
  <c r="P9" i="1"/>
  <c r="R10" i="1"/>
  <c r="R13" i="1" s="1"/>
  <c r="E5" i="1"/>
  <c r="E3" i="1"/>
  <c r="K3" i="2" s="1"/>
  <c r="K4" i="2" s="1"/>
  <c r="K18" i="2" s="1"/>
  <c r="K20" i="2" s="1"/>
  <c r="D39" i="2" s="1"/>
  <c r="D41" i="2" s="1"/>
  <c r="S3" i="1" l="1"/>
  <c r="F3" i="1"/>
  <c r="G3" i="1" s="1"/>
  <c r="P3" i="1" s="1"/>
  <c r="F5" i="1"/>
  <c r="G5" i="1" s="1"/>
  <c r="P5" i="1" s="1"/>
  <c r="S5" i="1"/>
  <c r="T5" i="1" s="1"/>
  <c r="U5" i="1" l="1"/>
  <c r="AA3" i="1" s="1"/>
  <c r="T3" i="1"/>
  <c r="U3" i="1" s="1"/>
</calcChain>
</file>

<file path=xl/sharedStrings.xml><?xml version="1.0" encoding="utf-8"?>
<sst xmlns="http://schemas.openxmlformats.org/spreadsheetml/2006/main" count="129" uniqueCount="69">
  <si>
    <t>Project</t>
  </si>
  <si>
    <t>Al-Hamd International</t>
  </si>
  <si>
    <t>BOQ Amount</t>
  </si>
  <si>
    <t>Margin</t>
  </si>
  <si>
    <t>after Margin</t>
  </si>
  <si>
    <t>Received Mobilization amount</t>
  </si>
  <si>
    <t>JS Bank Shaheen Complex</t>
  </si>
  <si>
    <t>1st Bill amount</t>
  </si>
  <si>
    <t>JS Bank The Forum</t>
  </si>
  <si>
    <t>Tax 8.47%</t>
  </si>
  <si>
    <t>After Tax</t>
  </si>
  <si>
    <t xml:space="preserve">HVAC </t>
  </si>
  <si>
    <t>Plumbing</t>
  </si>
  <si>
    <t>Cafeteria</t>
  </si>
  <si>
    <t>Mob advance</t>
  </si>
  <si>
    <t>1st payment</t>
  </si>
  <si>
    <t>Remaing</t>
  </si>
  <si>
    <t>2nd payment</t>
  </si>
  <si>
    <t>3rd payment</t>
  </si>
  <si>
    <t>4th payment</t>
  </si>
  <si>
    <t>Vos</t>
  </si>
  <si>
    <t>HVAC Work</t>
  </si>
  <si>
    <t>Less Margin</t>
  </si>
  <si>
    <t>Net Amount Receivable</t>
  </si>
  <si>
    <t>Add Plumbing Work</t>
  </si>
  <si>
    <t>1st Payment</t>
  </si>
  <si>
    <t>2nd Payment</t>
  </si>
  <si>
    <t>3rd Payment</t>
  </si>
  <si>
    <t>Total received amount</t>
  </si>
  <si>
    <t>Add Vos amount</t>
  </si>
  <si>
    <t>JS Bank (Cafeteria)</t>
  </si>
  <si>
    <t>Total deal</t>
  </si>
  <si>
    <t>Plumbing Work</t>
  </si>
  <si>
    <t>Net</t>
  </si>
  <si>
    <t>JS Bank (1st Floor Shaheen Complex)</t>
  </si>
  <si>
    <t>Less Tax 8.47%</t>
  </si>
  <si>
    <t>Rec mob Advance 20%</t>
  </si>
  <si>
    <t>Al- Hamd International</t>
  </si>
  <si>
    <t>Grand Receivable</t>
  </si>
  <si>
    <t>4th Payment</t>
  </si>
  <si>
    <t>3rd &amp; 4th Payment</t>
  </si>
  <si>
    <t>Receivable Amount</t>
  </si>
  <si>
    <t>JS Bank the Forum</t>
  </si>
  <si>
    <t>JS Bank (Shaheen Complex)</t>
  </si>
  <si>
    <t>Total Receivable Rs</t>
  </si>
  <si>
    <t>Total deal after TC margin</t>
  </si>
  <si>
    <t>Received Amount</t>
  </si>
  <si>
    <t>VOs Receivable amount</t>
  </si>
  <si>
    <t>Net Total Deal Amount</t>
  </si>
  <si>
    <t>5th payment</t>
  </si>
  <si>
    <t>5th Payment</t>
  </si>
  <si>
    <t>S. #</t>
  </si>
  <si>
    <t>Value of Work</t>
  </si>
  <si>
    <t>Falcon Mall</t>
  </si>
  <si>
    <t>Imtiaz Super Store DHA Phase VIII</t>
  </si>
  <si>
    <t>JPMC (Mian Surgical Building)</t>
  </si>
  <si>
    <t>JPMC PSYCHIATRY DEPARTMENT)</t>
  </si>
  <si>
    <t>Received</t>
  </si>
  <si>
    <t>Remaining</t>
  </si>
  <si>
    <t>Gross</t>
  </si>
  <si>
    <t>Less</t>
  </si>
  <si>
    <t>6th payment</t>
  </si>
  <si>
    <t>6th Payment</t>
  </si>
  <si>
    <t>Add variation amount</t>
  </si>
  <si>
    <t>Total amount</t>
  </si>
  <si>
    <t>Add Retention</t>
  </si>
  <si>
    <t>Less rebate 6%</t>
  </si>
  <si>
    <t>Receivable</t>
  </si>
  <si>
    <t>Total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</si>
</sst>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2" borderId="7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43" fontId="2" fillId="0" borderId="0" xfId="0" applyNumberFormat="1" applyFont="1"/>
    <xf numFmtId="164" fontId="3" fillId="0" borderId="5" xfId="1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vertical="center"/>
    </xf>
    <xf numFmtId="9" fontId="4" fillId="0" borderId="0" xfId="2" applyFont="1" applyFill="1" applyBorder="1" applyAlignment="1">
      <alignment vertical="center"/>
    </xf>
    <xf numFmtId="10" fontId="4" fillId="0" borderId="1" xfId="2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9" xfId="1" applyNumberFormat="1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right"/>
    </xf>
    <xf numFmtId="164" fontId="5" fillId="0" borderId="1" xfId="1" applyNumberFormat="1" applyFont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164" fontId="3" fillId="2" borderId="0" xfId="1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/>
    <xf numFmtId="0" fontId="2" fillId="4" borderId="1" xfId="0" applyFont="1" applyFill="1" applyBorder="1" applyAlignment="1">
      <alignment horizontal="right"/>
    </xf>
    <xf numFmtId="164" fontId="2" fillId="4" borderId="1" xfId="1" applyNumberFormat="1" applyFont="1" applyFill="1" applyBorder="1"/>
    <xf numFmtId="164" fontId="6" fillId="4" borderId="1" xfId="1" applyNumberFormat="1" applyFont="1" applyFill="1" applyBorder="1"/>
    <xf numFmtId="0" fontId="5" fillId="3" borderId="1" xfId="0" applyFont="1" applyFill="1" applyBorder="1" applyAlignment="1">
      <alignment horizontal="right"/>
    </xf>
    <xf numFmtId="164" fontId="5" fillId="3" borderId="1" xfId="1" applyNumberFormat="1" applyFont="1" applyFill="1" applyBorder="1"/>
    <xf numFmtId="0" fontId="5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8" fillId="0" borderId="6" xfId="1" applyNumberFormat="1" applyFont="1" applyBorder="1" applyAlignment="1">
      <alignment horizontal="right" vertical="center"/>
    </xf>
    <xf numFmtId="164" fontId="0" fillId="0" borderId="0" xfId="0" applyNumberFormat="1"/>
    <xf numFmtId="0" fontId="3" fillId="0" borderId="0" xfId="0" applyFont="1" applyAlignment="1">
      <alignment horizontal="right"/>
    </xf>
    <xf numFmtId="164" fontId="5" fillId="0" borderId="0" xfId="1" applyNumberFormat="1" applyFont="1" applyBorder="1"/>
    <xf numFmtId="0" fontId="2" fillId="0" borderId="0" xfId="0" applyFont="1" applyAlignment="1">
      <alignment horizontal="right"/>
    </xf>
    <xf numFmtId="164" fontId="2" fillId="0" borderId="0" xfId="1" applyNumberFormat="1" applyFont="1" applyBorder="1"/>
    <xf numFmtId="164" fontId="0" fillId="0" borderId="0" xfId="1" applyNumberFormat="1" applyFont="1" applyBorder="1"/>
    <xf numFmtId="164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S%20BANK,%20the%20form%20Karachi/Revised%205%20percent%20less%20on%2004%20jan%202021/Running%20bill%20%20no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S%20Bank%20Presidential%20Branch%20First%20Floor%20Shaheen%20Complex%20-%20HVAC%20&amp;%20PLUMBING%20Works/BOQs/Running%20Bill%20No%201%20HVAC%20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VAC"/>
      <sheetName val="Plum zone 1"/>
      <sheetName val="Plum zone 2"/>
    </sheetNames>
    <sheetDataSet>
      <sheetData sheetId="0">
        <row r="11">
          <cell r="C11">
            <v>364425</v>
          </cell>
        </row>
        <row r="12">
          <cell r="C12">
            <v>81880</v>
          </cell>
        </row>
        <row r="13">
          <cell r="C13">
            <v>80135</v>
          </cell>
        </row>
        <row r="14">
          <cell r="C14">
            <v>56787</v>
          </cell>
        </row>
        <row r="15">
          <cell r="C15">
            <v>70974</v>
          </cell>
        </row>
        <row r="16">
          <cell r="C16">
            <v>6713</v>
          </cell>
        </row>
        <row r="17">
          <cell r="C17">
            <v>5620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VAC"/>
      <sheetName val="Plumbing"/>
      <sheetName val="Summary of bills"/>
    </sheetNames>
    <sheetDataSet>
      <sheetData sheetId="0"/>
      <sheetData sheetId="1"/>
      <sheetData sheetId="2">
        <row r="17">
          <cell r="C17">
            <v>141093.75</v>
          </cell>
        </row>
        <row r="19">
          <cell r="C19">
            <v>99773.4375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20"/>
  <sheetViews>
    <sheetView workbookViewId="0">
      <selection activeCell="I16" sqref="I16"/>
    </sheetView>
  </sheetViews>
  <sheetFormatPr defaultRowHeight="18.75" x14ac:dyDescent="0.3"/>
  <cols>
    <col min="1" max="1" width="17" style="1" customWidth="1"/>
    <col min="2" max="2" width="11.85546875" style="1" bestFit="1" customWidth="1"/>
    <col min="3" max="3" width="15.5703125" style="2" customWidth="1"/>
    <col min="4" max="4" width="10" style="2" customWidth="1"/>
    <col min="5" max="7" width="15.42578125" style="2" customWidth="1"/>
    <col min="8" max="8" width="2.85546875" style="2" customWidth="1"/>
    <col min="9" max="9" width="14.5703125" style="2" bestFit="1" customWidth="1"/>
    <col min="10" max="10" width="14.7109375" style="2" customWidth="1"/>
    <col min="11" max="13" width="14.5703125" style="2" bestFit="1" customWidth="1"/>
    <col min="14" max="15" width="14.5703125" style="2" customWidth="1"/>
    <col min="16" max="16" width="17.140625" style="2" customWidth="1"/>
    <col min="17" max="17" width="11" style="2" customWidth="1"/>
    <col min="18" max="18" width="13.28515625" style="2" customWidth="1"/>
    <col min="19" max="19" width="16" style="2" customWidth="1"/>
    <col min="20" max="20" width="11.28515625" style="2" customWidth="1"/>
    <col min="21" max="26" width="13.85546875" style="2" customWidth="1"/>
    <col min="27" max="27" width="24.5703125" style="2" customWidth="1"/>
    <col min="28" max="28" width="9.140625" style="1"/>
    <col min="29" max="29" width="13.28515625" style="1" bestFit="1" customWidth="1"/>
    <col min="30" max="30" width="9.140625" style="1"/>
    <col min="31" max="31" width="13.28515625" style="1" bestFit="1" customWidth="1"/>
    <col min="32" max="16384" width="9.140625" style="1"/>
  </cols>
  <sheetData>
    <row r="2" spans="1:31" ht="37.5" x14ac:dyDescent="0.3">
      <c r="A2" s="7" t="s">
        <v>0</v>
      </c>
      <c r="B2" s="68" t="s">
        <v>2</v>
      </c>
      <c r="C2" s="69"/>
      <c r="D2" s="6" t="s">
        <v>3</v>
      </c>
      <c r="E2" s="19" t="s">
        <v>4</v>
      </c>
      <c r="F2" s="19" t="s">
        <v>9</v>
      </c>
      <c r="G2" s="19" t="s">
        <v>10</v>
      </c>
      <c r="H2" s="11"/>
      <c r="I2" s="12" t="s">
        <v>14</v>
      </c>
      <c r="J2" s="12" t="s">
        <v>15</v>
      </c>
      <c r="K2" s="12" t="s">
        <v>17</v>
      </c>
      <c r="L2" s="12" t="s">
        <v>18</v>
      </c>
      <c r="M2" s="12" t="s">
        <v>19</v>
      </c>
      <c r="N2" s="12" t="s">
        <v>49</v>
      </c>
      <c r="O2" s="12" t="s">
        <v>61</v>
      </c>
      <c r="P2" s="13" t="s">
        <v>16</v>
      </c>
      <c r="Q2" s="73" t="s">
        <v>5</v>
      </c>
      <c r="R2" s="74"/>
      <c r="S2" s="74"/>
      <c r="T2" s="8"/>
      <c r="U2" s="9"/>
      <c r="V2" s="70" t="s">
        <v>7</v>
      </c>
      <c r="W2" s="71"/>
      <c r="X2" s="72"/>
      <c r="Y2" s="70" t="s">
        <v>5</v>
      </c>
      <c r="Z2" s="71"/>
      <c r="AA2" s="72"/>
    </row>
    <row r="3" spans="1:31" ht="36" customHeight="1" x14ac:dyDescent="0.3">
      <c r="A3" s="26" t="s">
        <v>1</v>
      </c>
      <c r="B3" s="3"/>
      <c r="C3" s="4">
        <v>9590696</v>
      </c>
      <c r="D3" s="20">
        <v>0.05</v>
      </c>
      <c r="E3" s="4">
        <f>SUM(C3-(C3*D3))</f>
        <v>9111161.1999999993</v>
      </c>
      <c r="F3" s="4">
        <f>E3*8.47%</f>
        <v>771715.35363999999</v>
      </c>
      <c r="G3" s="4">
        <f>E3-F3</f>
        <v>8339445.8463599989</v>
      </c>
      <c r="H3" s="14"/>
      <c r="I3" s="4">
        <v>1667889</v>
      </c>
      <c r="J3" s="4">
        <v>2782977</v>
      </c>
      <c r="K3" s="4"/>
      <c r="L3" s="4"/>
      <c r="M3" s="4"/>
      <c r="N3" s="4"/>
      <c r="O3" s="4"/>
      <c r="P3" s="4">
        <f>G3-I3-J3-K3-L3-M3-N3</f>
        <v>3888579.8463599989</v>
      </c>
      <c r="Q3" s="4"/>
      <c r="R3" s="4"/>
      <c r="S3" s="4">
        <f>E3*20%</f>
        <v>1822232.24</v>
      </c>
      <c r="T3" s="4">
        <f>S3*8.47%</f>
        <v>154343.07072800002</v>
      </c>
      <c r="U3" s="4">
        <f>S3-T3</f>
        <v>1667889.169272</v>
      </c>
      <c r="V3" s="4"/>
      <c r="W3" s="4"/>
      <c r="X3" s="4"/>
      <c r="Y3" s="15"/>
      <c r="Z3" s="15"/>
      <c r="AA3" s="15">
        <f>C3-U5</f>
        <v>8797910.1864199992</v>
      </c>
    </row>
    <row r="4" spans="1:31" ht="14.25" customHeight="1" x14ac:dyDescent="0.3">
      <c r="A4" s="27"/>
      <c r="B4" s="16"/>
      <c r="C4" s="17"/>
      <c r="D4" s="2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31" ht="18.75" customHeight="1" x14ac:dyDescent="0.3">
      <c r="A5" s="63" t="s">
        <v>6</v>
      </c>
      <c r="B5" s="38" t="s">
        <v>11</v>
      </c>
      <c r="C5" s="4">
        <v>4330743</v>
      </c>
      <c r="D5" s="5">
        <v>0</v>
      </c>
      <c r="E5" s="4">
        <f>SUM(C5-(C5*D5))</f>
        <v>4330743</v>
      </c>
      <c r="F5" s="4">
        <f>E5*8.47%</f>
        <v>366813.93210000003</v>
      </c>
      <c r="G5" s="4">
        <f>E5-F5</f>
        <v>3963929.0679000001</v>
      </c>
      <c r="H5" s="14"/>
      <c r="I5" s="60">
        <v>964597</v>
      </c>
      <c r="J5" s="60">
        <v>965372</v>
      </c>
      <c r="K5" s="60">
        <v>963822</v>
      </c>
      <c r="L5" s="60">
        <v>850000</v>
      </c>
      <c r="M5" s="60">
        <v>723448</v>
      </c>
      <c r="N5" s="60"/>
      <c r="O5" s="60"/>
      <c r="P5" s="60">
        <f>G5+G6-I5-J5-K5-L5-M5-N5-O5</f>
        <v>355746.71350000054</v>
      </c>
      <c r="Q5" s="4"/>
      <c r="R5" s="4"/>
      <c r="S5" s="4">
        <f>E5*20%</f>
        <v>866148.60000000009</v>
      </c>
      <c r="T5" s="4">
        <f>S5*8.47%</f>
        <v>73362.786420000019</v>
      </c>
      <c r="U5" s="4">
        <f>S5-T5</f>
        <v>792785.81358000007</v>
      </c>
      <c r="V5" s="4"/>
      <c r="W5" s="24"/>
      <c r="X5" s="10"/>
      <c r="Y5" s="10"/>
      <c r="Z5" s="10"/>
      <c r="AA5" s="10"/>
      <c r="AC5" s="18"/>
    </row>
    <row r="6" spans="1:31" ht="43.5" customHeight="1" x14ac:dyDescent="0.3">
      <c r="A6" s="64"/>
      <c r="B6" s="38" t="s">
        <v>12</v>
      </c>
      <c r="C6" s="4">
        <v>938552</v>
      </c>
      <c r="D6" s="5">
        <v>0</v>
      </c>
      <c r="E6" s="4">
        <f>SUM(C6-(C6*D6))</f>
        <v>938552</v>
      </c>
      <c r="F6" s="4">
        <f>E6*8.47%</f>
        <v>79495.354400000011</v>
      </c>
      <c r="G6" s="4">
        <f>E6-F6</f>
        <v>859056.64559999993</v>
      </c>
      <c r="H6" s="14"/>
      <c r="I6" s="61"/>
      <c r="J6" s="61"/>
      <c r="K6" s="61"/>
      <c r="L6" s="61"/>
      <c r="M6" s="61"/>
      <c r="N6" s="61"/>
      <c r="O6" s="61"/>
      <c r="P6" s="61"/>
      <c r="Q6" s="4"/>
      <c r="R6" s="4"/>
      <c r="S6" s="4"/>
      <c r="T6" s="4"/>
      <c r="U6" s="4"/>
      <c r="V6" s="4"/>
      <c r="W6" s="23"/>
      <c r="X6" s="23"/>
      <c r="Y6" s="23"/>
      <c r="Z6" s="23"/>
      <c r="AA6" s="23"/>
      <c r="AC6" s="18"/>
    </row>
    <row r="7" spans="1:31" ht="43.5" customHeight="1" x14ac:dyDescent="0.3">
      <c r="A7" s="65"/>
      <c r="B7" s="3"/>
      <c r="C7" s="4"/>
      <c r="D7" s="5"/>
      <c r="E7" s="4"/>
      <c r="F7" s="4"/>
      <c r="G7" s="4"/>
      <c r="H7" s="37"/>
      <c r="I7" s="39"/>
      <c r="J7" s="39"/>
      <c r="K7" s="39"/>
      <c r="L7" s="39"/>
      <c r="M7" s="39"/>
      <c r="N7" s="39"/>
      <c r="O7" s="39"/>
      <c r="P7" s="39"/>
      <c r="Q7" s="4"/>
      <c r="R7" s="4"/>
      <c r="S7" s="4"/>
      <c r="T7" s="23"/>
      <c r="U7" s="23"/>
      <c r="V7" s="23"/>
      <c r="W7" s="23"/>
      <c r="X7" s="23"/>
      <c r="Y7" s="23"/>
      <c r="Z7" s="23"/>
      <c r="AA7" s="23"/>
      <c r="AC7" s="18"/>
    </row>
    <row r="8" spans="1:31" ht="14.25" customHeight="1" x14ac:dyDescent="0.3">
      <c r="A8" s="27"/>
      <c r="B8" s="16"/>
      <c r="C8" s="17"/>
      <c r="D8" s="21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31" ht="18.75" customHeight="1" x14ac:dyDescent="0.3">
      <c r="A9" s="66" t="s">
        <v>13</v>
      </c>
      <c r="B9" s="3" t="s">
        <v>11</v>
      </c>
      <c r="C9" s="4">
        <v>3119139</v>
      </c>
      <c r="D9" s="22">
        <v>0.161</v>
      </c>
      <c r="E9" s="4">
        <f>SUM(C9-(C9*D9))</f>
        <v>2616957.6209999998</v>
      </c>
      <c r="F9" s="4">
        <f>E9*8.47%</f>
        <v>221656.31049870001</v>
      </c>
      <c r="G9" s="4">
        <f>E9-F9</f>
        <v>2395301.3105012998</v>
      </c>
      <c r="H9" s="14"/>
      <c r="I9" s="60">
        <v>0</v>
      </c>
      <c r="J9" s="60">
        <v>565356</v>
      </c>
      <c r="K9" s="60">
        <v>521235</v>
      </c>
      <c r="L9" s="60">
        <v>1151128</v>
      </c>
      <c r="M9" s="60">
        <v>0</v>
      </c>
      <c r="N9" s="60">
        <v>157697</v>
      </c>
      <c r="O9" s="60"/>
      <c r="P9" s="60">
        <f>G9+G10-I9-J9-K9-L9-M9-N9-O9</f>
        <v>401732.51159237977</v>
      </c>
      <c r="Q9" s="4"/>
      <c r="R9" s="4">
        <f>I9*G9</f>
        <v>0</v>
      </c>
      <c r="S9" s="4"/>
      <c r="T9" s="4"/>
      <c r="U9" s="4"/>
      <c r="V9" s="4"/>
      <c r="W9" s="4"/>
      <c r="X9" s="4"/>
      <c r="Y9" s="4"/>
      <c r="Z9" s="4"/>
      <c r="AA9" s="4"/>
      <c r="AC9" s="18"/>
    </row>
    <row r="10" spans="1:31" ht="18.75" customHeight="1" x14ac:dyDescent="0.3">
      <c r="A10" s="67"/>
      <c r="B10" s="3" t="s">
        <v>12</v>
      </c>
      <c r="C10" s="4">
        <v>525348</v>
      </c>
      <c r="D10" s="22">
        <v>0.1643</v>
      </c>
      <c r="E10" s="4">
        <f>SUM(C10-(C10*D10))</f>
        <v>439033.3236</v>
      </c>
      <c r="F10" s="4">
        <f>E10*8.47%</f>
        <v>37186.122508920009</v>
      </c>
      <c r="G10" s="4">
        <f>E10-F10</f>
        <v>401847.20109107997</v>
      </c>
      <c r="H10" s="14"/>
      <c r="I10" s="61"/>
      <c r="J10" s="61"/>
      <c r="K10" s="61"/>
      <c r="L10" s="61"/>
      <c r="M10" s="61"/>
      <c r="N10" s="61"/>
      <c r="O10" s="61"/>
      <c r="P10" s="61"/>
      <c r="Q10" s="4"/>
      <c r="R10" s="4">
        <f>I10*G10</f>
        <v>0</v>
      </c>
      <c r="S10" s="4"/>
      <c r="T10" s="4"/>
      <c r="U10" s="4"/>
      <c r="V10" s="4"/>
      <c r="W10" s="4"/>
      <c r="X10" s="4"/>
      <c r="Y10" s="4"/>
      <c r="Z10" s="4"/>
      <c r="AA10" s="4"/>
      <c r="AC10" s="18"/>
    </row>
    <row r="11" spans="1:31" ht="21" customHeight="1" x14ac:dyDescent="0.3">
      <c r="A11" s="67"/>
      <c r="B11" s="3"/>
      <c r="C11" s="4"/>
      <c r="D11" s="22"/>
      <c r="E11" s="4"/>
      <c r="F11" s="4"/>
      <c r="G11" s="4"/>
      <c r="H11" s="37"/>
      <c r="I11" s="39"/>
      <c r="J11" s="39"/>
      <c r="K11" s="39"/>
      <c r="L11" s="39"/>
      <c r="M11" s="39"/>
      <c r="N11" s="39"/>
      <c r="O11" s="39"/>
      <c r="P11" s="39"/>
      <c r="Q11" s="4"/>
      <c r="R11" s="4"/>
      <c r="S11" s="4"/>
      <c r="T11" s="23"/>
      <c r="U11" s="23"/>
      <c r="V11" s="23"/>
      <c r="W11" s="23"/>
      <c r="X11" s="23"/>
      <c r="Y11" s="23"/>
      <c r="Z11" s="23"/>
      <c r="AA11" s="23"/>
      <c r="AC11" s="18"/>
    </row>
    <row r="12" spans="1:31" ht="14.25" customHeight="1" x14ac:dyDescent="0.3">
      <c r="A12" s="27"/>
      <c r="B12" s="16"/>
      <c r="C12" s="17"/>
      <c r="D12" s="21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31" x14ac:dyDescent="0.3">
      <c r="A13" s="63" t="s">
        <v>8</v>
      </c>
      <c r="B13" s="3" t="s">
        <v>11</v>
      </c>
      <c r="C13" s="4">
        <v>10705307</v>
      </c>
      <c r="D13" s="22">
        <v>0.1333</v>
      </c>
      <c r="E13" s="4">
        <f>SUM(C13-(C13*D13))</f>
        <v>9278289.5768999998</v>
      </c>
      <c r="F13" s="4">
        <f>E13*8.47%</f>
        <v>785871.12716343009</v>
      </c>
      <c r="G13" s="4">
        <f>E13-F13</f>
        <v>8492418.4497365691</v>
      </c>
      <c r="H13" s="14"/>
      <c r="I13" s="60">
        <v>2009832</v>
      </c>
      <c r="J13" s="60">
        <v>2000000</v>
      </c>
      <c r="K13" s="60">
        <v>2038585</v>
      </c>
      <c r="L13" s="60">
        <v>2032139</v>
      </c>
      <c r="M13" s="60">
        <v>1524103</v>
      </c>
      <c r="N13" s="60">
        <v>192039</v>
      </c>
      <c r="O13" s="60"/>
      <c r="P13" s="60">
        <f>G13+G14-I13-J13-K13-L13-M13-N13-O5</f>
        <v>363996.57123656943</v>
      </c>
      <c r="Q13" s="4"/>
      <c r="R13" s="4">
        <f>SUM(R9:R10)</f>
        <v>0</v>
      </c>
      <c r="S13" s="4"/>
      <c r="T13" s="4"/>
      <c r="U13" s="4"/>
      <c r="V13" s="4"/>
      <c r="W13" s="4"/>
      <c r="X13" s="4"/>
      <c r="Y13" s="4"/>
      <c r="Z13" s="4"/>
      <c r="AA13" s="4"/>
      <c r="AC13" s="18"/>
    </row>
    <row r="14" spans="1:31" x14ac:dyDescent="0.3">
      <c r="A14" s="64"/>
      <c r="B14" s="3" t="s">
        <v>12</v>
      </c>
      <c r="C14" s="4">
        <v>1822655</v>
      </c>
      <c r="D14" s="5">
        <v>0</v>
      </c>
      <c r="E14" s="4">
        <f>C14</f>
        <v>1822655</v>
      </c>
      <c r="F14" s="4">
        <f>E14*8.47%</f>
        <v>154378.87850000002</v>
      </c>
      <c r="G14" s="4">
        <f>E14-F14</f>
        <v>1668276.1214999999</v>
      </c>
      <c r="H14" s="14"/>
      <c r="I14" s="62"/>
      <c r="J14" s="62"/>
      <c r="K14" s="62"/>
      <c r="L14" s="62"/>
      <c r="M14" s="62"/>
      <c r="N14" s="62"/>
      <c r="O14" s="62"/>
      <c r="P14" s="6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C14" s="18"/>
    </row>
    <row r="15" spans="1:31" x14ac:dyDescent="0.3">
      <c r="A15" s="65"/>
      <c r="B15" s="3" t="s">
        <v>20</v>
      </c>
      <c r="C15" s="4"/>
      <c r="D15" s="5"/>
      <c r="E15" s="4"/>
      <c r="F15" s="4"/>
      <c r="G15" s="5"/>
      <c r="H15" s="14"/>
      <c r="I15" s="61"/>
      <c r="J15" s="61"/>
      <c r="K15" s="61"/>
      <c r="L15" s="61"/>
      <c r="M15" s="61"/>
      <c r="N15" s="61"/>
      <c r="O15" s="61"/>
      <c r="P15" s="61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C15" s="18"/>
    </row>
    <row r="16" spans="1:31" ht="36" customHeight="1" x14ac:dyDescent="0.3">
      <c r="A16" s="3"/>
      <c r="B16" s="3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C16" s="18"/>
      <c r="AE16" s="18"/>
    </row>
    <row r="17" spans="1:27" ht="36" customHeight="1" x14ac:dyDescent="0.3">
      <c r="A17" s="3"/>
      <c r="B17" s="3"/>
      <c r="C17" s="25"/>
      <c r="D17" s="4"/>
      <c r="E17" s="4"/>
      <c r="F17" s="4"/>
      <c r="G17" s="2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36" customHeight="1" x14ac:dyDescent="0.3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36" customHeight="1" x14ac:dyDescent="0.3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36" customHeight="1" x14ac:dyDescent="0.3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</sheetData>
  <mergeCells count="31">
    <mergeCell ref="P13:P15"/>
    <mergeCell ref="I13:I15"/>
    <mergeCell ref="J13:J15"/>
    <mergeCell ref="K13:K15"/>
    <mergeCell ref="L13:L15"/>
    <mergeCell ref="M13:M15"/>
    <mergeCell ref="B2:C2"/>
    <mergeCell ref="Y2:AA2"/>
    <mergeCell ref="V2:X2"/>
    <mergeCell ref="P9:P10"/>
    <mergeCell ref="Q2:S2"/>
    <mergeCell ref="I5:I6"/>
    <mergeCell ref="J5:J6"/>
    <mergeCell ref="K5:K6"/>
    <mergeCell ref="L5:L6"/>
    <mergeCell ref="M5:M6"/>
    <mergeCell ref="P5:P6"/>
    <mergeCell ref="I9:I10"/>
    <mergeCell ref="J9:J10"/>
    <mergeCell ref="N5:N6"/>
    <mergeCell ref="N9:N10"/>
    <mergeCell ref="O5:O6"/>
    <mergeCell ref="O9:O10"/>
    <mergeCell ref="O13:O15"/>
    <mergeCell ref="A13:A15"/>
    <mergeCell ref="A5:A7"/>
    <mergeCell ref="A9:A11"/>
    <mergeCell ref="K9:K10"/>
    <mergeCell ref="L9:L10"/>
    <mergeCell ref="M9:M10"/>
    <mergeCell ref="N13:N1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abSelected="1" topLeftCell="C1" zoomScaleNormal="100" workbookViewId="0">
      <selection activeCell="K24" sqref="K24"/>
    </sheetView>
  </sheetViews>
  <sheetFormatPr defaultRowHeight="15" x14ac:dyDescent="0.25"/>
  <cols>
    <col min="1" max="1" width="32.28515625" customWidth="1"/>
    <col min="2" max="2" width="20.28515625" style="28" customWidth="1"/>
    <col min="3" max="3" width="2.140625" customWidth="1"/>
    <col min="4" max="4" width="33.140625" customWidth="1"/>
    <col min="5" max="5" width="20.140625" style="28" bestFit="1" customWidth="1"/>
    <col min="6" max="6" width="1.140625" customWidth="1"/>
    <col min="7" max="7" width="31.5703125" customWidth="1"/>
    <col min="8" max="8" width="18.28515625" style="28" customWidth="1"/>
    <col min="9" max="9" width="1.28515625" customWidth="1"/>
    <col min="10" max="10" width="30" customWidth="1"/>
    <col min="11" max="11" width="20.140625" style="28" bestFit="1" customWidth="1"/>
    <col min="12" max="12" width="3.85546875" customWidth="1"/>
    <col min="13" max="13" width="43" customWidth="1"/>
    <col min="14" max="14" width="22.28515625" style="28" customWidth="1"/>
    <col min="16" max="16" width="15.28515625" customWidth="1"/>
  </cols>
  <sheetData>
    <row r="1" spans="1:16" ht="26.25" x14ac:dyDescent="0.4">
      <c r="A1" s="82" t="s">
        <v>8</v>
      </c>
      <c r="B1" s="82"/>
      <c r="D1" s="83" t="s">
        <v>34</v>
      </c>
      <c r="E1" s="83"/>
      <c r="G1" s="79" t="s">
        <v>30</v>
      </c>
      <c r="H1" s="79"/>
      <c r="J1" s="79" t="s">
        <v>37</v>
      </c>
      <c r="K1" s="79"/>
      <c r="M1" s="79" t="s">
        <v>37</v>
      </c>
      <c r="N1" s="79"/>
    </row>
    <row r="2" spans="1:16" ht="18.75" x14ac:dyDescent="0.3">
      <c r="A2" s="32" t="s">
        <v>21</v>
      </c>
      <c r="B2" s="31">
        <f>Sheet1!E13</f>
        <v>9278289.5768999998</v>
      </c>
      <c r="D2" s="32" t="s">
        <v>21</v>
      </c>
      <c r="E2" s="31">
        <f>Sheet1!C5</f>
        <v>4330743</v>
      </c>
      <c r="G2" s="32" t="s">
        <v>21</v>
      </c>
      <c r="H2" s="31">
        <f>Sheet1!E9</f>
        <v>2616957.6209999998</v>
      </c>
      <c r="J2" s="32" t="s">
        <v>32</v>
      </c>
      <c r="K2" s="31">
        <v>5328288</v>
      </c>
      <c r="M2" s="32" t="s">
        <v>32</v>
      </c>
      <c r="N2" s="31">
        <f>5443125</f>
        <v>5443125</v>
      </c>
    </row>
    <row r="3" spans="1:16" ht="18.75" x14ac:dyDescent="0.3">
      <c r="A3" s="32" t="s">
        <v>24</v>
      </c>
      <c r="B3" s="31">
        <f>Sheet1!C14</f>
        <v>1822655</v>
      </c>
      <c r="D3" s="32" t="s">
        <v>32</v>
      </c>
      <c r="E3" s="31">
        <f>Sheet1!C6</f>
        <v>938552</v>
      </c>
      <c r="G3" s="32" t="s">
        <v>32</v>
      </c>
      <c r="H3" s="31">
        <f>Sheet1!E10</f>
        <v>439033.3236</v>
      </c>
      <c r="J3" s="32" t="s">
        <v>35</v>
      </c>
      <c r="K3" s="31">
        <f>K2*8.47%</f>
        <v>451305.99360000005</v>
      </c>
      <c r="M3" s="32" t="s">
        <v>66</v>
      </c>
      <c r="N3" s="31">
        <f>N2*6%</f>
        <v>326587.5</v>
      </c>
    </row>
    <row r="4" spans="1:16" ht="21" x14ac:dyDescent="0.35">
      <c r="A4" s="32" t="s">
        <v>45</v>
      </c>
      <c r="B4" s="31">
        <f>B3+B2</f>
        <v>11100944.5769</v>
      </c>
      <c r="D4" s="32" t="s">
        <v>31</v>
      </c>
      <c r="E4" s="31">
        <f>SUM(E2:E3)</f>
        <v>5269295</v>
      </c>
      <c r="G4" s="32" t="s">
        <v>31</v>
      </c>
      <c r="H4" s="31">
        <f>SUM(H2:H3)</f>
        <v>3055990.9446</v>
      </c>
      <c r="J4" s="35" t="s">
        <v>48</v>
      </c>
      <c r="K4" s="33">
        <f>K2-K3</f>
        <v>4876982.0064000003</v>
      </c>
      <c r="M4" s="35" t="s">
        <v>48</v>
      </c>
      <c r="N4" s="33">
        <f>N2-N3</f>
        <v>5116537.5</v>
      </c>
    </row>
    <row r="5" spans="1:16" ht="21" x14ac:dyDescent="0.35">
      <c r="A5" s="32" t="s">
        <v>35</v>
      </c>
      <c r="B5" s="31">
        <f>B4*8.47%</f>
        <v>940250.00566343009</v>
      </c>
      <c r="D5" s="32" t="s">
        <v>35</v>
      </c>
      <c r="E5" s="31">
        <f>E4*8.47%</f>
        <v>446309.28650000005</v>
      </c>
      <c r="G5" s="32" t="s">
        <v>35</v>
      </c>
      <c r="H5" s="31">
        <f>H4*8.47%</f>
        <v>258842.43300762004</v>
      </c>
      <c r="J5" s="30"/>
      <c r="K5" s="31"/>
      <c r="M5" s="35"/>
      <c r="N5" s="33"/>
    </row>
    <row r="6" spans="1:16" ht="21" customHeight="1" x14ac:dyDescent="0.35">
      <c r="A6" s="35" t="s">
        <v>48</v>
      </c>
      <c r="B6" s="33">
        <f>B4-B5</f>
        <v>10160694.571236569</v>
      </c>
      <c r="D6" s="35" t="s">
        <v>48</v>
      </c>
      <c r="E6" s="33">
        <f>E4-E5</f>
        <v>4822985.7134999996</v>
      </c>
      <c r="G6" s="35" t="s">
        <v>48</v>
      </c>
      <c r="H6" s="33">
        <f>H4-H5</f>
        <v>2797148.5115923798</v>
      </c>
      <c r="J6" s="30"/>
      <c r="K6" s="31"/>
      <c r="M6" s="35" t="s">
        <v>63</v>
      </c>
      <c r="N6" s="33">
        <f>211750</f>
        <v>211750</v>
      </c>
    </row>
    <row r="7" spans="1:16" ht="18.75" customHeight="1" x14ac:dyDescent="0.35">
      <c r="A7" s="30"/>
      <c r="B7" s="31"/>
      <c r="D7" s="30"/>
      <c r="E7" s="31"/>
      <c r="G7" s="30"/>
      <c r="H7" s="31"/>
      <c r="J7" s="30"/>
      <c r="K7" s="31"/>
      <c r="M7" s="35" t="s">
        <v>64</v>
      </c>
      <c r="N7" s="33">
        <f>N6+N4</f>
        <v>5328287.5</v>
      </c>
    </row>
    <row r="8" spans="1:16" ht="23.25" customHeight="1" x14ac:dyDescent="0.35">
      <c r="A8" s="80" t="s">
        <v>46</v>
      </c>
      <c r="B8" s="81"/>
      <c r="D8" s="80" t="s">
        <v>46</v>
      </c>
      <c r="E8" s="81"/>
      <c r="G8" s="80" t="s">
        <v>46</v>
      </c>
      <c r="H8" s="81"/>
      <c r="J8" s="80" t="s">
        <v>46</v>
      </c>
      <c r="K8" s="81"/>
      <c r="M8" s="32" t="s">
        <v>35</v>
      </c>
      <c r="N8" s="31">
        <f>N7*8.47%</f>
        <v>451305.95125000004</v>
      </c>
    </row>
    <row r="9" spans="1:16" ht="18.75" customHeight="1" x14ac:dyDescent="0.35">
      <c r="A9" s="36" t="s">
        <v>36</v>
      </c>
      <c r="B9" s="31">
        <f>Sheet1!I13</f>
        <v>2009832</v>
      </c>
      <c r="D9" s="36" t="s">
        <v>36</v>
      </c>
      <c r="E9" s="31">
        <f>Sheet1!I5</f>
        <v>964597</v>
      </c>
      <c r="G9" s="32" t="s">
        <v>25</v>
      </c>
      <c r="H9" s="31">
        <f>Sheet1!J9</f>
        <v>565356</v>
      </c>
      <c r="J9" s="36" t="s">
        <v>36</v>
      </c>
      <c r="K9" s="31">
        <v>1667889</v>
      </c>
      <c r="M9" s="35" t="s">
        <v>48</v>
      </c>
      <c r="N9" s="33">
        <f>N7-N8</f>
        <v>4876981.5487500001</v>
      </c>
    </row>
    <row r="10" spans="1:16" ht="18.75" customHeight="1" x14ac:dyDescent="0.3">
      <c r="A10" s="32" t="s">
        <v>25</v>
      </c>
      <c r="B10" s="31">
        <f>Sheet1!J13</f>
        <v>2000000</v>
      </c>
      <c r="D10" s="32" t="s">
        <v>25</v>
      </c>
      <c r="E10" s="31">
        <f>Sheet1!J5</f>
        <v>965372</v>
      </c>
      <c r="G10" s="32" t="s">
        <v>26</v>
      </c>
      <c r="H10" s="31">
        <f>Sheet1!K9</f>
        <v>521235</v>
      </c>
      <c r="J10" s="32" t="s">
        <v>25</v>
      </c>
      <c r="K10" s="31">
        <f>Sheet1!J3</f>
        <v>2782977</v>
      </c>
      <c r="M10" s="30"/>
      <c r="N10" s="31"/>
    </row>
    <row r="11" spans="1:16" ht="18.75" customHeight="1" x14ac:dyDescent="0.35">
      <c r="A11" s="32" t="s">
        <v>26</v>
      </c>
      <c r="B11" s="31">
        <f>Sheet1!K13</f>
        <v>2038585</v>
      </c>
      <c r="D11" s="32" t="s">
        <v>26</v>
      </c>
      <c r="E11" s="31">
        <f>Sheet1!K5</f>
        <v>963822</v>
      </c>
      <c r="G11" s="32" t="s">
        <v>40</v>
      </c>
      <c r="H11" s="31">
        <f>Sheet1!L9</f>
        <v>1151128</v>
      </c>
      <c r="J11" s="32"/>
      <c r="K11" s="31">
        <f>Sheet1!U13</f>
        <v>0</v>
      </c>
      <c r="M11" s="80" t="s">
        <v>46</v>
      </c>
      <c r="N11" s="81"/>
    </row>
    <row r="12" spans="1:16" ht="18.75" customHeight="1" x14ac:dyDescent="0.3">
      <c r="A12" s="32" t="s">
        <v>27</v>
      </c>
      <c r="B12" s="31">
        <f>Sheet1!L13</f>
        <v>2032139</v>
      </c>
      <c r="D12" s="32" t="s">
        <v>27</v>
      </c>
      <c r="E12" s="31">
        <f>Sheet1!L5</f>
        <v>850000</v>
      </c>
      <c r="G12" s="32" t="s">
        <v>50</v>
      </c>
      <c r="H12" s="31">
        <f>Sheet1!N9</f>
        <v>157697</v>
      </c>
      <c r="J12" s="32"/>
      <c r="K12" s="31"/>
      <c r="M12" s="36" t="s">
        <v>36</v>
      </c>
      <c r="N12" s="31">
        <v>1667889</v>
      </c>
    </row>
    <row r="13" spans="1:16" ht="18.75" customHeight="1" x14ac:dyDescent="0.3">
      <c r="A13" s="32" t="s">
        <v>39</v>
      </c>
      <c r="B13" s="31">
        <f>Sheet1!M13</f>
        <v>1524103</v>
      </c>
      <c r="D13" s="32" t="s">
        <v>39</v>
      </c>
      <c r="E13" s="31">
        <f>Sheet1!M5</f>
        <v>723448</v>
      </c>
      <c r="G13" s="32" t="s">
        <v>62</v>
      </c>
      <c r="H13" s="31"/>
      <c r="J13" s="32"/>
      <c r="K13" s="31"/>
      <c r="M13" s="32" t="s">
        <v>25</v>
      </c>
      <c r="N13" s="31">
        <v>2424478</v>
      </c>
      <c r="P13" s="84"/>
    </row>
    <row r="14" spans="1:16" ht="18.75" customHeight="1" x14ac:dyDescent="0.3">
      <c r="A14" s="32" t="s">
        <v>50</v>
      </c>
      <c r="B14" s="31">
        <f>Sheet1!N13</f>
        <v>192039</v>
      </c>
      <c r="D14" s="32" t="s">
        <v>50</v>
      </c>
      <c r="E14" s="31"/>
      <c r="G14" s="32"/>
      <c r="H14" s="31"/>
      <c r="J14" s="32"/>
      <c r="K14" s="31"/>
      <c r="M14" s="32"/>
      <c r="N14" s="31">
        <f>Sheet1!X13</f>
        <v>0</v>
      </c>
    </row>
    <row r="15" spans="1:16" ht="18.75" customHeight="1" x14ac:dyDescent="0.3">
      <c r="A15" s="32" t="s">
        <v>62</v>
      </c>
      <c r="B15" s="31"/>
      <c r="D15" s="32" t="s">
        <v>62</v>
      </c>
      <c r="E15" s="31"/>
      <c r="G15" s="32"/>
      <c r="H15" s="31"/>
      <c r="J15" s="32"/>
      <c r="K15" s="31"/>
      <c r="M15" s="32"/>
      <c r="N15" s="31"/>
    </row>
    <row r="16" spans="1:16" ht="18.75" customHeight="1" x14ac:dyDescent="0.3">
      <c r="A16" s="32"/>
      <c r="B16" s="31"/>
      <c r="D16" s="32"/>
      <c r="E16" s="31"/>
      <c r="G16" s="32"/>
      <c r="H16" s="31"/>
      <c r="J16" s="32"/>
      <c r="K16" s="31"/>
      <c r="M16" s="32"/>
      <c r="N16" s="31"/>
      <c r="P16" s="54"/>
    </row>
    <row r="17" spans="1:16" ht="18.75" customHeight="1" x14ac:dyDescent="0.3">
      <c r="A17" s="32"/>
      <c r="B17" s="31"/>
      <c r="D17" s="32"/>
      <c r="E17" s="31"/>
      <c r="G17" s="32"/>
      <c r="H17" s="31"/>
      <c r="J17" s="32"/>
      <c r="K17" s="31"/>
      <c r="M17" s="32"/>
      <c r="N17" s="31"/>
    </row>
    <row r="18" spans="1:16" ht="21" customHeight="1" x14ac:dyDescent="0.35">
      <c r="A18" s="45" t="s">
        <v>28</v>
      </c>
      <c r="B18" s="46">
        <f>SUM(B9:B17)</f>
        <v>9796698</v>
      </c>
      <c r="D18" s="45" t="s">
        <v>28</v>
      </c>
      <c r="E18" s="46">
        <f>SUM(E9:E17)</f>
        <v>4467239</v>
      </c>
      <c r="G18" s="45" t="s">
        <v>28</v>
      </c>
      <c r="H18" s="46">
        <f>SUM(H9:H17)</f>
        <v>2395416</v>
      </c>
      <c r="J18" s="45" t="s">
        <v>28</v>
      </c>
      <c r="K18" s="46">
        <f>SUM(K9:K17)</f>
        <v>4450866</v>
      </c>
      <c r="M18" s="32"/>
      <c r="N18" s="31"/>
    </row>
    <row r="19" spans="1:16" ht="18.75" customHeight="1" x14ac:dyDescent="0.3">
      <c r="A19" s="32"/>
      <c r="B19" s="31"/>
      <c r="D19" s="32"/>
      <c r="E19" s="31"/>
      <c r="G19" s="32"/>
      <c r="H19" s="31"/>
      <c r="J19" s="32"/>
      <c r="K19" s="31"/>
      <c r="M19" s="32"/>
      <c r="N19" s="31"/>
    </row>
    <row r="20" spans="1:16" ht="26.25" customHeight="1" x14ac:dyDescent="0.35">
      <c r="A20" s="47" t="s">
        <v>23</v>
      </c>
      <c r="B20" s="48">
        <f>B6-B18</f>
        <v>363996.57123656943</v>
      </c>
      <c r="D20" s="47" t="s">
        <v>23</v>
      </c>
      <c r="E20" s="48">
        <f>E6-E18</f>
        <v>355746.71349999961</v>
      </c>
      <c r="G20" s="47" t="s">
        <v>23</v>
      </c>
      <c r="H20" s="48">
        <f>H6-H18</f>
        <v>401732.51159237977</v>
      </c>
      <c r="J20" s="47" t="s">
        <v>23</v>
      </c>
      <c r="K20" s="48">
        <f>K4-K18</f>
        <v>426116.0064000003</v>
      </c>
      <c r="M20" s="32"/>
      <c r="N20" s="31"/>
    </row>
    <row r="21" spans="1:16" ht="18.75" customHeight="1" x14ac:dyDescent="0.35">
      <c r="A21" s="32"/>
      <c r="B21" s="31"/>
      <c r="D21" s="32"/>
      <c r="E21" s="31"/>
      <c r="J21" s="32"/>
      <c r="K21" s="31"/>
      <c r="M21" s="45" t="s">
        <v>28</v>
      </c>
      <c r="N21" s="46">
        <f>SUM(N12:N20)</f>
        <v>4092367</v>
      </c>
    </row>
    <row r="22" spans="1:16" ht="18.75" customHeight="1" x14ac:dyDescent="0.3">
      <c r="A22" s="42" t="s">
        <v>29</v>
      </c>
      <c r="B22" s="43">
        <f>[1]Summary!$C$11+[1]Summary!$C$12+[1]Summary!$C$13+[1]Summary!$C$14+[1]Summary!$C$15+[1]Summary!$C$16+[1]Summary!$C$17</f>
        <v>666534</v>
      </c>
      <c r="D22" s="42" t="s">
        <v>29</v>
      </c>
      <c r="E22" s="43">
        <f>'[2]Summary of bills'!$C$19+'[2]Summary of bills'!$C$17</f>
        <v>240867.1875</v>
      </c>
      <c r="M22" s="32"/>
      <c r="N22" s="31"/>
      <c r="P22" s="54"/>
    </row>
    <row r="23" spans="1:16" ht="18.75" customHeight="1" x14ac:dyDescent="0.35">
      <c r="A23" s="42" t="s">
        <v>22</v>
      </c>
      <c r="B23" s="43">
        <f>B22*15%</f>
        <v>99980.099999999991</v>
      </c>
      <c r="D23" s="42" t="s">
        <v>22</v>
      </c>
      <c r="E23" s="43">
        <f>E22*10%</f>
        <v>24086.71875</v>
      </c>
      <c r="M23" s="47" t="s">
        <v>67</v>
      </c>
      <c r="N23" s="48">
        <f>N9-N21</f>
        <v>784614.54875000007</v>
      </c>
    </row>
    <row r="24" spans="1:16" ht="18.75" customHeight="1" x14ac:dyDescent="0.3">
      <c r="A24" s="42" t="s">
        <v>33</v>
      </c>
      <c r="B24" s="43">
        <f>B22-B23</f>
        <v>566553.9</v>
      </c>
      <c r="D24" s="42" t="s">
        <v>33</v>
      </c>
      <c r="E24" s="43">
        <f>E22-E23</f>
        <v>216780.46875</v>
      </c>
      <c r="M24" s="32" t="s">
        <v>65</v>
      </c>
      <c r="N24" s="31">
        <v>266414</v>
      </c>
    </row>
    <row r="25" spans="1:16" ht="21" customHeight="1" x14ac:dyDescent="0.35">
      <c r="A25" s="42" t="s">
        <v>35</v>
      </c>
      <c r="B25" s="43">
        <f>B24*8.47%</f>
        <v>47987.115330000008</v>
      </c>
      <c r="D25" s="42" t="s">
        <v>35</v>
      </c>
      <c r="E25" s="43">
        <f>E24*8.47%</f>
        <v>18361.305703125003</v>
      </c>
      <c r="M25" s="47" t="s">
        <v>68</v>
      </c>
      <c r="N25" s="31">
        <f>N24+N23</f>
        <v>1051028.5487500001</v>
      </c>
    </row>
    <row r="26" spans="1:16" ht="21" customHeight="1" x14ac:dyDescent="0.35">
      <c r="A26" s="35" t="s">
        <v>47</v>
      </c>
      <c r="B26" s="33">
        <f>B24-B25</f>
        <v>518566.78467000002</v>
      </c>
      <c r="D26" s="42" t="s">
        <v>23</v>
      </c>
      <c r="E26" s="44">
        <f>E24-E25</f>
        <v>198419.16304687501</v>
      </c>
    </row>
    <row r="27" spans="1:16" ht="21" x14ac:dyDescent="0.35">
      <c r="A27" s="34"/>
      <c r="B27" s="29"/>
      <c r="D27" s="34"/>
      <c r="E27" s="29"/>
      <c r="M27" s="55"/>
      <c r="N27" s="56"/>
    </row>
    <row r="28" spans="1:16" ht="21" x14ac:dyDescent="0.35">
      <c r="A28" s="47" t="s">
        <v>38</v>
      </c>
      <c r="B28" s="41">
        <f>B26+B20</f>
        <v>882563.3559065694</v>
      </c>
      <c r="D28" s="47" t="s">
        <v>38</v>
      </c>
      <c r="E28" s="40">
        <f>E26+E20</f>
        <v>554165.87654687464</v>
      </c>
      <c r="M28" s="57"/>
      <c r="N28" s="58"/>
    </row>
    <row r="29" spans="1:16" ht="21" x14ac:dyDescent="0.35">
      <c r="A29" s="34"/>
      <c r="B29" s="29"/>
      <c r="M29" s="55"/>
      <c r="N29" s="56"/>
    </row>
    <row r="30" spans="1:16" ht="21.75" customHeight="1" x14ac:dyDescent="0.25">
      <c r="D30" s="28"/>
      <c r="E30"/>
      <c r="G30" s="28"/>
      <c r="H30"/>
      <c r="J30" s="28"/>
      <c r="K30"/>
      <c r="N30" s="59"/>
    </row>
    <row r="31" spans="1:16" ht="15" customHeight="1" x14ac:dyDescent="0.25">
      <c r="A31" s="77" t="s">
        <v>0</v>
      </c>
      <c r="B31" s="77"/>
      <c r="C31" s="77"/>
      <c r="D31" s="75" t="s">
        <v>41</v>
      </c>
      <c r="E31" s="75"/>
      <c r="F31" s="75"/>
      <c r="G31" s="28"/>
      <c r="H31"/>
      <c r="J31" s="28"/>
      <c r="K31"/>
      <c r="N31" s="59"/>
    </row>
    <row r="32" spans="1:16" ht="15" customHeight="1" x14ac:dyDescent="0.25">
      <c r="A32" s="77"/>
      <c r="B32" s="77"/>
      <c r="C32" s="77"/>
      <c r="D32" s="75"/>
      <c r="E32" s="75"/>
      <c r="F32" s="75"/>
      <c r="G32" s="28"/>
      <c r="H32"/>
      <c r="J32" s="28"/>
      <c r="K32"/>
    </row>
    <row r="33" spans="1:14" ht="15" customHeight="1" x14ac:dyDescent="0.25">
      <c r="A33" s="77" t="s">
        <v>42</v>
      </c>
      <c r="B33" s="77"/>
      <c r="C33" s="77"/>
      <c r="D33" s="75">
        <f>B28</f>
        <v>882563.3559065694</v>
      </c>
      <c r="E33" s="75"/>
      <c r="F33" s="75"/>
      <c r="G33" s="28"/>
      <c r="H33"/>
      <c r="J33" s="28"/>
      <c r="K33"/>
      <c r="M33" s="28"/>
      <c r="N33"/>
    </row>
    <row r="34" spans="1:14" ht="15" customHeight="1" x14ac:dyDescent="0.25">
      <c r="A34" s="77"/>
      <c r="B34" s="77"/>
      <c r="C34" s="77"/>
      <c r="D34" s="75"/>
      <c r="E34" s="75"/>
      <c r="F34" s="75"/>
      <c r="G34" s="28"/>
      <c r="H34"/>
      <c r="J34" s="28"/>
      <c r="K34"/>
      <c r="M34" s="28"/>
      <c r="N34"/>
    </row>
    <row r="35" spans="1:14" ht="15" customHeight="1" x14ac:dyDescent="0.25">
      <c r="A35" s="77" t="s">
        <v>43</v>
      </c>
      <c r="B35" s="77"/>
      <c r="C35" s="77"/>
      <c r="D35" s="75">
        <f>E28</f>
        <v>554165.87654687464</v>
      </c>
      <c r="E35" s="75"/>
      <c r="F35" s="75"/>
      <c r="G35" s="28"/>
      <c r="H35"/>
      <c r="J35" s="28"/>
      <c r="K35"/>
      <c r="M35" s="28"/>
      <c r="N35"/>
    </row>
    <row r="36" spans="1:14" ht="15" customHeight="1" x14ac:dyDescent="0.25">
      <c r="A36" s="77"/>
      <c r="B36" s="77"/>
      <c r="C36" s="77"/>
      <c r="D36" s="75"/>
      <c r="E36" s="75"/>
      <c r="F36" s="75"/>
      <c r="G36" s="28"/>
      <c r="H36"/>
      <c r="J36" s="28"/>
      <c r="K36"/>
      <c r="M36" s="28"/>
      <c r="N36"/>
    </row>
    <row r="37" spans="1:14" ht="15" customHeight="1" x14ac:dyDescent="0.25">
      <c r="A37" s="77" t="s">
        <v>30</v>
      </c>
      <c r="B37" s="77"/>
      <c r="C37" s="77"/>
      <c r="D37" s="75">
        <f>H20</f>
        <v>401732.51159237977</v>
      </c>
      <c r="E37" s="75"/>
      <c r="F37" s="75"/>
      <c r="G37" s="28"/>
      <c r="H37"/>
      <c r="J37" s="28"/>
      <c r="K37"/>
      <c r="M37" s="28"/>
      <c r="N37"/>
    </row>
    <row r="38" spans="1:14" ht="15" customHeight="1" x14ac:dyDescent="0.25">
      <c r="A38" s="77"/>
      <c r="B38" s="77"/>
      <c r="C38" s="77"/>
      <c r="D38" s="75"/>
      <c r="E38" s="75"/>
      <c r="F38" s="75"/>
      <c r="G38" s="28"/>
      <c r="H38"/>
      <c r="J38" s="28"/>
      <c r="K38"/>
      <c r="M38" s="28"/>
      <c r="N38"/>
    </row>
    <row r="39" spans="1:14" ht="15" customHeight="1" x14ac:dyDescent="0.25">
      <c r="A39" s="77" t="s">
        <v>1</v>
      </c>
      <c r="B39" s="77"/>
      <c r="C39" s="77"/>
      <c r="D39" s="75">
        <f>K20</f>
        <v>426116.0064000003</v>
      </c>
      <c r="E39" s="75"/>
      <c r="F39" s="75"/>
      <c r="G39" s="28"/>
      <c r="H39"/>
      <c r="J39" s="28"/>
      <c r="K39"/>
      <c r="M39" s="28"/>
      <c r="N39"/>
    </row>
    <row r="40" spans="1:14" ht="15" customHeight="1" x14ac:dyDescent="0.25">
      <c r="A40" s="77"/>
      <c r="B40" s="77"/>
      <c r="C40" s="77"/>
      <c r="D40" s="75"/>
      <c r="E40" s="75"/>
      <c r="F40" s="75"/>
      <c r="G40" s="28"/>
      <c r="H40"/>
      <c r="J40" s="28"/>
      <c r="K40"/>
      <c r="M40" s="28"/>
      <c r="N40"/>
    </row>
    <row r="41" spans="1:14" ht="15" customHeight="1" x14ac:dyDescent="0.25">
      <c r="A41" s="78" t="s">
        <v>44</v>
      </c>
      <c r="B41" s="78"/>
      <c r="C41" s="78"/>
      <c r="D41" s="76">
        <f>D39+D37+D35+D33</f>
        <v>2264577.7504458241</v>
      </c>
      <c r="E41" s="76"/>
      <c r="F41" s="76"/>
      <c r="G41" s="28"/>
      <c r="H41"/>
      <c r="J41" s="28"/>
      <c r="K41"/>
      <c r="M41" s="28"/>
      <c r="N41"/>
    </row>
    <row r="42" spans="1:14" ht="15" customHeight="1" x14ac:dyDescent="0.25">
      <c r="A42" s="78"/>
      <c r="B42" s="78"/>
      <c r="C42" s="78"/>
      <c r="D42" s="76"/>
      <c r="E42" s="76"/>
      <c r="F42" s="76"/>
      <c r="G42" s="28"/>
      <c r="H42"/>
      <c r="J42" s="28"/>
      <c r="K42"/>
      <c r="M42" s="28"/>
      <c r="N42"/>
    </row>
    <row r="43" spans="1:14" ht="28.5" x14ac:dyDescent="0.25">
      <c r="C43" s="53"/>
      <c r="D43" s="28"/>
      <c r="E43"/>
      <c r="G43" s="28"/>
      <c r="H43"/>
      <c r="J43" s="28"/>
      <c r="K43"/>
      <c r="M43" s="28"/>
      <c r="N43"/>
    </row>
    <row r="44" spans="1:14" x14ac:dyDescent="0.25">
      <c r="D44" s="28"/>
      <c r="E44"/>
      <c r="G44" s="28"/>
      <c r="H44"/>
      <c r="J44" s="28"/>
      <c r="K44"/>
      <c r="M44" s="28"/>
      <c r="N44"/>
    </row>
    <row r="45" spans="1:14" x14ac:dyDescent="0.25">
      <c r="D45" s="28"/>
      <c r="E45"/>
      <c r="G45" s="28"/>
      <c r="H45"/>
      <c r="J45" s="28"/>
      <c r="K45"/>
      <c r="M45" s="28"/>
      <c r="N45"/>
    </row>
    <row r="46" spans="1:14" x14ac:dyDescent="0.25">
      <c r="D46" s="28"/>
      <c r="E46"/>
      <c r="G46" s="28"/>
      <c r="H46"/>
      <c r="J46" s="28"/>
      <c r="K46"/>
      <c r="M46" s="28"/>
      <c r="N46"/>
    </row>
    <row r="47" spans="1:14" x14ac:dyDescent="0.25">
      <c r="D47" s="28"/>
      <c r="E47"/>
      <c r="G47" s="28"/>
      <c r="H47"/>
      <c r="J47" s="28"/>
      <c r="K47"/>
      <c r="M47" s="28"/>
      <c r="N47"/>
    </row>
    <row r="48" spans="1:14" x14ac:dyDescent="0.25">
      <c r="D48" s="28"/>
      <c r="E48"/>
      <c r="G48" s="28"/>
      <c r="H48"/>
      <c r="J48" s="28"/>
      <c r="K48"/>
      <c r="M48" s="28"/>
      <c r="N48"/>
    </row>
    <row r="49" spans="13:14" x14ac:dyDescent="0.25">
      <c r="M49" s="28"/>
      <c r="N49"/>
    </row>
    <row r="50" spans="13:14" x14ac:dyDescent="0.25">
      <c r="M50" s="28"/>
      <c r="N50"/>
    </row>
    <row r="51" spans="13:14" x14ac:dyDescent="0.25">
      <c r="M51" s="28"/>
      <c r="N51"/>
    </row>
  </sheetData>
  <mergeCells count="22">
    <mergeCell ref="M1:N1"/>
    <mergeCell ref="M11:N11"/>
    <mergeCell ref="A8:B8"/>
    <mergeCell ref="D8:E8"/>
    <mergeCell ref="G8:H8"/>
    <mergeCell ref="J8:K8"/>
    <mergeCell ref="A1:B1"/>
    <mergeCell ref="G1:H1"/>
    <mergeCell ref="D1:E1"/>
    <mergeCell ref="J1:K1"/>
    <mergeCell ref="D31:F32"/>
    <mergeCell ref="D33:F34"/>
    <mergeCell ref="D35:F36"/>
    <mergeCell ref="A31:C32"/>
    <mergeCell ref="A33:C34"/>
    <mergeCell ref="D37:F38"/>
    <mergeCell ref="D39:F40"/>
    <mergeCell ref="D41:F42"/>
    <mergeCell ref="A35:C36"/>
    <mergeCell ref="A37:C38"/>
    <mergeCell ref="A39:C40"/>
    <mergeCell ref="A41:C42"/>
  </mergeCells>
  <printOptions horizontalCentered="1"/>
  <pageMargins left="0" right="0" top="0" bottom="0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24"/>
  <sheetViews>
    <sheetView workbookViewId="0">
      <selection activeCell="I7" sqref="I7"/>
    </sheetView>
  </sheetViews>
  <sheetFormatPr defaultRowHeight="15" x14ac:dyDescent="0.25"/>
  <cols>
    <col min="1" max="1" width="5.42578125" customWidth="1"/>
    <col min="2" max="2" width="34.28515625" customWidth="1"/>
    <col min="3" max="3" width="13.28515625" customWidth="1"/>
    <col min="4" max="4" width="11.140625" customWidth="1"/>
    <col min="5" max="7" width="13.140625" customWidth="1"/>
    <col min="8" max="8" width="13.7109375" customWidth="1"/>
    <col min="9" max="9" width="14.28515625" customWidth="1"/>
    <col min="12" max="12" width="13.28515625" style="28" bestFit="1" customWidth="1"/>
  </cols>
  <sheetData>
    <row r="4" spans="1:14" s="51" customFormat="1" ht="42" x14ac:dyDescent="0.25">
      <c r="A4" s="50" t="s">
        <v>51</v>
      </c>
      <c r="B4" s="50" t="s">
        <v>0</v>
      </c>
      <c r="C4" s="26" t="s">
        <v>52</v>
      </c>
      <c r="D4" s="50" t="s">
        <v>20</v>
      </c>
      <c r="E4" s="50" t="s">
        <v>59</v>
      </c>
      <c r="F4" s="50" t="s">
        <v>60</v>
      </c>
      <c r="G4" s="50"/>
      <c r="H4" s="50" t="s">
        <v>57</v>
      </c>
      <c r="I4" s="50" t="s">
        <v>58</v>
      </c>
      <c r="L4" s="52"/>
    </row>
    <row r="5" spans="1:14" x14ac:dyDescent="0.25">
      <c r="A5" s="49"/>
      <c r="B5" s="49" t="s">
        <v>53</v>
      </c>
      <c r="C5" s="29">
        <v>152793355</v>
      </c>
      <c r="D5" s="29">
        <v>6758340</v>
      </c>
      <c r="E5" s="29">
        <f>D5+C5</f>
        <v>159551695</v>
      </c>
      <c r="F5" s="29">
        <v>4998000</v>
      </c>
      <c r="G5" s="29">
        <f>E5-F5</f>
        <v>154553695</v>
      </c>
      <c r="H5" s="29">
        <v>145754153</v>
      </c>
      <c r="I5" s="29">
        <f>G5-H5</f>
        <v>8799542</v>
      </c>
    </row>
    <row r="6" spans="1:14" x14ac:dyDescent="0.25">
      <c r="A6" s="49"/>
      <c r="B6" s="49" t="s">
        <v>54</v>
      </c>
      <c r="C6" s="29">
        <v>25510943</v>
      </c>
      <c r="D6" s="29">
        <v>0</v>
      </c>
      <c r="E6" s="29">
        <f>D6+C6</f>
        <v>25510943</v>
      </c>
      <c r="F6" s="29">
        <v>0</v>
      </c>
      <c r="G6" s="29">
        <f>E6-F6</f>
        <v>25510943</v>
      </c>
      <c r="H6" s="29">
        <v>21177292</v>
      </c>
      <c r="I6" s="29">
        <f>G6-H6</f>
        <v>4333651</v>
      </c>
      <c r="K6">
        <v>6758340</v>
      </c>
    </row>
    <row r="7" spans="1:14" x14ac:dyDescent="0.25">
      <c r="A7" s="49"/>
      <c r="B7" s="49" t="s">
        <v>55</v>
      </c>
      <c r="C7" s="29"/>
      <c r="D7" s="29"/>
      <c r="E7" s="29"/>
      <c r="F7" s="29"/>
      <c r="G7" s="29"/>
      <c r="H7" s="29"/>
      <c r="I7" s="29"/>
    </row>
    <row r="8" spans="1:14" x14ac:dyDescent="0.25">
      <c r="A8" s="49"/>
      <c r="B8" s="49" t="s">
        <v>56</v>
      </c>
      <c r="C8" s="29"/>
      <c r="D8" s="29"/>
      <c r="E8" s="29"/>
      <c r="F8" s="29"/>
      <c r="G8" s="29"/>
      <c r="H8" s="29"/>
      <c r="I8" s="29"/>
      <c r="N8">
        <v>41</v>
      </c>
    </row>
    <row r="9" spans="1:14" x14ac:dyDescent="0.25">
      <c r="A9" s="49"/>
      <c r="B9" s="49"/>
      <c r="C9" s="29"/>
      <c r="D9" s="29"/>
      <c r="E9" s="29"/>
      <c r="F9" s="29"/>
      <c r="G9" s="29"/>
      <c r="H9" s="29"/>
      <c r="I9" s="29"/>
      <c r="N9">
        <v>37</v>
      </c>
    </row>
    <row r="10" spans="1:14" x14ac:dyDescent="0.25">
      <c r="A10" s="49"/>
      <c r="B10" s="49"/>
      <c r="C10" s="29"/>
      <c r="D10" s="29"/>
      <c r="E10" s="29"/>
      <c r="F10" s="29"/>
      <c r="G10" s="29"/>
      <c r="H10" s="29"/>
      <c r="I10" s="29"/>
      <c r="N10">
        <f>SUM(N8:N9)</f>
        <v>78</v>
      </c>
    </row>
    <row r="11" spans="1:14" x14ac:dyDescent="0.25">
      <c r="A11" s="49"/>
      <c r="B11" s="49"/>
      <c r="C11" s="29"/>
      <c r="D11" s="29"/>
      <c r="E11" s="29"/>
      <c r="F11" s="29"/>
      <c r="G11" s="29"/>
      <c r="H11" s="29"/>
      <c r="I11" s="29"/>
    </row>
    <row r="12" spans="1:14" x14ac:dyDescent="0.25">
      <c r="A12" s="49"/>
      <c r="B12" s="49"/>
      <c r="C12" s="29"/>
      <c r="D12" s="29"/>
      <c r="E12" s="29"/>
      <c r="F12" s="29"/>
      <c r="G12" s="29"/>
      <c r="H12" s="29"/>
      <c r="I12" s="29"/>
    </row>
    <row r="13" spans="1:14" x14ac:dyDescent="0.25">
      <c r="A13" s="49"/>
      <c r="B13" s="49"/>
      <c r="C13" s="29"/>
      <c r="D13" s="29"/>
      <c r="E13" s="29"/>
      <c r="F13" s="29"/>
      <c r="G13" s="29"/>
      <c r="H13" s="29"/>
      <c r="I13" s="29"/>
    </row>
    <row r="14" spans="1:14" x14ac:dyDescent="0.25">
      <c r="A14" s="49"/>
      <c r="B14" s="49"/>
      <c r="C14" s="29"/>
      <c r="D14" s="29"/>
      <c r="E14" s="29"/>
      <c r="F14" s="29"/>
      <c r="G14" s="29"/>
      <c r="H14" s="29"/>
      <c r="I14" s="29"/>
    </row>
    <row r="15" spans="1:14" x14ac:dyDescent="0.25">
      <c r="A15" s="49"/>
      <c r="B15" s="49"/>
      <c r="C15" s="29"/>
      <c r="D15" s="29"/>
      <c r="E15" s="29"/>
      <c r="F15" s="29"/>
      <c r="G15" s="29"/>
      <c r="H15" s="29"/>
      <c r="I15" s="29"/>
      <c r="L15" s="28">
        <v>7350000</v>
      </c>
    </row>
    <row r="16" spans="1:14" x14ac:dyDescent="0.25">
      <c r="A16" s="49"/>
      <c r="B16" s="49"/>
      <c r="C16" s="29"/>
      <c r="D16" s="29"/>
      <c r="E16" s="29"/>
      <c r="F16" s="29"/>
      <c r="G16" s="29"/>
      <c r="H16" s="29"/>
      <c r="I16" s="29"/>
      <c r="L16" s="28">
        <v>2352000</v>
      </c>
    </row>
    <row r="17" spans="1:12" x14ac:dyDescent="0.25">
      <c r="A17" s="49"/>
      <c r="B17" s="49"/>
      <c r="C17" s="29"/>
      <c r="D17" s="29"/>
      <c r="E17" s="29"/>
      <c r="F17" s="29"/>
      <c r="G17" s="29"/>
      <c r="H17" s="29"/>
      <c r="I17" s="29"/>
      <c r="L17" s="28">
        <f>L15-L16</f>
        <v>4998000</v>
      </c>
    </row>
    <row r="18" spans="1:12" x14ac:dyDescent="0.25">
      <c r="A18" s="49"/>
      <c r="B18" s="49"/>
      <c r="C18" s="29"/>
      <c r="D18" s="29"/>
      <c r="E18" s="29"/>
      <c r="F18" s="29"/>
      <c r="G18" s="29"/>
      <c r="H18" s="29"/>
      <c r="I18" s="29"/>
      <c r="L18" s="28">
        <f>I5-L17</f>
        <v>3801542</v>
      </c>
    </row>
    <row r="19" spans="1:12" x14ac:dyDescent="0.25">
      <c r="A19" s="49"/>
      <c r="B19" s="49"/>
      <c r="C19" s="29"/>
      <c r="D19" s="29"/>
      <c r="E19" s="29"/>
      <c r="F19" s="29"/>
      <c r="G19" s="29"/>
      <c r="H19" s="29"/>
      <c r="I19" s="29"/>
    </row>
    <row r="22" spans="1:12" x14ac:dyDescent="0.25">
      <c r="I22" s="28">
        <v>20532513</v>
      </c>
    </row>
    <row r="24" spans="1:12" x14ac:dyDescent="0.25">
      <c r="I24" s="28">
        <f>I22/93.5%</f>
        <v>21959906.951871656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2023-03-16T07:42:06Z</dcterms:modified>
</cp:coreProperties>
</file>