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1F17BE0F-0139-4EE7-B218-8701C9DEF9B2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Record'!$A$112:$L$125</definedName>
    <definedName name="_xlnm.Print_Area" localSheetId="0">'Salary Sheets'!$A$1:$Q$80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66" i="1" l="1"/>
  <c r="K324" i="8"/>
  <c r="R230" i="8" l="1"/>
  <c r="K354" i="8"/>
  <c r="K384" i="8"/>
  <c r="K339" i="8"/>
  <c r="E47" i="13"/>
  <c r="E46" i="13"/>
  <c r="E45" i="13"/>
  <c r="E44" i="13"/>
  <c r="K144" i="8"/>
  <c r="E43" i="13"/>
  <c r="C76" i="8"/>
  <c r="C75" i="8"/>
  <c r="V185" i="8"/>
  <c r="V215" i="8"/>
  <c r="V155" i="8"/>
  <c r="V410" i="8"/>
  <c r="V651" i="8"/>
  <c r="V153" i="8"/>
  <c r="V214" i="8" l="1"/>
  <c r="K69" i="8"/>
  <c r="K9" i="8"/>
  <c r="E42" i="13"/>
  <c r="E41" i="13"/>
  <c r="R288" i="8"/>
  <c r="R289" i="8" s="1"/>
  <c r="R290" i="8" s="1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V123" i="8" l="1"/>
  <c r="R65" i="8"/>
  <c r="C62" i="8" s="1"/>
  <c r="R379" i="8" l="1"/>
  <c r="E30" i="13"/>
  <c r="V619" i="8" l="1"/>
  <c r="V213" i="8"/>
  <c r="V63" i="8" l="1"/>
  <c r="U743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697" i="8"/>
  <c r="W697" i="8" s="1"/>
  <c r="Y697" i="8" s="1"/>
  <c r="U698" i="8" s="1"/>
  <c r="W698" i="8" s="1"/>
  <c r="Y698" i="8" s="1"/>
  <c r="W696" i="8"/>
  <c r="Y696" i="8" s="1"/>
  <c r="R698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35" i="8"/>
  <c r="W14" i="8" l="1"/>
  <c r="V205" i="8"/>
  <c r="V115" i="8"/>
  <c r="K204" i="8"/>
  <c r="K564" i="8"/>
  <c r="Y14" i="8" l="1"/>
  <c r="R690" i="8"/>
  <c r="R692" i="8"/>
  <c r="R693" i="8" s="1"/>
  <c r="R694" i="8" s="1"/>
  <c r="R462" i="8"/>
  <c r="R463" i="8" s="1"/>
  <c r="R464" i="8" s="1"/>
  <c r="R465" i="8" s="1"/>
  <c r="R466" i="8" s="1"/>
  <c r="R469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C696" i="8" l="1"/>
  <c r="R226" i="8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574" i="8" s="1"/>
  <c r="R575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C572" i="8"/>
  <c r="C137" i="8"/>
  <c r="R121" i="8"/>
  <c r="R122" i="8" s="1"/>
  <c r="R123" i="8" s="1"/>
  <c r="R124" i="8" s="1"/>
  <c r="R125" i="8" s="1"/>
  <c r="C122" i="8" s="1"/>
  <c r="R166" i="8"/>
  <c r="R406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07" i="8"/>
  <c r="R408" i="8" s="1"/>
  <c r="R409" i="8" s="1"/>
  <c r="R410" i="8" s="1"/>
  <c r="C407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695" i="8"/>
  <c r="Y695" i="8" s="1"/>
  <c r="U481" i="8"/>
  <c r="W481" i="8" s="1"/>
  <c r="Y481" i="8" s="1"/>
  <c r="U538" i="8"/>
  <c r="W538" i="8" s="1"/>
  <c r="Y538" i="8" s="1"/>
  <c r="U739" i="8"/>
  <c r="W739" i="8" s="1"/>
  <c r="Y739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699" i="8"/>
  <c r="Y699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G696" i="8" l="1"/>
  <c r="U512" i="8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40" i="8"/>
  <c r="W740" i="8" s="1"/>
  <c r="Y740" i="8" s="1"/>
  <c r="U741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41" i="8"/>
  <c r="Y741" i="8" s="1"/>
  <c r="U742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U80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42" i="8"/>
  <c r="Y742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43" i="8"/>
  <c r="Y743" i="8" s="1"/>
  <c r="U744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U182" i="8"/>
  <c r="W182" i="8" s="1"/>
  <c r="Y182" i="8" s="1"/>
  <c r="W543" i="8"/>
  <c r="Y543" i="8" s="1"/>
  <c r="W744" i="8"/>
  <c r="Y744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U652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35" i="8" l="1"/>
  <c r="W335" i="8" s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U183" i="8"/>
  <c r="W183" i="8" s="1"/>
  <c r="Y183" i="8" s="1"/>
  <c r="U184" i="8" s="1"/>
  <c r="W184" i="8" s="1"/>
  <c r="Y184" i="8" s="1"/>
  <c r="U544" i="8"/>
  <c r="W544" i="8" s="1"/>
  <c r="Y544" i="8" s="1"/>
  <c r="U745" i="8"/>
  <c r="W745" i="8" s="1"/>
  <c r="Y745" i="8" s="1"/>
  <c r="U746" i="8" s="1"/>
  <c r="W746" i="8" s="1"/>
  <c r="Y746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H42" i="1"/>
  <c r="E42" i="1"/>
  <c r="B42" i="1"/>
  <c r="U545" i="8" l="1"/>
  <c r="W545" i="8" s="1"/>
  <c r="Y545" i="8" s="1"/>
  <c r="G542" i="8" s="1"/>
  <c r="G182" i="8"/>
  <c r="U185" i="8"/>
  <c r="W185" i="8" s="1"/>
  <c r="Y185" i="8" s="1"/>
  <c r="G743" i="8"/>
  <c r="U605" i="8"/>
  <c r="W605" i="8" s="1"/>
  <c r="Y605" i="8" s="1"/>
  <c r="U529" i="8"/>
  <c r="W529" i="8" s="1"/>
  <c r="Y529" i="8" s="1"/>
  <c r="U530" i="8" s="1"/>
  <c r="U409" i="8"/>
  <c r="W409" i="8" s="1"/>
  <c r="Y409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18" i="8" s="1"/>
  <c r="U606" i="8" l="1"/>
  <c r="W606" i="8" s="1"/>
  <c r="Y606" i="8" s="1"/>
  <c r="G603" i="8" s="1"/>
  <c r="U410" i="8"/>
  <c r="W410" i="8" s="1"/>
  <c r="Y410" i="8" s="1"/>
  <c r="G407" i="8" s="1"/>
  <c r="U274" i="8"/>
  <c r="W274" i="8" s="1"/>
  <c r="Y274" i="8" s="1"/>
  <c r="U275" i="8" s="1"/>
  <c r="W530" i="8"/>
  <c r="Y530" i="8" s="1"/>
  <c r="G52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W574" i="8" s="1"/>
  <c r="Y574" i="8" s="1"/>
  <c r="U575" i="8" s="1"/>
  <c r="U424" i="8"/>
  <c r="W424" i="8" s="1"/>
  <c r="Y424" i="8" s="1"/>
  <c r="U394" i="8"/>
  <c r="W394" i="8" s="1"/>
  <c r="Y394" i="8" s="1"/>
  <c r="U395" i="8" s="1"/>
  <c r="U319" i="8"/>
  <c r="W319" i="8" s="1"/>
  <c r="Y319" i="8" s="1"/>
  <c r="W94" i="8"/>
  <c r="Y94" i="8" s="1"/>
  <c r="U95" i="8" s="1"/>
  <c r="W275" i="8"/>
  <c r="Y275" i="8" s="1"/>
  <c r="G272" i="8" s="1"/>
  <c r="U320" i="8" l="1"/>
  <c r="W320" i="8" s="1"/>
  <c r="Y320" i="8" s="1"/>
  <c r="G317" i="8" s="1"/>
  <c r="U425" i="8"/>
  <c r="W425" i="8" s="1"/>
  <c r="Y425" i="8" s="1"/>
  <c r="G422" i="8" s="1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693" i="8" l="1"/>
  <c r="B49" i="1" l="1"/>
  <c r="R309" i="8" l="1"/>
  <c r="R310" i="8" s="1"/>
  <c r="R311" i="8" l="1"/>
  <c r="R312" i="8" s="1"/>
  <c r="R313" i="8" s="1"/>
  <c r="R314" i="8" s="1"/>
  <c r="R315" i="8" s="1"/>
  <c r="B73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5" i="1" s="1"/>
  <c r="G419" i="8"/>
  <c r="M75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695" i="8"/>
  <c r="K695" i="8" s="1"/>
  <c r="C695" i="8"/>
  <c r="G71" i="1" s="1"/>
  <c r="C694" i="8"/>
  <c r="F71" i="1" s="1"/>
  <c r="G693" i="8"/>
  <c r="M71" i="1" s="1"/>
  <c r="H687" i="8"/>
  <c r="G687" i="8"/>
  <c r="G181" i="8"/>
  <c r="K181" i="8" s="1"/>
  <c r="C181" i="8"/>
  <c r="C180" i="8"/>
  <c r="K179" i="8"/>
  <c r="J40" i="1" s="1"/>
  <c r="G179" i="8"/>
  <c r="M40" i="1" s="1"/>
  <c r="H173" i="8"/>
  <c r="G173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C710" i="8"/>
  <c r="G70" i="1" s="1"/>
  <c r="C709" i="8"/>
  <c r="F70" i="1" s="1"/>
  <c r="R708" i="8"/>
  <c r="K708" i="8"/>
  <c r="J70" i="1" s="1"/>
  <c r="G708" i="8"/>
  <c r="M70" i="1" s="1"/>
  <c r="R705" i="8"/>
  <c r="R704" i="8"/>
  <c r="W703" i="8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4" i="1" s="1"/>
  <c r="C406" i="8"/>
  <c r="C405" i="8"/>
  <c r="K404" i="8"/>
  <c r="J74" i="1" s="1"/>
  <c r="G404" i="8"/>
  <c r="M74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746" i="8"/>
  <c r="G742" i="8"/>
  <c r="K742" i="8" s="1"/>
  <c r="C742" i="8"/>
  <c r="G86" i="1" s="1"/>
  <c r="R741" i="8"/>
  <c r="C741" i="8"/>
  <c r="F86" i="1" s="1"/>
  <c r="K740" i="8"/>
  <c r="J86" i="1" s="1"/>
  <c r="G740" i="8"/>
  <c r="M86" i="1" s="1"/>
  <c r="R738" i="8"/>
  <c r="H734" i="8"/>
  <c r="G734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6" i="1" s="1"/>
  <c r="K194" i="8"/>
  <c r="J76" i="1" s="1"/>
  <c r="G194" i="8"/>
  <c r="M76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7" i="1" s="1"/>
  <c r="C150" i="8"/>
  <c r="K149" i="8"/>
  <c r="J77" i="1" s="1"/>
  <c r="G149" i="8"/>
  <c r="M7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2" i="1" s="1"/>
  <c r="C120" i="8"/>
  <c r="I118" i="8" s="1"/>
  <c r="K119" i="8"/>
  <c r="J72" i="1" s="1"/>
  <c r="G119" i="8"/>
  <c r="M7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3" i="1" s="1"/>
  <c r="J73" i="1"/>
  <c r="G554" i="8"/>
  <c r="M73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1" i="1"/>
  <c r="H71" i="1"/>
  <c r="E71" i="1"/>
  <c r="B71" i="1"/>
  <c r="H69" i="1"/>
  <c r="E69" i="1"/>
  <c r="H33" i="1"/>
  <c r="E33" i="1"/>
  <c r="B33" i="1"/>
  <c r="H57" i="1"/>
  <c r="E57" i="1"/>
  <c r="H49" i="1"/>
  <c r="E49" i="1"/>
  <c r="H76" i="1"/>
  <c r="E76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6" i="1"/>
  <c r="E86" i="1"/>
  <c r="B86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7" i="1"/>
  <c r="E77" i="1"/>
  <c r="H75" i="1"/>
  <c r="E75" i="1"/>
  <c r="B75" i="1"/>
  <c r="H39" i="1"/>
  <c r="E39" i="1"/>
  <c r="H38" i="1"/>
  <c r="E38" i="1"/>
  <c r="H72" i="1"/>
  <c r="E72" i="1"/>
  <c r="B72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40" i="1" l="1"/>
  <c r="I178" i="8"/>
  <c r="K178" i="8" s="1"/>
  <c r="I193" i="8"/>
  <c r="C743" i="8"/>
  <c r="F15" i="1"/>
  <c r="I58" i="8"/>
  <c r="C47" i="8"/>
  <c r="M80" i="1"/>
  <c r="F58" i="1"/>
  <c r="E66" i="1"/>
  <c r="C789" i="8"/>
  <c r="R440" i="8"/>
  <c r="C437" i="8" s="1"/>
  <c r="I433" i="8" s="1"/>
  <c r="J66" i="1"/>
  <c r="C681" i="8"/>
  <c r="I677" i="8" s="1"/>
  <c r="K677" i="8" s="1"/>
  <c r="K679" i="8" s="1"/>
  <c r="K681" i="8" s="1"/>
  <c r="G73" i="1"/>
  <c r="I553" i="8"/>
  <c r="I73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6" i="1"/>
  <c r="G41" i="1"/>
  <c r="I614" i="8"/>
  <c r="G40" i="1"/>
  <c r="G23" i="1"/>
  <c r="I478" i="8"/>
  <c r="I23" i="1" s="1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5" i="1"/>
  <c r="G48" i="1"/>
  <c r="I343" i="8"/>
  <c r="G74" i="1"/>
  <c r="I403" i="8"/>
  <c r="G44" i="1"/>
  <c r="I208" i="8"/>
  <c r="K208" i="8" s="1"/>
  <c r="K210" i="8" s="1"/>
  <c r="K61" i="8"/>
  <c r="O15" i="1"/>
  <c r="J34" i="1"/>
  <c r="R317" i="8"/>
  <c r="R318" i="8" s="1"/>
  <c r="K710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88" i="8"/>
  <c r="W788" i="8" s="1"/>
  <c r="Y788" i="8" s="1"/>
  <c r="F75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8" i="1"/>
  <c r="E52" i="1"/>
  <c r="J42" i="1"/>
  <c r="U1" i="8"/>
  <c r="C711" i="8"/>
  <c r="I707" i="8" s="1"/>
  <c r="C649" i="8"/>
  <c r="I645" i="8" s="1"/>
  <c r="I43" i="8"/>
  <c r="C758" i="8"/>
  <c r="C838" i="8"/>
  <c r="K133" i="8"/>
  <c r="K135" i="8" s="1"/>
  <c r="W40" i="8"/>
  <c r="Y40" i="8" s="1"/>
  <c r="U41" i="8" s="1"/>
  <c r="C773" i="8"/>
  <c r="C727" i="8"/>
  <c r="F63" i="1"/>
  <c r="F38" i="1"/>
  <c r="F74" i="1"/>
  <c r="F49" i="1"/>
  <c r="F43" i="1"/>
  <c r="C587" i="8"/>
  <c r="I583" i="8" s="1"/>
  <c r="K583" i="8" s="1"/>
  <c r="K585" i="8" s="1"/>
  <c r="U431" i="8"/>
  <c r="W431" i="8" s="1"/>
  <c r="Y431" i="8" s="1"/>
  <c r="K756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692" i="8"/>
  <c r="K692" i="8" s="1"/>
  <c r="O86" i="1"/>
  <c r="F77" i="1"/>
  <c r="Y299" i="8"/>
  <c r="C806" i="8"/>
  <c r="L88" i="1"/>
  <c r="C822" i="8"/>
  <c r="I818" i="8" s="1"/>
  <c r="O88" i="1"/>
  <c r="P88" i="1"/>
  <c r="O64" i="1"/>
  <c r="O48" i="1"/>
  <c r="W221" i="8"/>
  <c r="Y221" i="8" s="1"/>
  <c r="U222" i="8" s="1"/>
  <c r="G570" i="8"/>
  <c r="N39" i="1" s="1"/>
  <c r="F72" i="1"/>
  <c r="K771" i="8"/>
  <c r="K773" i="8" s="1"/>
  <c r="O39" i="1"/>
  <c r="K785" i="8"/>
  <c r="K787" i="8" s="1"/>
  <c r="K789" i="8" s="1"/>
  <c r="O71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2" i="1"/>
  <c r="O55" i="1"/>
  <c r="O61" i="1"/>
  <c r="F57" i="1"/>
  <c r="O31" i="1"/>
  <c r="O19" i="1"/>
  <c r="O41" i="1"/>
  <c r="O60" i="1"/>
  <c r="O77" i="1"/>
  <c r="K725" i="8"/>
  <c r="K727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802" i="8"/>
  <c r="K804" i="8" s="1"/>
  <c r="O76" i="1"/>
  <c r="K406" i="8"/>
  <c r="O37" i="1"/>
  <c r="O14" i="1"/>
  <c r="J48" i="1"/>
  <c r="J52" i="1" s="1"/>
  <c r="K361" i="8"/>
  <c r="K391" i="8"/>
  <c r="O63" i="1"/>
  <c r="O59" i="1"/>
  <c r="O75" i="1"/>
  <c r="G754" i="8"/>
  <c r="W760" i="8"/>
  <c r="Y760" i="8" s="1"/>
  <c r="K838" i="8"/>
  <c r="G834" i="8"/>
  <c r="W840" i="8"/>
  <c r="W683" i="8"/>
  <c r="O73" i="1"/>
  <c r="G88" i="8"/>
  <c r="L69" i="1" s="1"/>
  <c r="G769" i="8"/>
  <c r="W775" i="8"/>
  <c r="G328" i="8"/>
  <c r="L51" i="1" s="1"/>
  <c r="K211" i="8"/>
  <c r="Y707" i="8"/>
  <c r="G178" i="8"/>
  <c r="L40" i="1" s="1"/>
  <c r="G802" i="8"/>
  <c r="W808" i="8"/>
  <c r="G739" i="8"/>
  <c r="L86" i="1" s="1"/>
  <c r="G568" i="8"/>
  <c r="L39" i="1" s="1"/>
  <c r="N88" i="1"/>
  <c r="G478" i="8"/>
  <c r="L23" i="1" s="1"/>
  <c r="W729" i="8"/>
  <c r="G723" i="8"/>
  <c r="G343" i="8"/>
  <c r="L48" i="1" s="1"/>
  <c r="G645" i="8"/>
  <c r="L42" i="1" s="1"/>
  <c r="G692" i="8"/>
  <c r="L71" i="1" s="1"/>
  <c r="K64" i="1" l="1"/>
  <c r="K587" i="8"/>
  <c r="Q64" i="1" s="1"/>
  <c r="R319" i="8"/>
  <c r="R320" i="8" s="1"/>
  <c r="C317" i="8" s="1"/>
  <c r="I313" i="8" s="1"/>
  <c r="K313" i="8" s="1"/>
  <c r="K315" i="8" s="1"/>
  <c r="K707" i="8"/>
  <c r="E70" i="1" s="1"/>
  <c r="E78" i="1" s="1"/>
  <c r="R302" i="8"/>
  <c r="R303" i="8" s="1"/>
  <c r="U789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39" i="8"/>
  <c r="K739" i="8" s="1"/>
  <c r="K741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80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4" i="1"/>
  <c r="K694" i="8"/>
  <c r="K696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5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18" i="8"/>
  <c r="K820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2" i="1"/>
  <c r="I38" i="1"/>
  <c r="I59" i="1"/>
  <c r="I63" i="1"/>
  <c r="I31" i="1"/>
  <c r="I44" i="1"/>
  <c r="I55" i="1"/>
  <c r="I56" i="1"/>
  <c r="I77" i="1"/>
  <c r="I26" i="1"/>
  <c r="I48" i="1"/>
  <c r="I64" i="1"/>
  <c r="I33" i="1"/>
  <c r="I24" i="1"/>
  <c r="K448" i="8"/>
  <c r="K450" i="8" s="1"/>
  <c r="K452" i="8" s="1"/>
  <c r="I71" i="1"/>
  <c r="K403" i="8"/>
  <c r="K405" i="8" s="1"/>
  <c r="W761" i="8"/>
  <c r="I43" i="1"/>
  <c r="K806" i="8"/>
  <c r="P32" i="1"/>
  <c r="G510" i="8"/>
  <c r="N32" i="1" s="1"/>
  <c r="K49" i="1"/>
  <c r="I87" i="1"/>
  <c r="Q31" i="1"/>
  <c r="K31" i="1"/>
  <c r="K55" i="1"/>
  <c r="K63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80" i="8"/>
  <c r="N23" i="1" s="1"/>
  <c r="P51" i="1"/>
  <c r="G330" i="8"/>
  <c r="N51" i="1" s="1"/>
  <c r="G771" i="8"/>
  <c r="Y775" i="8"/>
  <c r="G773" i="8" s="1"/>
  <c r="G649" i="8"/>
  <c r="P42" i="1" s="1"/>
  <c r="G647" i="8"/>
  <c r="N42" i="1" s="1"/>
  <c r="P86" i="1"/>
  <c r="G741" i="8"/>
  <c r="N86" i="1" s="1"/>
  <c r="Q61" i="1"/>
  <c r="K61" i="1"/>
  <c r="U708" i="8"/>
  <c r="Y729" i="8"/>
  <c r="G727" i="8" s="1"/>
  <c r="G725" i="8"/>
  <c r="Y683" i="8"/>
  <c r="I57" i="1" l="1"/>
  <c r="R304" i="8"/>
  <c r="K317" i="8"/>
  <c r="Q57" i="1" s="1"/>
  <c r="K57" i="1"/>
  <c r="K709" i="8"/>
  <c r="K70" i="1" s="1"/>
  <c r="I70" i="1"/>
  <c r="W789" i="8"/>
  <c r="C242" i="8"/>
  <c r="I238" i="8" s="1"/>
  <c r="AB132" i="8"/>
  <c r="Y301" i="8"/>
  <c r="U302" i="8" s="1"/>
  <c r="K618" i="8"/>
  <c r="Q41" i="1" s="1"/>
  <c r="K74" i="1"/>
  <c r="K407" i="8"/>
  <c r="K152" i="8"/>
  <c r="Q77" i="1" s="1"/>
  <c r="U102" i="8"/>
  <c r="W102" i="8" s="1"/>
  <c r="Y102" i="8" s="1"/>
  <c r="U103" i="8" s="1"/>
  <c r="I86" i="1"/>
  <c r="K86" i="1"/>
  <c r="Q86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71" i="1"/>
  <c r="Q63" i="1"/>
  <c r="Q65" i="1"/>
  <c r="K65" i="1"/>
  <c r="I65" i="1"/>
  <c r="Q44" i="1"/>
  <c r="I15" i="1"/>
  <c r="K60" i="1"/>
  <c r="Q60" i="1"/>
  <c r="K48" i="1"/>
  <c r="Q48" i="1"/>
  <c r="Q56" i="1"/>
  <c r="K72" i="1"/>
  <c r="K43" i="1"/>
  <c r="K665" i="8"/>
  <c r="Q43" i="1" s="1"/>
  <c r="K24" i="1"/>
  <c r="Q49" i="1"/>
  <c r="K37" i="1"/>
  <c r="I37" i="1"/>
  <c r="Q59" i="1"/>
  <c r="K73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61" i="8"/>
  <c r="G758" i="8" s="1"/>
  <c r="G756" i="8"/>
  <c r="K418" i="8"/>
  <c r="K420" i="8" s="1"/>
  <c r="K422" i="8" s="1"/>
  <c r="Q87" i="1"/>
  <c r="I76" i="1"/>
  <c r="K51" i="1"/>
  <c r="K76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7" i="1"/>
  <c r="K90" i="1"/>
  <c r="Q90" i="1"/>
  <c r="I90" i="1"/>
  <c r="Q72" i="1"/>
  <c r="Q38" i="1"/>
  <c r="Q55" i="1"/>
  <c r="K23" i="1"/>
  <c r="I40" i="1"/>
  <c r="K40" i="1"/>
  <c r="Q40" i="1"/>
  <c r="W708" i="8"/>
  <c r="Y222" i="8"/>
  <c r="W684" i="8"/>
  <c r="Y684" i="8" s="1"/>
  <c r="Q33" i="1"/>
  <c r="K41" i="1"/>
  <c r="C302" i="8" l="1"/>
  <c r="I298" i="8" s="1"/>
  <c r="I62" i="1"/>
  <c r="K711" i="8"/>
  <c r="Q70" i="1" s="1"/>
  <c r="W302" i="8"/>
  <c r="Y302" i="8" s="1"/>
  <c r="U303" i="8" s="1"/>
  <c r="U242" i="8"/>
  <c r="W242" i="8" s="1"/>
  <c r="Y242" i="8" s="1"/>
  <c r="Y789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6" i="1"/>
  <c r="Q23" i="1"/>
  <c r="D48" i="1"/>
  <c r="W43" i="8"/>
  <c r="Y43" i="8" s="1"/>
  <c r="U44" i="8" s="1"/>
  <c r="I39" i="1"/>
  <c r="K58" i="8"/>
  <c r="K60" i="8" s="1"/>
  <c r="K62" i="8" s="1"/>
  <c r="Q71" i="1"/>
  <c r="Q24" i="1"/>
  <c r="P61" i="1"/>
  <c r="Q74" i="1"/>
  <c r="K568" i="8"/>
  <c r="K570" i="8" s="1"/>
  <c r="K572" i="8" s="1"/>
  <c r="Q73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71" i="1"/>
  <c r="G694" i="8"/>
  <c r="N71" i="1" s="1"/>
  <c r="K75" i="1"/>
  <c r="Q75" i="1"/>
  <c r="G448" i="8"/>
  <c r="L24" i="1" s="1"/>
  <c r="D90" i="1"/>
  <c r="U679" i="8"/>
  <c r="W679" i="8" s="1"/>
  <c r="Y679" i="8" s="1"/>
  <c r="Y708" i="8"/>
  <c r="U709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80" i="8"/>
  <c r="W680" i="8" s="1"/>
  <c r="K92" i="8"/>
  <c r="Q69" i="1" s="1"/>
  <c r="Q78" i="1" s="1"/>
  <c r="Q15" i="1"/>
  <c r="S17" i="1" s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8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S66" i="1" s="1"/>
  <c r="Q45" i="1"/>
  <c r="T49" i="1" s="1"/>
  <c r="E99" i="1"/>
  <c r="U304" i="8"/>
  <c r="K62" i="1"/>
  <c r="K242" i="8"/>
  <c r="Q62" i="1" s="1"/>
  <c r="R59" i="1" s="1"/>
  <c r="W790" i="8"/>
  <c r="K47" i="1"/>
  <c r="K52" i="1" s="1"/>
  <c r="K392" i="8"/>
  <c r="Q47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709" i="8"/>
  <c r="Y223" i="8"/>
  <c r="Q52" i="1" l="1"/>
  <c r="S51" i="1"/>
  <c r="K66" i="1"/>
  <c r="E101" i="1"/>
  <c r="S24" i="1"/>
  <c r="W304" i="8"/>
  <c r="S60" i="1"/>
  <c r="Y790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4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709" i="8"/>
  <c r="U710" i="8" s="1"/>
  <c r="U224" i="8"/>
  <c r="Y304" i="8" l="1"/>
  <c r="U791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4" i="1"/>
  <c r="G405" i="8"/>
  <c r="N74" i="1" s="1"/>
  <c r="G523" i="8"/>
  <c r="L30" i="1" s="1"/>
  <c r="G677" i="8"/>
  <c r="L55" i="1" s="1"/>
  <c r="W224" i="8"/>
  <c r="U305" i="8" l="1"/>
  <c r="U289" i="8"/>
  <c r="W289" i="8" s="1"/>
  <c r="Y289" i="8" s="1"/>
  <c r="U290" i="8" s="1"/>
  <c r="W791" i="8"/>
  <c r="G785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5" i="1" s="1"/>
  <c r="P49" i="1"/>
  <c r="G360" i="8"/>
  <c r="N49" i="1" s="1"/>
  <c r="G268" i="8"/>
  <c r="L59" i="1" s="1"/>
  <c r="P30" i="1"/>
  <c r="G525" i="8"/>
  <c r="N30" i="1" s="1"/>
  <c r="W244" i="8"/>
  <c r="Y244" i="8" s="1"/>
  <c r="P55" i="1"/>
  <c r="G679" i="8"/>
  <c r="N55" i="1" s="1"/>
  <c r="W710" i="8"/>
  <c r="Y224" i="8"/>
  <c r="U225" i="8" s="1"/>
  <c r="W305" i="8" l="1"/>
  <c r="G298" i="8"/>
  <c r="L58" i="1" s="1"/>
  <c r="U49" i="8"/>
  <c r="W49" i="8" s="1"/>
  <c r="U214" i="8"/>
  <c r="U199" i="8"/>
  <c r="W199" i="8" s="1"/>
  <c r="Y199" i="8" s="1"/>
  <c r="U200" i="8" s="1"/>
  <c r="Y791" i="8"/>
  <c r="G789" i="8" s="1"/>
  <c r="G787" i="8"/>
  <c r="W109" i="8"/>
  <c r="Y109" i="8" s="1"/>
  <c r="U110" i="8" s="1"/>
  <c r="Y435" i="8"/>
  <c r="P69" i="1"/>
  <c r="W169" i="8"/>
  <c r="Y169" i="8" s="1"/>
  <c r="U170" i="8" s="1"/>
  <c r="G818" i="8"/>
  <c r="L90" i="1" s="1"/>
  <c r="G614" i="8"/>
  <c r="L41" i="1" s="1"/>
  <c r="G313" i="8"/>
  <c r="L57" i="1" s="1"/>
  <c r="G599" i="8"/>
  <c r="L60" i="1" s="1"/>
  <c r="P59" i="1"/>
  <c r="G270" i="8"/>
  <c r="N59" i="1" s="1"/>
  <c r="P75" i="1"/>
  <c r="G420" i="8"/>
  <c r="N75" i="1" s="1"/>
  <c r="W245" i="8"/>
  <c r="G238" i="8"/>
  <c r="L62" i="1" s="1"/>
  <c r="G133" i="8"/>
  <c r="L38" i="1" s="1"/>
  <c r="Y710" i="8"/>
  <c r="U711" i="8" s="1"/>
  <c r="Y305" i="8" l="1"/>
  <c r="G302" i="8" s="1"/>
  <c r="P58" i="1" s="1"/>
  <c r="G300" i="8"/>
  <c r="N58" i="1" s="1"/>
  <c r="Y49" i="8"/>
  <c r="U50" i="8" s="1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76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22" i="8"/>
  <c r="P90" i="1" s="1"/>
  <c r="G820" i="8"/>
  <c r="N90" i="1" s="1"/>
  <c r="Y245" i="8"/>
  <c r="G240" i="8"/>
  <c r="N62" i="1" s="1"/>
  <c r="P38" i="1"/>
  <c r="G135" i="8"/>
  <c r="N38" i="1" s="1"/>
  <c r="W225" i="8"/>
  <c r="G242" i="8" l="1"/>
  <c r="P62" i="1" s="1"/>
  <c r="G195" i="8"/>
  <c r="N76" i="1" s="1"/>
  <c r="G197" i="8"/>
  <c r="P76" i="1" s="1"/>
  <c r="G167" i="8"/>
  <c r="P37" i="1" s="1"/>
  <c r="W50" i="8"/>
  <c r="U379" i="8"/>
  <c r="W110" i="8"/>
  <c r="G103" i="8"/>
  <c r="L17" i="1" s="1"/>
  <c r="G283" i="8"/>
  <c r="L56" i="1" s="1"/>
  <c r="Y214" i="8"/>
  <c r="U215" i="8" s="1"/>
  <c r="G208" i="8" s="1"/>
  <c r="L44" i="1" s="1"/>
  <c r="W65" i="8"/>
  <c r="L87" i="1"/>
  <c r="W436" i="8"/>
  <c r="W711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711" i="8"/>
  <c r="U712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U125" i="8" s="1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712" i="8"/>
  <c r="W228" i="8" l="1"/>
  <c r="Y228" i="8" s="1"/>
  <c r="U229" i="8" s="1"/>
  <c r="W125" i="8"/>
  <c r="G118" i="8"/>
  <c r="L72" i="1" s="1"/>
  <c r="Y712" i="8"/>
  <c r="U713" i="8" s="1"/>
  <c r="W713" i="8" s="1"/>
  <c r="Y125" i="8" l="1"/>
  <c r="G120" i="8"/>
  <c r="N72" i="1" s="1"/>
  <c r="G122" i="8" l="1"/>
  <c r="P72" i="1" s="1"/>
  <c r="Y713" i="8"/>
  <c r="U714" i="8" l="1"/>
  <c r="W714" i="8" s="1"/>
  <c r="G707" i="8"/>
  <c r="L70" i="1" s="1"/>
  <c r="G709" i="8" l="1"/>
  <c r="N70" i="1" s="1"/>
  <c r="Y714" i="8"/>
  <c r="G711" i="8" s="1"/>
  <c r="P70" i="1" s="1"/>
  <c r="W229" i="8"/>
  <c r="W549" i="8"/>
  <c r="Y549" i="8" s="1"/>
  <c r="Y229" i="8" l="1"/>
  <c r="U230" i="8" s="1"/>
  <c r="W439" i="8"/>
  <c r="W550" i="8"/>
  <c r="Y550" i="8" s="1"/>
  <c r="Y439" i="8" l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G435" i="8"/>
  <c r="N26" i="1" s="1"/>
  <c r="Y555" i="8"/>
  <c r="G437" i="8" l="1"/>
  <c r="P26" i="1" s="1"/>
  <c r="U556" i="8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3" i="1" s="1"/>
  <c r="Y560" i="8" l="1"/>
  <c r="G555" i="8"/>
  <c r="N73" i="1" s="1"/>
  <c r="G557" i="8" l="1"/>
  <c r="P73" i="1" s="1"/>
  <c r="P18" i="1"/>
  <c r="N18" i="1"/>
  <c r="E16" i="1"/>
  <c r="E20" i="1" s="1"/>
  <c r="E80" i="1" s="1"/>
  <c r="J16" i="1"/>
  <c r="J20" i="1" s="1"/>
  <c r="J80" i="1" s="1"/>
  <c r="K16" i="1" l="1"/>
  <c r="K20" i="1" s="1"/>
  <c r="R1" i="8" l="1"/>
  <c r="Q16" i="1" l="1"/>
  <c r="Q20" i="1" s="1"/>
  <c r="Q80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W154" i="8" l="1"/>
  <c r="Y154" i="8" l="1"/>
  <c r="U155" i="8" s="1"/>
  <c r="G148" i="8" s="1"/>
  <c r="L77" i="1" s="1"/>
  <c r="W155" i="8" l="1"/>
  <c r="Y155" i="8" l="1"/>
  <c r="G150" i="8"/>
  <c r="N77" i="1" s="1"/>
  <c r="Q13" i="12"/>
  <c r="P13" i="12"/>
  <c r="P16" i="12" s="1"/>
  <c r="G152" i="8" l="1"/>
  <c r="P77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E107" i="1"/>
  <c r="G104" i="1" s="1"/>
  <c r="W499" i="8" l="1"/>
  <c r="Y499" i="8" l="1"/>
  <c r="D88" i="1"/>
  <c r="U500" i="8" l="1"/>
  <c r="D87" i="1"/>
  <c r="D60" i="1"/>
  <c r="G493" i="8" l="1"/>
  <c r="L31" i="1" s="1"/>
  <c r="L80" i="1" s="1"/>
  <c r="W500" i="8"/>
  <c r="Y500" i="8" l="1"/>
  <c r="G497" i="8" s="1"/>
  <c r="P31" i="1" s="1"/>
  <c r="P80" i="1" s="1"/>
  <c r="G495" i="8"/>
  <c r="N31" i="1" s="1"/>
  <c r="N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<sst xmlns="http://schemas.openxmlformats.org/spreadsheetml/2006/main" count="3385" uniqueCount="230">
  <si>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</si>
  <si>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</si>
  <si>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</si>
  <si>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</si>
  <si>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</si>
  <si>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</si>
  <si>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</si>
  <si>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</si>
  <si>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</si>
  <si>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</si>
  <si>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</si>
  <si>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</si>
  <si>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</si>
  <si>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</si>
  <si>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</si>
  <si>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</si>
  <si>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</si>
  <si>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</si>
  <si>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</si>
  <si>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</si>
  <si>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</si>
  <si>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</si>
  <si>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</si>
  <si>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</si>
  <si>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</si>
  <si>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</si>
  <si>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</si>
  <si>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</si>
  <si>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</si>
  <si>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</si>
  <si>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</si>
  <si>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</si>
  <si>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</si>
  <si>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</si>
  <si>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</si>
  <si>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</si>
  <si>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</si>
  <si>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</si>
  <si>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</si>
  <si>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</si>
  <si>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</si>
  <si>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</si>
  <si>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</si>
  <si>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</si>
  <si>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</si>
  <si>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</si>
  <si>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</si>
  <si>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</si>
  <si>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</si>
  <si>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</si>
  <si>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</si>
  <si>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</si>
  <si>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</si>
  <si>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</si>
  <si>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</si>
  <si>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</si>
  <si>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</si>
  <si>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</si>
  <si>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</si>
  <si>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</si>
  <si>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</si>
  <si>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</si>
  <si>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</si>
  <si>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</si>
  <si>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</si>
  <si>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</si>
  <si>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</si>
  <si>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</si>
  <si>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</si>
  <si>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</si>
  <si>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</si>
  <si>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</si>
  <si>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</si>
  <si>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</si>
  <si>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</si>
  <si>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</si>
  <si>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</si>
  <si>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</si>
  <si>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</si>
  <si>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</si>
  <si>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</si>
  <si>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</si>
  <si>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</si>
  <si>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</si>
  <si>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</si>
  <si>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</si>
  <si>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</si>
  <si>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</si>
  <si>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</si>
  <si>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</si>
  <si>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</si>
  <si>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</si>
  <si>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</si>
  <si>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</si>
  <si>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</si>
  <si>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</si>
  <si>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</si>
  <si>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</si>
  <si>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</si>
  <si>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</si>
  <si>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</si>
  <si>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</si>
  <si>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</si>
  <si>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</si>
  <si>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</si>
  <si>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</si>
  <si>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</si>
  <si>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</si>
  <si>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</si>
  <si>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</si>
  <si>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</si>
  <si>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</si>
  <si>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</si>
  <si>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</si>
  <si>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</si>
  <si>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</si>
  <si>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</si>
  <si>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</si>
  <si>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</si>
  <si>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</si>
  <si>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</si>
  <si>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</si>
  <si>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</si>
  <si>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</si>
  <si>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</si>
  <si>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</si>
  <si>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</si>
  <si>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</si>
  <si>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</si>
  <si>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</si>
  <si>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</si>
  <si>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</si>
  <si>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</si>
  <si>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</si>
  <si>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</si>
  <si>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</si>
  <si>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</si>
  <si>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</si>
  <si>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</si>
  <si>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</si>
  <si>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</si>
  <si>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</si>
  <si>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</si>
  <si>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</si>
  <si>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</si>
  <si>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</si>
  <si>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</si>
  <si>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</si>
  <si>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</si>
  <si>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</si>
  <si>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</si>
  <si>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</si>
  <si>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</si>
  <si>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</si>
  <si>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</si>
  <si>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</si>
  <si>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</si>
  <si>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</si>
  <si>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</si>
  <si>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</si>
  <si>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</si>
  <si>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</si>
  <si>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</si>
  <si>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</si>
  <si>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</si>
  <si>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</si>
  <si>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</si>
  <si>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</si>
  <si>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</si>
  <si>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</si>
  <si>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</si>
  <si>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</si>
  <si>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</si>
  <si>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</si>
  <si>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</si>
  <si>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</si>
  <si>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</si>
  <si>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</si>
  <si>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</si>
  <si>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</si>
  <si>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</si>
  <si>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</si>
  <si>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</si>
  <si>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</si>
  <si>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</si>
  <si>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</si>
  <si>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</si>
  <si>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</si>
  <si>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</si>
  <si>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</si>
  <si>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</si>
  <si>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</si>
  <si>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</si>
  <si>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</si>
  <si>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</si>
  <si>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</si>
  <si>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</si>
  <si>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</si>
  <si>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</si>
  <si>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</si>
  <si>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</si>
  <si>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</si>
  <si>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</si>
  <si>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</si>
  <si>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</si>
  <si>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</si>
  <si>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</si>
  <si>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</si>
  <si>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</si>
  <si>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</si>
  <si>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</si>
  <si>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</si>
  <si>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</si>
  <si>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</si>
  <si>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</si>
  <si>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</si>
  <si>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</si>
  <si>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</si>
  <si>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</si>
  <si>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</si>
  <si>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</si>
  <si>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</si>
  <si>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</si>
  <si>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</si>
  <si>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December</t>
  </si>
  <si>
    <t>Abbas</t>
  </si>
  <si>
    <t>Sami</t>
  </si>
  <si>
    <t>Adil</t>
  </si>
  <si>
    <t>5 leaves will be deduct in annual leaves in next year</t>
  </si>
  <si>
    <t>M.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</si>
</sst>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4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30" zoomScaleNormal="90" zoomScaleSheetLayoutView="130" workbookViewId="0">
      <pane ySplit="3" topLeftCell="A61" activePane="bottomLeft" state="frozen"/>
      <selection pane="bottomLeft" activeCell="R66" sqref="R66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60" t="s">
        <v>78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58" t="str">
        <f>'Salary Record'!J1</f>
        <v>December</v>
      </c>
      <c r="O1" s="358"/>
      <c r="P1" s="358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62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59"/>
      <c r="O2" s="359"/>
      <c r="P2" s="359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69" t="s">
        <v>86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1"/>
      <c r="R6" s="81"/>
    </row>
    <row r="7" spans="1:20" s="123" customFormat="1" ht="15.75" x14ac:dyDescent="0.2">
      <c r="A7" s="212">
        <v>1</v>
      </c>
      <c r="B7" s="177" t="s">
        <v>16</v>
      </c>
      <c r="C7" s="375" t="s">
        <v>34</v>
      </c>
      <c r="D7" s="378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76"/>
      <c r="D8" s="379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76"/>
      <c r="D9" s="379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77"/>
      <c r="D10" s="380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81" t="s">
        <v>2</v>
      </c>
      <c r="B11" s="382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72" t="s">
        <v>87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80000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213</v>
      </c>
      <c r="C15" s="126"/>
      <c r="D15" s="127"/>
      <c r="E15" s="67">
        <f>'Salary Record'!K54</f>
        <v>47000</v>
      </c>
      <c r="F15" s="67">
        <f>'Salary Record'!C60</f>
        <v>31</v>
      </c>
      <c r="G15" s="184">
        <f>'Salary Record'!C61</f>
        <v>0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46516.129032258068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1501697.5806451612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27</v>
      </c>
      <c r="G17" s="186">
        <f>'Salary Record'!C106</f>
        <v>4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S17" s="122">
        <f>Q14+Q15+Q17+Q38</f>
        <v>199774.19354838709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81" t="s">
        <v>2</v>
      </c>
      <c r="B20" s="382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267516.12903225806</v>
      </c>
      <c r="L20" s="233"/>
      <c r="M20" s="232"/>
      <c r="N20" s="232"/>
      <c r="O20" s="232"/>
      <c r="P20" s="232"/>
      <c r="Q20" s="234">
        <f>SUM(Q14:Q19)</f>
        <v>260016.12903225806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69" t="s">
        <v>91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1"/>
      <c r="R22" s="159"/>
      <c r="S22" s="165"/>
      <c r="T22" s="161"/>
    </row>
    <row r="23" spans="1:22" s="326" customFormat="1" ht="20.25" customHeight="1" x14ac:dyDescent="0.2">
      <c r="A23" s="213">
        <v>1</v>
      </c>
      <c r="B23" s="34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31</v>
      </c>
      <c r="G23" s="200">
        <f>'Salary Record'!C481</f>
        <v>0</v>
      </c>
      <c r="H23" s="199">
        <f>'Salary Record'!I479</f>
        <v>28</v>
      </c>
      <c r="I23" s="199">
        <f>'Salary Record'!I478</f>
        <v>31</v>
      </c>
      <c r="J23" s="173">
        <f>'Salary Record'!K479</f>
        <v>3556.4516129032259</v>
      </c>
      <c r="K23" s="199">
        <f>'Salary Record'!K480</f>
        <v>35056.451612903227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35056.451612903227</v>
      </c>
      <c r="R23" s="325" t="s">
        <v>126</v>
      </c>
      <c r="T23" s="327"/>
    </row>
    <row r="24" spans="1:22" s="337" customFormat="1" ht="20.25" customHeight="1" x14ac:dyDescent="0.2">
      <c r="A24" s="328">
        <v>2</v>
      </c>
      <c r="B24" s="177" t="str">
        <f>'Salary Record'!C445</f>
        <v>Hassan Khan</v>
      </c>
      <c r="C24" s="59"/>
      <c r="D24" s="54"/>
      <c r="E24" s="329">
        <f>'Salary Record'!K444</f>
        <v>26500</v>
      </c>
      <c r="F24" s="329">
        <f>'Salary Record'!C450</f>
        <v>31</v>
      </c>
      <c r="G24" s="330">
        <f>'Salary Record'!C451</f>
        <v>0</v>
      </c>
      <c r="H24" s="329">
        <f>'Salary Record'!I449</f>
        <v>71</v>
      </c>
      <c r="I24" s="329">
        <f>'Salary Record'!I448</f>
        <v>31</v>
      </c>
      <c r="J24" s="330">
        <f>'Salary Record'!K449</f>
        <v>7586.6935483870975</v>
      </c>
      <c r="K24" s="331">
        <f>'Salary Record'!K450</f>
        <v>34086.693548387098</v>
      </c>
      <c r="L24" s="245">
        <f>'Salary Record'!G448</f>
        <v>0</v>
      </c>
      <c r="M24" s="332">
        <f>'Salary Record'!G449</f>
        <v>0</v>
      </c>
      <c r="N24" s="333">
        <f>'Salary Record'!G450</f>
        <v>0</v>
      </c>
      <c r="O24" s="332">
        <f>'Salary Record'!G451</f>
        <v>0</v>
      </c>
      <c r="P24" s="333">
        <f>'Salary Record'!G452</f>
        <v>0</v>
      </c>
      <c r="Q24" s="185">
        <f>'Salary Record'!K452</f>
        <v>34086.693548387098</v>
      </c>
      <c r="R24" s="334"/>
      <c r="S24" s="335">
        <f>65000+Q27+30000</f>
        <v>230034.27419354839</v>
      </c>
      <c r="T24" s="336"/>
    </row>
    <row r="25" spans="1:22" s="338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29</v>
      </c>
      <c r="G25" s="184">
        <f>'Salary Record'!C466</f>
        <v>2</v>
      </c>
      <c r="H25" s="67">
        <f>'Salary Record'!I464</f>
        <v>12</v>
      </c>
      <c r="I25" s="67">
        <f>'Salary Record'!I463</f>
        <v>29</v>
      </c>
      <c r="J25" s="184">
        <f>'Salary Record'!K464</f>
        <v>1548.3870967741937</v>
      </c>
      <c r="K25" s="180">
        <f>'Salary Record'!K465</f>
        <v>31483.870967741936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31483.870967741936</v>
      </c>
      <c r="R25" s="325"/>
      <c r="T25" s="339"/>
    </row>
    <row r="26" spans="1:22" s="338" customFormat="1" ht="20.25" customHeight="1" x14ac:dyDescent="0.2">
      <c r="A26" s="328">
        <v>4</v>
      </c>
      <c r="B26" s="341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31</v>
      </c>
      <c r="G26" s="246">
        <f>'Salary Record'!C436</f>
        <v>0</v>
      </c>
      <c r="H26" s="67">
        <f>'Salary Record'!I434</f>
        <v>74</v>
      </c>
      <c r="I26" s="181">
        <f>'Salary Record'!I433</f>
        <v>31</v>
      </c>
      <c r="J26" s="180">
        <f>'Salary Record'!K434</f>
        <v>7907.2580645161297</v>
      </c>
      <c r="K26" s="67">
        <f>'Salary Record'!K435</f>
        <v>34407.258064516129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34407.258064516129</v>
      </c>
      <c r="R26" s="325"/>
      <c r="T26" s="339"/>
      <c r="V26" s="325"/>
    </row>
    <row r="27" spans="1:22" s="208" customFormat="1" ht="21" x14ac:dyDescent="0.3">
      <c r="A27" s="381" t="s">
        <v>2</v>
      </c>
      <c r="B27" s="382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20598.790322580648</v>
      </c>
      <c r="K27" s="243">
        <f>SUM(K23:K26)</f>
        <v>135034.27419354839</v>
      </c>
      <c r="L27" s="232"/>
      <c r="M27" s="232"/>
      <c r="N27" s="232"/>
      <c r="O27" s="232"/>
      <c r="P27" s="232"/>
      <c r="Q27" s="206">
        <f>SUM(Q23:Q26)</f>
        <v>135034.27419354839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72" t="s">
        <v>90</v>
      </c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4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31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31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31774.193548387098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1</v>
      </c>
      <c r="H32" s="202">
        <f>'Salary Record'!I509</f>
        <v>8</v>
      </c>
      <c r="I32" s="202">
        <f>'Salary Record'!I508</f>
        <v>30</v>
      </c>
      <c r="J32" s="180">
        <f>'Salary Record'!K509</f>
        <v>1209.6774193548388</v>
      </c>
      <c r="K32" s="67">
        <f>'Salary Record'!K510</f>
        <v>37500.000000000007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37500.000000000007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28645.161290322583</v>
      </c>
      <c r="R33" s="80"/>
      <c r="S33" s="122"/>
    </row>
    <row r="34" spans="1:24" s="208" customFormat="1" ht="21" x14ac:dyDescent="0.3">
      <c r="A34" s="381" t="s">
        <v>2</v>
      </c>
      <c r="B34" s="382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138701.61290322582</v>
      </c>
      <c r="L34" s="232"/>
      <c r="M34" s="232"/>
      <c r="N34" s="232"/>
      <c r="O34" s="232"/>
      <c r="P34" s="232"/>
      <c r="Q34" s="206">
        <f>SUM(Q30:Q33)</f>
        <v>131701.61290322582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83" t="s">
        <v>33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5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3</v>
      </c>
      <c r="H37" s="184">
        <f>'Salary Record'!I164</f>
        <v>12</v>
      </c>
      <c r="I37" s="184">
        <f>'Salary Record'!I163</f>
        <v>31</v>
      </c>
      <c r="J37" s="321">
        <f>'Salary Record'!K164</f>
        <v>2903.2258064516127</v>
      </c>
      <c r="K37" s="180">
        <f>'Salary Record'!K165</f>
        <v>62903.225806451614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57903.225806451614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30</v>
      </c>
      <c r="G38" s="184">
        <f>'Salary Record'!C136</f>
        <v>1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48" t="s">
        <v>4</v>
      </c>
      <c r="C39" s="135"/>
      <c r="D39" s="136"/>
      <c r="E39" s="184">
        <f>'Salary Record'!K564</f>
        <v>35000</v>
      </c>
      <c r="F39" s="184">
        <f>'Salary Record'!C570</f>
        <v>31</v>
      </c>
      <c r="G39" s="184">
        <f>'Salary Record'!C571</f>
        <v>0</v>
      </c>
      <c r="H39" s="184">
        <f>'Salary Record'!I569</f>
        <v>51</v>
      </c>
      <c r="I39" s="184">
        <f>'Salary Record'!I568</f>
        <v>31</v>
      </c>
      <c r="J39" s="321">
        <f>'Salary Record'!K569</f>
        <v>7197.5806451612898</v>
      </c>
      <c r="K39" s="67">
        <f>'Salary Record'!K570</f>
        <v>42197.580645161288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37197.580645161288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6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2</v>
      </c>
      <c r="H40" s="181">
        <f>'Salary Record'!I179</f>
        <v>0</v>
      </c>
      <c r="I40" s="181">
        <f>'Salary Record'!I178</f>
        <v>31</v>
      </c>
      <c r="J40" s="180">
        <f>'Salary Record'!K179</f>
        <v>0</v>
      </c>
      <c r="K40" s="180">
        <f>'Salary Record'!K180</f>
        <v>50000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43000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6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31</v>
      </c>
      <c r="G41" s="184">
        <f>'Salary Record'!C617</f>
        <v>0</v>
      </c>
      <c r="H41" s="205">
        <f>'Salary Record'!I615</f>
        <v>11</v>
      </c>
      <c r="I41" s="205">
        <f>'Salary Record'!I614</f>
        <v>31</v>
      </c>
      <c r="J41" s="180">
        <f>'Salary Record'!K615</f>
        <v>1330.6451612903227</v>
      </c>
      <c r="K41" s="180">
        <f>'Salary Record'!K616</f>
        <v>31330.645161290322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31330.645161290322</v>
      </c>
      <c r="R41" s="122"/>
      <c r="T41" s="124"/>
    </row>
    <row r="42" spans="1:24" s="123" customFormat="1" ht="21" customHeight="1" x14ac:dyDescent="0.2">
      <c r="A42" s="213">
        <v>6</v>
      </c>
      <c r="B42" s="349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4000</v>
      </c>
      <c r="N42" s="198">
        <f>'Salary Record'!G647</f>
        <v>11000</v>
      </c>
      <c r="O42" s="67">
        <f>'Salary Record'!G648</f>
        <v>7000</v>
      </c>
      <c r="P42" s="198">
        <f>'Salary Record'!G649</f>
        <v>4000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45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29</v>
      </c>
      <c r="G43" s="18">
        <f>'Salary Record'!C664</f>
        <v>2</v>
      </c>
      <c r="H43" s="9">
        <f>'Salary Record'!I662</f>
        <v>45</v>
      </c>
      <c r="I43" s="9">
        <f>'Salary Record'!I661</f>
        <v>29</v>
      </c>
      <c r="J43" s="44">
        <f>'Salary Record'!K662</f>
        <v>3991.9354838709673</v>
      </c>
      <c r="K43" s="44">
        <f>'Salary Record'!K663</f>
        <v>24572.580645161288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24572.580645161288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4</v>
      </c>
      <c r="H44" s="181">
        <f>'Salary Record'!I209</f>
        <v>0</v>
      </c>
      <c r="I44" s="181">
        <f>'Salary Record'!I208</f>
        <v>27</v>
      </c>
      <c r="J44" s="193">
        <f>'Salary Record'!K209</f>
        <v>0</v>
      </c>
      <c r="K44" s="193">
        <f>'Salary Record'!K210</f>
        <v>22645.161290322583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14645.161290322583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81" t="s">
        <v>2</v>
      </c>
      <c r="B45" s="382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21129.032258064515</v>
      </c>
      <c r="K45" s="234">
        <f>SUM(K37:K44)</f>
        <v>319354.83870967745</v>
      </c>
      <c r="L45" s="232"/>
      <c r="M45" s="232"/>
      <c r="N45" s="232"/>
      <c r="O45" s="232"/>
      <c r="P45" s="232"/>
      <c r="Q45" s="206">
        <f>SUM(Q37:Q44)</f>
        <v>287354.83870967745</v>
      </c>
      <c r="R45" s="207"/>
      <c r="T45" s="209"/>
    </row>
    <row r="46" spans="1:24" s="160" customFormat="1" ht="21" customHeight="1" x14ac:dyDescent="0.2">
      <c r="A46" s="369" t="s">
        <v>88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1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31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24411.290322580644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48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31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Q45-Q72-Q38</f>
        <v>214096.77419354842</v>
      </c>
    </row>
    <row r="50" spans="1:23" s="123" customFormat="1" ht="21" customHeight="1" x14ac:dyDescent="0.2">
      <c r="A50" s="213">
        <v>4</v>
      </c>
      <c r="B50" s="346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15</v>
      </c>
      <c r="G50" s="186">
        <f>'Salary Record'!C376</f>
        <v>16</v>
      </c>
      <c r="H50" s="181">
        <f>'Salary Record'!I374</f>
        <v>0</v>
      </c>
      <c r="I50" s="181">
        <f>'Salary Record'!I373</f>
        <v>15</v>
      </c>
      <c r="J50" s="180">
        <f>'Salary Record'!K374</f>
        <v>0</v>
      </c>
      <c r="K50" s="67">
        <f>'Salary Record'!K375</f>
        <v>13548.387096774193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13548.387096774193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27000</v>
      </c>
      <c r="F51" s="182">
        <f>'Salary Record'!C330</f>
        <v>31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12411.290322580646</v>
      </c>
      <c r="K51" s="184">
        <f>'Salary Record'!K330</f>
        <v>39411.290322580644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37411.290322580644</v>
      </c>
      <c r="R51" s="122" t="s">
        <v>139</v>
      </c>
      <c r="S51" s="249">
        <f>Q50+Q49+Q48+Q47</f>
        <v>107576.61290322579</v>
      </c>
      <c r="T51" s="130"/>
    </row>
    <row r="52" spans="1:23" s="208" customFormat="1" ht="21" x14ac:dyDescent="0.3">
      <c r="A52" s="381" t="s">
        <v>2</v>
      </c>
      <c r="B52" s="382"/>
      <c r="C52" s="232"/>
      <c r="D52" s="232"/>
      <c r="E52" s="234">
        <f>SUM(E47:E51)</f>
        <v>142000</v>
      </c>
      <c r="F52" s="232"/>
      <c r="G52" s="232"/>
      <c r="H52" s="232"/>
      <c r="I52" s="232"/>
      <c r="J52" s="234">
        <f>SUM(J47:J51)</f>
        <v>21439.516129032258</v>
      </c>
      <c r="K52" s="234">
        <f>SUM(K47:K51)</f>
        <v>148987.90322580645</v>
      </c>
      <c r="L52" s="232"/>
      <c r="M52" s="232"/>
      <c r="N52" s="232"/>
      <c r="O52" s="232"/>
      <c r="P52" s="232"/>
      <c r="Q52" s="206">
        <f>SUM(Q47:Q51)</f>
        <v>144987.90322580645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69" t="s">
        <v>89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1"/>
      <c r="R54" s="170"/>
      <c r="S54" s="165"/>
      <c r="T54" s="161"/>
      <c r="W54" s="165"/>
    </row>
    <row r="55" spans="1:23" ht="18" customHeight="1" x14ac:dyDescent="0.25">
      <c r="A55" s="213">
        <v>1</v>
      </c>
      <c r="B55" s="344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31</v>
      </c>
      <c r="G55" s="17">
        <f>'Salary Record'!C680</f>
        <v>0</v>
      </c>
      <c r="H55" s="17">
        <f>'Salary Record'!I678</f>
        <v>0</v>
      </c>
      <c r="I55" s="17">
        <f>'Salary Record'!I677</f>
        <v>31</v>
      </c>
      <c r="J55" s="13">
        <f>'Salary Record'!K678</f>
        <v>0</v>
      </c>
      <c r="K55" s="13">
        <f>'Salary Record'!K679</f>
        <v>170000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170000</v>
      </c>
      <c r="R55" s="80"/>
    </row>
    <row r="56" spans="1:23" s="123" customFormat="1" ht="18" customHeight="1" x14ac:dyDescent="0.2">
      <c r="A56" s="213">
        <v>2</v>
      </c>
      <c r="B56" s="344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29</v>
      </c>
      <c r="G56" s="184">
        <f>'Salary Record'!C286</f>
        <v>2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31411.290322580644</v>
      </c>
      <c r="R56" s="122"/>
      <c r="T56" s="124"/>
    </row>
    <row r="57" spans="1:23" ht="18" customHeight="1" x14ac:dyDescent="0.25">
      <c r="A57" s="213">
        <v>3</v>
      </c>
      <c r="B57" s="344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31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42302.419354838712</v>
      </c>
      <c r="R57" s="80"/>
      <c r="S57" s="85"/>
    </row>
    <row r="58" spans="1:23" ht="18" customHeight="1" x14ac:dyDescent="0.25">
      <c r="A58" s="213">
        <v>4</v>
      </c>
      <c r="B58" s="344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6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62903.225806451621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57903.225806451621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4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30</v>
      </c>
      <c r="G59" s="184">
        <f>'Salary Record'!C271</f>
        <v>1</v>
      </c>
      <c r="H59" s="184">
        <f>'Salary Record'!I269</f>
        <v>84</v>
      </c>
      <c r="I59" s="184">
        <f>'Salary Record'!I268</f>
        <v>30</v>
      </c>
      <c r="J59" s="180">
        <f>'Salary Record'!K269</f>
        <v>11854.838709677419</v>
      </c>
      <c r="K59" s="180">
        <f>'Salary Record'!K270</f>
        <v>45725.806451612902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45725.806451612902</v>
      </c>
      <c r="R59" s="122">
        <f>Q59+Q62+Q63+Q65</f>
        <v>162032.25806451612</v>
      </c>
      <c r="S59" s="122"/>
      <c r="T59" s="124"/>
    </row>
    <row r="60" spans="1:23" s="123" customFormat="1" ht="18" customHeight="1" x14ac:dyDescent="0.2">
      <c r="A60" s="213">
        <v>6</v>
      </c>
      <c r="B60" s="344" t="str">
        <f>'Salary Record'!C596</f>
        <v>Fahad</v>
      </c>
      <c r="C60" s="146" t="s">
        <v>37</v>
      </c>
      <c r="D60" s="147">
        <f>SUM(Q46:Q85)</f>
        <v>4283453.6290322579</v>
      </c>
      <c r="E60" s="205">
        <f>'Salary Record'!K595</f>
        <v>35000</v>
      </c>
      <c r="F60" s="182">
        <f>'Salary Record'!C601</f>
        <v>25</v>
      </c>
      <c r="G60" s="179">
        <f>'Salary Record'!C602</f>
        <v>6</v>
      </c>
      <c r="H60" s="182">
        <f>'Salary Record'!I600</f>
        <v>55</v>
      </c>
      <c r="I60" s="182">
        <f>'Salary Record'!I599</f>
        <v>25</v>
      </c>
      <c r="J60" s="180">
        <f>'Salary Record'!K600</f>
        <v>7762.0967741935483</v>
      </c>
      <c r="K60" s="180">
        <f>'Salary Record'!K601</f>
        <v>35987.903225806447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33987.903225806447</v>
      </c>
      <c r="R60" s="122"/>
      <c r="S60" s="122">
        <f>Q56+Q60+Q62+Q63+Q65</f>
        <v>181705.6451612903</v>
      </c>
      <c r="T60" s="124"/>
    </row>
    <row r="61" spans="1:23" ht="18" customHeight="1" x14ac:dyDescent="0.25">
      <c r="A61" s="213">
        <v>7</v>
      </c>
      <c r="B61" s="344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4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31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4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115</v>
      </c>
      <c r="I63" s="184">
        <f>'Salary Record'!I629</f>
        <v>31</v>
      </c>
      <c r="J63" s="180">
        <f>'Salary Record'!K630</f>
        <v>16229.838709677419</v>
      </c>
      <c r="K63" s="180">
        <f>'Salary Record'!K631</f>
        <v>51229.838709677417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51229.838709677417</v>
      </c>
      <c r="R63" s="122"/>
      <c r="S63" s="122"/>
      <c r="T63" s="124"/>
    </row>
    <row r="64" spans="1:23" ht="18" customHeight="1" x14ac:dyDescent="0.25">
      <c r="A64" s="213">
        <v>10</v>
      </c>
      <c r="B64" s="344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29</v>
      </c>
      <c r="G64" s="17">
        <f>'Salary Record'!C586</f>
        <v>2</v>
      </c>
      <c r="H64" s="10">
        <f>'Salary Record'!I584</f>
        <v>53</v>
      </c>
      <c r="I64" s="10">
        <f>'Salary Record'!I583</f>
        <v>29</v>
      </c>
      <c r="J64" s="13">
        <f>'Salary Record'!K584</f>
        <v>8548.3870967741932</v>
      </c>
      <c r="K64" s="10">
        <f>'Salary Record'!K585</f>
        <v>45967.741935483864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45967.741935483864</v>
      </c>
      <c r="R64" s="80"/>
      <c r="S64" s="8"/>
    </row>
    <row r="65" spans="1:24" s="123" customFormat="1" ht="18" customHeight="1" x14ac:dyDescent="0.2">
      <c r="A65" s="213">
        <v>11</v>
      </c>
      <c r="B65" s="344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24</v>
      </c>
      <c r="G65" s="184">
        <f>'Salary Record'!C226</f>
        <v>7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34129.032258064515</v>
      </c>
      <c r="R65" s="122"/>
      <c r="T65" s="124"/>
    </row>
    <row r="66" spans="1:24" s="208" customFormat="1" ht="21" x14ac:dyDescent="0.3">
      <c r="A66" s="381" t="s">
        <v>2</v>
      </c>
      <c r="B66" s="382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616209.67741935479</v>
      </c>
      <c r="L66" s="232"/>
      <c r="M66" s="232"/>
      <c r="N66" s="232"/>
      <c r="O66" s="232"/>
      <c r="P66" s="232"/>
      <c r="Q66" s="206">
        <f>SUM(Q55:Q65)</f>
        <v>599209.67741935479</v>
      </c>
      <c r="R66" s="207"/>
      <c r="S66" s="230">
        <f>Q64+Q61+Q60+Q58+Q57</f>
        <v>235766.12903225806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72" t="s">
        <v>223</v>
      </c>
      <c r="B68" s="373"/>
      <c r="C68" s="373"/>
      <c r="D68" s="373"/>
      <c r="E68" s="373"/>
      <c r="F68" s="373"/>
      <c r="G68" s="373"/>
      <c r="H68" s="373"/>
      <c r="I68" s="373"/>
      <c r="J68" s="373"/>
      <c r="K68" s="373"/>
      <c r="L68" s="373"/>
      <c r="M68" s="373"/>
      <c r="N68" s="373"/>
      <c r="O68" s="373"/>
      <c r="P68" s="373"/>
      <c r="Q68" s="374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29</v>
      </c>
      <c r="G69" s="172">
        <f>'Salary Record'!C91</f>
        <v>2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Record'!C704</f>
        <v>Noman Ali Sheikh Ansari</v>
      </c>
      <c r="C70" s="148" t="s">
        <v>84</v>
      </c>
      <c r="D70" s="149">
        <f>SUM(Q27:Q78)</f>
        <v>3272711.6935483869</v>
      </c>
      <c r="E70" s="205">
        <f>'Salary Record'!K707</f>
        <v>70000</v>
      </c>
      <c r="F70" s="205">
        <f>'Salary Record'!C709</f>
        <v>31</v>
      </c>
      <c r="G70" s="184">
        <f>'Salary Record'!C710</f>
        <v>0</v>
      </c>
      <c r="H70" s="205">
        <f>'Salary Record'!I708</f>
        <v>0</v>
      </c>
      <c r="I70" s="205">
        <f>'Salary Record'!I707</f>
        <v>31</v>
      </c>
      <c r="J70" s="180">
        <f>'Salary Record'!K708</f>
        <v>0</v>
      </c>
      <c r="K70" s="180">
        <f>'Salary Record'!K709</f>
        <v>70000</v>
      </c>
      <c r="L70" s="181">
        <f>'Salary Record'!G707</f>
        <v>85000</v>
      </c>
      <c r="M70" s="182">
        <f>'Salary Record'!G708</f>
        <v>0</v>
      </c>
      <c r="N70" s="183">
        <f>'Salary Record'!G709</f>
        <v>85000</v>
      </c>
      <c r="O70" s="182">
        <f>'Salary Record'!G710</f>
        <v>5000</v>
      </c>
      <c r="P70" s="183">
        <f>'Salary Record'!G711</f>
        <v>80000</v>
      </c>
      <c r="Q70" s="185">
        <f>'Salary Record'!K711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18" t="str">
        <f>'Salary Record'!C689</f>
        <v>M. Raza</v>
      </c>
      <c r="C71" s="126"/>
      <c r="D71" s="127"/>
      <c r="E71" s="182">
        <f>'Salary Record'!K688</f>
        <v>60000</v>
      </c>
      <c r="F71" s="182">
        <f>'Salary Record'!C694</f>
        <v>25</v>
      </c>
      <c r="G71" s="179">
        <f>'Salary Record'!C695</f>
        <v>6</v>
      </c>
      <c r="H71" s="182">
        <f>'Salary Record'!I693</f>
        <v>0</v>
      </c>
      <c r="I71" s="182">
        <f>'Salary Record'!I692</f>
        <v>25</v>
      </c>
      <c r="J71" s="180">
        <f>'Salary Record'!K693</f>
        <v>0</v>
      </c>
      <c r="K71" s="180">
        <f>'Salary Record'!K694</f>
        <v>48387.096774193546</v>
      </c>
      <c r="L71" s="181">
        <f>'Salary Record'!G692</f>
        <v>0</v>
      </c>
      <c r="M71" s="182">
        <f>'Salary Record'!G693</f>
        <v>0</v>
      </c>
      <c r="N71" s="183">
        <f>'Salary Record'!G694</f>
        <v>0</v>
      </c>
      <c r="O71" s="182">
        <f>'Salary Record'!G695</f>
        <v>0</v>
      </c>
      <c r="P71" s="183">
        <f>'Salary Record'!G696</f>
        <v>0</v>
      </c>
      <c r="Q71" s="185">
        <f>'Salary Record'!K696</f>
        <v>48387.096774193546</v>
      </c>
      <c r="R71" s="122"/>
      <c r="S71" s="122"/>
      <c r="T71" s="124"/>
    </row>
    <row r="72" spans="1:24" s="123" customFormat="1" ht="21" customHeight="1" x14ac:dyDescent="0.2">
      <c r="A72" s="212">
        <v>4</v>
      </c>
      <c r="B72" s="260" t="str">
        <f>'Salary Record'!C115</f>
        <v>Amir (JPMC)</v>
      </c>
      <c r="C72" s="143"/>
      <c r="D72" s="140"/>
      <c r="E72" s="67">
        <f>'Salary Record'!K114</f>
        <v>43000</v>
      </c>
      <c r="F72" s="67">
        <f>'Salary Record'!C120</f>
        <v>29</v>
      </c>
      <c r="G72" s="184">
        <f>'Salary Record'!C121</f>
        <v>2</v>
      </c>
      <c r="H72" s="67">
        <f>'Salary Record'!I119</f>
        <v>0</v>
      </c>
      <c r="I72" s="67">
        <f>'Salary Record'!I118</f>
        <v>31</v>
      </c>
      <c r="J72" s="180">
        <f>'Salary Record'!K119</f>
        <v>0</v>
      </c>
      <c r="K72" s="180">
        <f>'Salary Record'!K120</f>
        <v>43000</v>
      </c>
      <c r="L72" s="181">
        <f>'Salary Record'!G118</f>
        <v>65500</v>
      </c>
      <c r="M72" s="181">
        <f>'Salary Record'!G119</f>
        <v>5000</v>
      </c>
      <c r="N72" s="183">
        <f>'Salary Record'!G120</f>
        <v>70500</v>
      </c>
      <c r="O72" s="181">
        <f>'Salary Record'!G121</f>
        <v>7000</v>
      </c>
      <c r="P72" s="183">
        <f>'Salary Record'!G122</f>
        <v>63500</v>
      </c>
      <c r="Q72" s="185">
        <f>'Salary Record'!K122</f>
        <v>36000</v>
      </c>
      <c r="R72" s="122" t="s">
        <v>115</v>
      </c>
      <c r="S72" s="122" t="s">
        <v>118</v>
      </c>
      <c r="T72" s="124"/>
    </row>
    <row r="73" spans="1:24" s="123" customFormat="1" ht="21" customHeight="1" x14ac:dyDescent="0.3">
      <c r="A73" s="212">
        <v>5</v>
      </c>
      <c r="B73" s="260" t="str">
        <f>'Salary Record'!C550</f>
        <v>Shahzaib ullah</v>
      </c>
      <c r="C73" s="126"/>
      <c r="D73" s="127"/>
      <c r="E73" s="67">
        <f>'Salary Record'!K549</f>
        <v>45000</v>
      </c>
      <c r="F73" s="67">
        <f>'Salary Record'!C555</f>
        <v>29</v>
      </c>
      <c r="G73" s="184">
        <f>'Salary Record'!C556</f>
        <v>2</v>
      </c>
      <c r="H73" s="67">
        <f>'Salary Record'!I554</f>
        <v>0</v>
      </c>
      <c r="I73" s="67">
        <f>'Salary Record'!I553</f>
        <v>29</v>
      </c>
      <c r="J73" s="180">
        <f>'Salary Record'!K554</f>
        <v>0</v>
      </c>
      <c r="K73" s="67">
        <f>'Salary Record'!K555</f>
        <v>42096.774193548386</v>
      </c>
      <c r="L73" s="181" t="str">
        <f>'Salary Record'!G553</f>
        <v/>
      </c>
      <c r="M73" s="181">
        <f>'Salary Record'!G554</f>
        <v>0</v>
      </c>
      <c r="N73" s="181" t="str">
        <f>'Salary Record'!G555</f>
        <v/>
      </c>
      <c r="O73" s="181">
        <f>'Salary Record'!G556</f>
        <v>0</v>
      </c>
      <c r="P73" s="181" t="str">
        <f>'Salary Record'!G557</f>
        <v/>
      </c>
      <c r="Q73" s="185">
        <f>'Salary Record'!K557</f>
        <v>42096.774193548386</v>
      </c>
      <c r="R73" s="122"/>
      <c r="S73" s="122"/>
      <c r="T73" s="209"/>
    </row>
    <row r="74" spans="1:24" s="123" customFormat="1" ht="21" customHeight="1" x14ac:dyDescent="0.2">
      <c r="A74" s="212">
        <v>6</v>
      </c>
      <c r="B74" s="260" t="str">
        <f>'Salary Record'!C400</f>
        <v>A. Lateef Chacha</v>
      </c>
      <c r="C74" s="137"/>
      <c r="D74" s="138"/>
      <c r="E74" s="67">
        <f>'Salary Record'!K399</f>
        <v>27000</v>
      </c>
      <c r="F74" s="67">
        <f>'Salary Record'!C405</f>
        <v>27</v>
      </c>
      <c r="G74" s="184">
        <f>'Salary Record'!C406</f>
        <v>4</v>
      </c>
      <c r="H74" s="67">
        <f>'Salary Record'!I404</f>
        <v>3</v>
      </c>
      <c r="I74" s="67">
        <f>'Salary Record'!I403</f>
        <v>31</v>
      </c>
      <c r="J74" s="180">
        <f>'Salary Record'!K404</f>
        <v>326.61290322580646</v>
      </c>
      <c r="K74" s="180">
        <f>'Salary Record'!K405</f>
        <v>27326.612903225807</v>
      </c>
      <c r="L74" s="181">
        <f>'Salary Record'!G403</f>
        <v>15000</v>
      </c>
      <c r="M74" s="181">
        <f>'Salary Record'!G404</f>
        <v>6000</v>
      </c>
      <c r="N74" s="183">
        <f>'Salary Record'!G405</f>
        <v>21000</v>
      </c>
      <c r="O74" s="181">
        <f>'Salary Record'!G406</f>
        <v>2000</v>
      </c>
      <c r="P74" s="183">
        <f>'Salary Record'!G407</f>
        <v>19000</v>
      </c>
      <c r="Q74" s="185">
        <f>'Salary Record'!K407</f>
        <v>25326.612903225807</v>
      </c>
      <c r="R74" s="122"/>
      <c r="S74" s="122"/>
      <c r="T74" s="124"/>
    </row>
    <row r="75" spans="1:24" ht="15.75" x14ac:dyDescent="0.25">
      <c r="A75" s="212">
        <v>7</v>
      </c>
      <c r="B75" s="260" t="str">
        <f>'Salary Record'!C415</f>
        <v>Lateef</v>
      </c>
      <c r="C75" s="12"/>
      <c r="D75" s="51"/>
      <c r="E75" s="9">
        <f>'Salary Record'!K414</f>
        <v>30000</v>
      </c>
      <c r="F75" s="9">
        <f>'Salary Record'!C420</f>
        <v>30</v>
      </c>
      <c r="G75" s="18">
        <f>'Salary Record'!C421</f>
        <v>1</v>
      </c>
      <c r="H75" s="9">
        <f>'Salary Record'!I419</f>
        <v>53</v>
      </c>
      <c r="I75" s="9">
        <f>'Salary Record'!I418</f>
        <v>30</v>
      </c>
      <c r="J75" s="13">
        <f>'Salary Record'!K419</f>
        <v>6411.2903225806449</v>
      </c>
      <c r="K75" s="13">
        <f>'Salary Record'!K420</f>
        <v>35443.548387096773</v>
      </c>
      <c r="L75" s="9">
        <f>'Salary Record'!G418</f>
        <v>33500</v>
      </c>
      <c r="M75" s="9">
        <f>'Salary Record'!G419</f>
        <v>0</v>
      </c>
      <c r="N75" s="97">
        <f>'Salary Record'!G420</f>
        <v>33500</v>
      </c>
      <c r="O75" s="9">
        <f>'Salary Record'!G421</f>
        <v>6000</v>
      </c>
      <c r="P75" s="97">
        <f>'Salary Record'!G422</f>
        <v>27500</v>
      </c>
      <c r="Q75" s="91">
        <f>'Salary Record'!K422</f>
        <v>29443.548387096773</v>
      </c>
      <c r="R75" s="80"/>
      <c r="S75" s="8"/>
      <c r="V75" s="2"/>
      <c r="X75" s="2"/>
    </row>
    <row r="76" spans="1:24" s="123" customFormat="1" ht="21" customHeight="1" x14ac:dyDescent="0.2">
      <c r="A76" s="212">
        <v>8</v>
      </c>
      <c r="B76" s="260" t="s">
        <v>29</v>
      </c>
      <c r="C76" s="148"/>
      <c r="D76" s="149"/>
      <c r="E76" s="178">
        <f>'Salary Record'!K189</f>
        <v>35000</v>
      </c>
      <c r="F76" s="178">
        <f>'Salary Record'!C195</f>
        <v>22</v>
      </c>
      <c r="G76" s="179">
        <f>'Salary Record'!C196</f>
        <v>9</v>
      </c>
      <c r="H76" s="178">
        <f>'Salary Record'!I194</f>
        <v>29</v>
      </c>
      <c r="I76" s="178">
        <f>'Salary Record'!I193</f>
        <v>27</v>
      </c>
      <c r="J76" s="321">
        <f>'Salary Record'!K194</f>
        <v>4092.7419354838707</v>
      </c>
      <c r="K76" s="67">
        <f>'Salary Record'!K195</f>
        <v>34576.612903225803</v>
      </c>
      <c r="L76" s="181">
        <f>'Salary Record'!G193</f>
        <v>79000</v>
      </c>
      <c r="M76" s="182">
        <f>'Salary Record'!G194</f>
        <v>10000</v>
      </c>
      <c r="N76" s="183">
        <f>'Salary Record'!G195</f>
        <v>89000</v>
      </c>
      <c r="O76" s="182">
        <f>'Salary Record'!G196</f>
        <v>5000</v>
      </c>
      <c r="P76" s="183">
        <f>'Salary Record'!G197</f>
        <v>84000</v>
      </c>
      <c r="Q76" s="185">
        <f>'Salary Record'!K197</f>
        <v>29576.612903225803</v>
      </c>
      <c r="R76" s="122" t="s">
        <v>129</v>
      </c>
      <c r="S76" s="122" t="s">
        <v>130</v>
      </c>
      <c r="T76" s="124"/>
    </row>
    <row r="77" spans="1:24" s="123" customFormat="1" ht="21" customHeight="1" x14ac:dyDescent="0.2">
      <c r="A77" s="212">
        <v>9</v>
      </c>
      <c r="B77" s="319" t="s">
        <v>9</v>
      </c>
      <c r="C77" s="143"/>
      <c r="D77" s="140"/>
      <c r="E77" s="184">
        <f>'Salary Record'!K144</f>
        <v>35000</v>
      </c>
      <c r="F77" s="184">
        <f>'Salary Record'!C150</f>
        <v>29</v>
      </c>
      <c r="G77" s="184">
        <f>'Salary Record'!C151</f>
        <v>2</v>
      </c>
      <c r="H77" s="184">
        <f>'Salary Record'!I149</f>
        <v>21</v>
      </c>
      <c r="I77" s="184">
        <f>'Salary Record'!I148</f>
        <v>31</v>
      </c>
      <c r="J77" s="180">
        <f>'Salary Record'!K149</f>
        <v>2963.7096774193546</v>
      </c>
      <c r="K77" s="180">
        <f>'Salary Record'!K150</f>
        <v>37963.709677419356</v>
      </c>
      <c r="L77" s="181">
        <f>'Salary Record'!G148</f>
        <v>40867</v>
      </c>
      <c r="M77" s="182">
        <f>'Salary Record'!G149</f>
        <v>7000</v>
      </c>
      <c r="N77" s="183">
        <f>'Salary Record'!G150</f>
        <v>47867</v>
      </c>
      <c r="O77" s="182">
        <f>'Salary Record'!G151</f>
        <v>7000</v>
      </c>
      <c r="P77" s="183">
        <f>'Salary Record'!G152</f>
        <v>40867</v>
      </c>
      <c r="Q77" s="185">
        <f>'Salary Record'!K152</f>
        <v>30963.709677419356</v>
      </c>
      <c r="R77" s="122" t="s">
        <v>119</v>
      </c>
      <c r="S77" s="122" t="s">
        <v>120</v>
      </c>
      <c r="T77" s="124"/>
    </row>
    <row r="78" spans="1:24" s="208" customFormat="1" ht="21" x14ac:dyDescent="0.3">
      <c r="A78" s="381" t="s">
        <v>2</v>
      </c>
      <c r="B78" s="382"/>
      <c r="C78" s="232"/>
      <c r="D78" s="232"/>
      <c r="E78" s="236">
        <f>SUM(E69:E77)</f>
        <v>415000</v>
      </c>
      <c r="F78" s="232"/>
      <c r="G78" s="232"/>
      <c r="H78" s="232"/>
      <c r="I78" s="232"/>
      <c r="J78" s="236">
        <f>SUM(J69:J77)</f>
        <v>42584.677419354841</v>
      </c>
      <c r="K78" s="236">
        <f>SUM(K69:K77)</f>
        <v>437584.67741935485</v>
      </c>
      <c r="L78" s="232"/>
      <c r="M78" s="232"/>
      <c r="N78" s="232"/>
      <c r="O78" s="232"/>
      <c r="P78" s="232"/>
      <c r="Q78" s="206">
        <f>SUM(Q69:Q77)</f>
        <v>405584.67741935485</v>
      </c>
      <c r="R78" s="207"/>
      <c r="T78" s="209"/>
    </row>
    <row r="79" spans="1:24" s="208" customFormat="1" ht="21" x14ac:dyDescent="0.3">
      <c r="A79" s="261"/>
      <c r="B79" s="262"/>
      <c r="C79" s="263"/>
      <c r="D79" s="263"/>
      <c r="E79" s="185"/>
      <c r="F79" s="263"/>
      <c r="G79" s="263"/>
      <c r="H79" s="263"/>
      <c r="I79" s="263"/>
      <c r="J79" s="185"/>
      <c r="K79" s="264"/>
      <c r="L79" s="232"/>
      <c r="M79" s="232"/>
      <c r="N79" s="232"/>
      <c r="O79" s="232"/>
      <c r="P79" s="232"/>
      <c r="Q79" s="265"/>
      <c r="R79" s="230"/>
      <c r="T79" s="266"/>
    </row>
    <row r="80" spans="1:24" ht="21" customHeight="1" x14ac:dyDescent="0.2">
      <c r="A80" s="364" t="s">
        <v>102</v>
      </c>
      <c r="B80" s="365"/>
      <c r="C80" s="226"/>
      <c r="D80" s="226"/>
      <c r="E80" s="237">
        <f>SUM(E4+E5+E66+E52+E45+E34+E27+E20+E11+E78)</f>
        <v>1989500</v>
      </c>
      <c r="F80" s="226"/>
      <c r="G80" s="226"/>
      <c r="H80" s="226"/>
      <c r="I80" s="226"/>
      <c r="J80" s="237">
        <f>SUM(J4+J5+J66+J52+J45+J34+J27+J20+J11+J78)</f>
        <v>212356.85483870967</v>
      </c>
      <c r="K80" s="227"/>
      <c r="L80" s="211">
        <f>SUM(L4:L78)</f>
        <v>776422</v>
      </c>
      <c r="M80" s="235">
        <f>SUM(M4:M78)</f>
        <v>71000</v>
      </c>
      <c r="N80" s="211">
        <f>SUM(N4:N78)</f>
        <v>847422</v>
      </c>
      <c r="O80" s="211">
        <f>SUM(O4:O78)</f>
        <v>99500</v>
      </c>
      <c r="P80" s="211">
        <f>SUM(P4:P78)</f>
        <v>747922</v>
      </c>
      <c r="Q80" s="210">
        <f>SUM(Q4+Q5++Q66+Q52+Q45+Q34+Q27+Q20+Q11+Q78)+20000</f>
        <v>1983889.1129032259</v>
      </c>
      <c r="R80" s="82"/>
      <c r="S80" s="8"/>
      <c r="U80" s="8"/>
    </row>
    <row r="81" spans="1:21" ht="20.45" customHeight="1" x14ac:dyDescent="0.2">
      <c r="A81" s="366" t="s">
        <v>171</v>
      </c>
      <c r="B81" s="367"/>
      <c r="C81" s="367"/>
      <c r="D81" s="367"/>
      <c r="E81" s="367"/>
      <c r="F81" s="367"/>
      <c r="G81" s="367"/>
      <c r="H81" s="367"/>
      <c r="I81" s="367"/>
      <c r="J81" s="367"/>
      <c r="K81" s="367"/>
      <c r="L81" s="367"/>
      <c r="M81" s="367"/>
      <c r="N81" s="367"/>
      <c r="O81" s="367"/>
      <c r="P81" s="368"/>
      <c r="Q81" s="98"/>
      <c r="R81" s="82"/>
      <c r="S81" s="8"/>
      <c r="U81" s="8"/>
    </row>
    <row r="82" spans="1:21" ht="20.45" customHeight="1" x14ac:dyDescent="0.2">
      <c r="A82" s="366" t="s">
        <v>172</v>
      </c>
      <c r="B82" s="367"/>
      <c r="C82" s="367"/>
      <c r="D82" s="367"/>
      <c r="E82" s="367"/>
      <c r="F82" s="367"/>
      <c r="G82" s="367"/>
      <c r="H82" s="367"/>
      <c r="I82" s="367"/>
      <c r="J82" s="367"/>
      <c r="K82" s="367"/>
      <c r="L82" s="367"/>
      <c r="M82" s="367"/>
      <c r="N82" s="367"/>
      <c r="O82" s="367"/>
      <c r="P82" s="368"/>
      <c r="Q82" s="98"/>
      <c r="R82" s="82"/>
      <c r="S82" s="8"/>
      <c r="U82" s="8"/>
    </row>
    <row r="83" spans="1:21" ht="20.45" customHeight="1" x14ac:dyDescent="0.25">
      <c r="A83" s="214"/>
      <c r="B83" s="84"/>
      <c r="C83" s="84"/>
      <c r="D83" s="84"/>
      <c r="E83" s="84"/>
      <c r="F83" s="84"/>
      <c r="G83" s="84"/>
      <c r="H83" s="84"/>
      <c r="I83" s="84"/>
      <c r="J83" s="84"/>
      <c r="K83" s="100"/>
      <c r="L83" s="100"/>
      <c r="M83" s="100"/>
      <c r="N83" s="100"/>
      <c r="O83" s="101"/>
      <c r="P83" s="101"/>
      <c r="Q83" s="102"/>
      <c r="R83" s="82"/>
      <c r="S83" s="8"/>
      <c r="U83" s="8"/>
    </row>
    <row r="84" spans="1:21" ht="18" x14ac:dyDescent="0.25">
      <c r="A84" s="215"/>
      <c r="B84" s="99"/>
      <c r="C84" s="60"/>
      <c r="D84" s="61"/>
      <c r="E84" s="9"/>
      <c r="F84" s="9"/>
      <c r="G84" s="18"/>
      <c r="H84" s="63"/>
      <c r="I84" s="9"/>
      <c r="J84" s="13"/>
      <c r="K84" s="10"/>
      <c r="L84" s="9"/>
      <c r="M84" s="9"/>
      <c r="N84" s="15"/>
      <c r="O84" s="9"/>
      <c r="P84" s="15"/>
      <c r="Q84" s="251"/>
      <c r="R84" s="80"/>
      <c r="S84" s="8"/>
      <c r="U84" s="8"/>
    </row>
    <row r="85" spans="1:21" x14ac:dyDescent="0.2">
      <c r="A85" s="216"/>
      <c r="B85" s="92"/>
      <c r="C85" s="92"/>
      <c r="D85" s="92"/>
      <c r="E85" s="72"/>
      <c r="F85" s="72"/>
      <c r="G85" s="93"/>
      <c r="H85" s="72"/>
      <c r="I85" s="72"/>
      <c r="J85" s="72"/>
      <c r="K85" s="72"/>
      <c r="L85" s="72"/>
      <c r="M85" s="72"/>
      <c r="N85" s="94"/>
      <c r="O85" s="72"/>
      <c r="P85" s="94"/>
      <c r="Q85" s="73"/>
      <c r="S85" s="8"/>
    </row>
    <row r="86" spans="1:21" ht="15.75" x14ac:dyDescent="0.25">
      <c r="A86" s="213">
        <v>9</v>
      </c>
      <c r="B86" s="272" t="str">
        <f>'Salary Record'!C736</f>
        <v>Sheheryar Khalid</v>
      </c>
      <c r="C86" s="68"/>
      <c r="D86" s="69"/>
      <c r="E86" s="9">
        <f>'Salary Record'!K735</f>
        <v>30000</v>
      </c>
      <c r="F86" s="9">
        <f>'Salary Record'!C741</f>
        <v>0</v>
      </c>
      <c r="G86" s="18">
        <f>'Salary Record'!C742</f>
        <v>0</v>
      </c>
      <c r="H86" s="9">
        <f>'Salary Record'!I740</f>
        <v>98</v>
      </c>
      <c r="I86" s="9">
        <f>'Salary Record'!I739</f>
        <v>31</v>
      </c>
      <c r="J86" s="253">
        <f>'Salary Record'!K740</f>
        <v>11854.838709677419</v>
      </c>
      <c r="K86" s="13">
        <f>'Salary Record'!K741</f>
        <v>41854.838709677417</v>
      </c>
      <c r="L86" s="9" t="str">
        <f>'Salary Record'!G739</f>
        <v/>
      </c>
      <c r="M86" s="9">
        <f>'Salary Record'!G740</f>
        <v>0</v>
      </c>
      <c r="N86" s="15" t="str">
        <f>'Salary Record'!G741</f>
        <v/>
      </c>
      <c r="O86" s="9">
        <f>'Salary Record'!G742</f>
        <v>0</v>
      </c>
      <c r="P86" s="15" t="str">
        <f>'Salary Record'!G743</f>
        <v/>
      </c>
      <c r="Q86" s="185">
        <f>'Salary Record'!K743</f>
        <v>0</v>
      </c>
      <c r="R86" s="80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Record'!K814</f>
        <v>0</v>
      </c>
      <c r="F90" s="10">
        <f>'Salary Record'!C820</f>
        <v>0</v>
      </c>
      <c r="G90" s="17">
        <f>'Salary Record'!C821</f>
        <v>0</v>
      </c>
      <c r="H90" s="10">
        <f>'Salary Record'!I819</f>
        <v>0</v>
      </c>
      <c r="I90" s="10">
        <f>'Salary Record'!I818</f>
        <v>0</v>
      </c>
      <c r="J90" s="13">
        <f>'Salary Record'!K819</f>
        <v>0</v>
      </c>
      <c r="K90" s="10">
        <f>'Salary Record'!K820</f>
        <v>0</v>
      </c>
      <c r="L90" s="9">
        <f>'Salary Record'!G818</f>
        <v>0</v>
      </c>
      <c r="M90" s="14">
        <f>'Salary Record'!G819</f>
        <v>0</v>
      </c>
      <c r="N90" s="15">
        <f>'Salary Record'!G820</f>
        <v>0</v>
      </c>
      <c r="O90" s="10">
        <f>'Salary Record'!G821</f>
        <v>0</v>
      </c>
      <c r="P90" s="15">
        <f>'Salary Record'!G822</f>
        <v>0</v>
      </c>
      <c r="Q90" s="91">
        <f>'Salary Record'!K822</f>
        <v>0</v>
      </c>
      <c r="R90" s="80"/>
      <c r="S90" s="8"/>
    </row>
    <row r="91" spans="1:21" ht="20.25" x14ac:dyDescent="0.3">
      <c r="B91" s="356" t="s">
        <v>92</v>
      </c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167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169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260016.12903225806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135034.27419354839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131701.61290322582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287354.83870967745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144987.90322580645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599209.67741935479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167</v>
      </c>
      <c r="C104" s="87"/>
      <c r="D104" s="88"/>
      <c r="E104" s="88">
        <f>Q78</f>
        <v>405584.67741935485</v>
      </c>
      <c r="F104"/>
      <c r="G104" s="8">
        <f>E107-E93-E94-E95-E96-E97-E106</f>
        <v>2005985.8870967743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Q73</f>
        <v>42096.774193548386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2190985.8870967743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144987.90322580645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  <mergeCell ref="B91:L91"/>
    <mergeCell ref="N1:O2"/>
    <mergeCell ref="A1:M2"/>
    <mergeCell ref="A80:B80"/>
    <mergeCell ref="A81:P81"/>
    <mergeCell ref="A82:P82"/>
    <mergeCell ref="A54:Q54"/>
    <mergeCell ref="A68:Q68"/>
    <mergeCell ref="P1:P2"/>
    <mergeCell ref="A6:Q6"/>
    <mergeCell ref="C7:C10"/>
    <mergeCell ref="D7:D10"/>
    <mergeCell ref="A66:B66"/>
    <mergeCell ref="A78:B78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opLeftCell="A542" zoomScale="90" zoomScaleNormal="90" zoomScaleSheetLayoutView="90" workbookViewId="0">
      <selection activeCell="I557" sqref="I557:J557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05" t="s">
        <v>64</v>
      </c>
      <c r="D1" s="405"/>
      <c r="E1" s="405"/>
      <c r="F1" s="405"/>
      <c r="G1" s="405"/>
      <c r="H1" s="405"/>
      <c r="I1" s="405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743+K822+K587+#REF!+K512+#REF!+#REF!+K407+#REF!+K317+K572+#REF!+K696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K59+K74+K554+K119+K134+#REF!+K149+K569+K164+K194+K630+K269+#REF!+K209+#REF!+K89+K693+K284+K434+K615+K329+K359+K464+K389+K600+#REF!+K344+#REF!+#REF!+K404+K646+#REF!+#REF!+K104+K179+#REF!+K224+K374+K524+K479+K494+K509+#REF!+#REF!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0" t="s">
        <v>38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2"/>
      <c r="M7" s="24"/>
      <c r="N7" s="28"/>
      <c r="O7" s="386" t="s">
        <v>40</v>
      </c>
      <c r="P7" s="387"/>
      <c r="Q7" s="387"/>
      <c r="R7" s="388"/>
      <c r="S7" s="29"/>
      <c r="T7" s="386" t="s">
        <v>41</v>
      </c>
      <c r="U7" s="387"/>
      <c r="V7" s="387"/>
      <c r="W7" s="387"/>
      <c r="X7" s="387"/>
      <c r="Y7" s="388"/>
      <c r="Z7" s="30"/>
      <c r="AA7" s="24"/>
    </row>
    <row r="8" spans="1:27" s="25" customFormat="1" ht="27.75" customHeight="1" x14ac:dyDescent="0.2">
      <c r="A8" s="279"/>
      <c r="B8" s="277"/>
      <c r="C8" s="392" t="s">
        <v>212</v>
      </c>
      <c r="D8" s="392"/>
      <c r="E8" s="392"/>
      <c r="F8" s="392"/>
      <c r="G8" s="280" t="str">
        <f>$J$1</f>
        <v>December</v>
      </c>
      <c r="H8" s="395">
        <f>$K$1</f>
        <v>2023</v>
      </c>
      <c r="I8" s="395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96" t="s">
        <v>41</v>
      </c>
      <c r="G11" s="398"/>
      <c r="H11" s="277"/>
      <c r="I11" s="396" t="s">
        <v>42</v>
      </c>
      <c r="J11" s="397"/>
      <c r="K11" s="398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93" t="s">
        <v>40</v>
      </c>
      <c r="C13" s="394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90" t="s">
        <v>67</v>
      </c>
      <c r="J15" s="391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90" t="s">
        <v>68</v>
      </c>
      <c r="J16" s="391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201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96" t="s">
        <v>61</v>
      </c>
      <c r="J17" s="398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400" t="s">
        <v>38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2"/>
      <c r="M22" s="24"/>
      <c r="N22" s="39"/>
      <c r="O22" s="415" t="s">
        <v>40</v>
      </c>
      <c r="P22" s="416"/>
      <c r="Q22" s="416"/>
      <c r="R22" s="417"/>
      <c r="S22" s="27"/>
      <c r="T22" s="415" t="s">
        <v>41</v>
      </c>
      <c r="U22" s="416"/>
      <c r="V22" s="416"/>
      <c r="W22" s="416"/>
      <c r="X22" s="416"/>
      <c r="Y22" s="417"/>
      <c r="Z22" s="48"/>
      <c r="AA22" s="24"/>
    </row>
    <row r="23" spans="1:27" s="25" customFormat="1" ht="27.75" customHeight="1" x14ac:dyDescent="0.2">
      <c r="A23" s="279"/>
      <c r="B23" s="277"/>
      <c r="C23" s="392" t="s">
        <v>212</v>
      </c>
      <c r="D23" s="392"/>
      <c r="E23" s="392"/>
      <c r="F23" s="392"/>
      <c r="G23" s="280" t="str">
        <f>$J$1</f>
        <v>December</v>
      </c>
      <c r="H23" s="395">
        <f>$K$1</f>
        <v>2023</v>
      </c>
      <c r="I23" s="395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96" t="s">
        <v>41</v>
      </c>
      <c r="G26" s="398"/>
      <c r="H26" s="277"/>
      <c r="I26" s="396" t="s">
        <v>42</v>
      </c>
      <c r="J26" s="397"/>
      <c r="K26" s="398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93" t="s">
        <v>40</v>
      </c>
      <c r="C28" s="394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90" t="s">
        <v>67</v>
      </c>
      <c r="J30" s="391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90" t="s">
        <v>68</v>
      </c>
      <c r="J31" s="391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201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96" t="s">
        <v>61</v>
      </c>
      <c r="J32" s="398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400" t="s">
        <v>38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2"/>
      <c r="M37" s="24"/>
      <c r="N37" s="28"/>
      <c r="O37" s="386" t="s">
        <v>40</v>
      </c>
      <c r="P37" s="387"/>
      <c r="Q37" s="387"/>
      <c r="R37" s="388"/>
      <c r="S37" s="29"/>
      <c r="T37" s="386" t="s">
        <v>41</v>
      </c>
      <c r="U37" s="387"/>
      <c r="V37" s="387"/>
      <c r="W37" s="387"/>
      <c r="X37" s="387"/>
      <c r="Y37" s="388"/>
      <c r="Z37" s="30"/>
      <c r="AA37" s="24"/>
    </row>
    <row r="38" spans="1:27" s="25" customFormat="1" ht="27.75" customHeight="1" x14ac:dyDescent="0.2">
      <c r="A38" s="279"/>
      <c r="B38" s="277"/>
      <c r="C38" s="392" t="s">
        <v>212</v>
      </c>
      <c r="D38" s="392"/>
      <c r="E38" s="392"/>
      <c r="F38" s="392"/>
      <c r="G38" s="280" t="str">
        <f>$J$1</f>
        <v>December</v>
      </c>
      <c r="H38" s="395">
        <f>$K$1</f>
        <v>2023</v>
      </c>
      <c r="I38" s="395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96" t="s">
        <v>41</v>
      </c>
      <c r="G41" s="398"/>
      <c r="H41" s="277"/>
      <c r="I41" s="396" t="s">
        <v>42</v>
      </c>
      <c r="J41" s="397"/>
      <c r="K41" s="398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93" t="s">
        <v>40</v>
      </c>
      <c r="C43" s="394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90" t="s">
        <v>67</v>
      </c>
      <c r="J45" s="391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90" t="s">
        <v>68</v>
      </c>
      <c r="J46" s="391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201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96" t="s">
        <v>61</v>
      </c>
      <c r="J47" s="398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400" t="s">
        <v>38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2"/>
      <c r="M52" s="24"/>
      <c r="N52" s="28"/>
      <c r="O52" s="386" t="s">
        <v>40</v>
      </c>
      <c r="P52" s="387"/>
      <c r="Q52" s="387"/>
      <c r="R52" s="388"/>
      <c r="S52" s="29"/>
      <c r="T52" s="386" t="s">
        <v>41</v>
      </c>
      <c r="U52" s="387"/>
      <c r="V52" s="387"/>
      <c r="W52" s="387"/>
      <c r="X52" s="387"/>
      <c r="Y52" s="388"/>
      <c r="Z52" s="30"/>
      <c r="AA52" s="24"/>
    </row>
    <row r="53" spans="1:27" s="25" customFormat="1" ht="18" customHeight="1" x14ac:dyDescent="0.2">
      <c r="A53" s="279"/>
      <c r="B53" s="277"/>
      <c r="C53" s="392" t="s">
        <v>212</v>
      </c>
      <c r="D53" s="392"/>
      <c r="E53" s="392"/>
      <c r="F53" s="392"/>
      <c r="G53" s="280" t="str">
        <f>$J$1</f>
        <v>December</v>
      </c>
      <c r="H53" s="395">
        <f>$K$1</f>
        <v>2023</v>
      </c>
      <c r="I53" s="395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96" t="s">
        <v>41</v>
      </c>
      <c r="G56" s="398"/>
      <c r="H56" s="277"/>
      <c r="I56" s="396" t="s">
        <v>42</v>
      </c>
      <c r="J56" s="397"/>
      <c r="K56" s="398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93" t="s">
        <v>40</v>
      </c>
      <c r="C58" s="394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90" t="s">
        <v>67</v>
      </c>
      <c r="J60" s="391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90" t="s">
        <v>68</v>
      </c>
      <c r="J61" s="391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201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96" t="s">
        <v>61</v>
      </c>
      <c r="J62" s="398"/>
      <c r="K62" s="234">
        <f>K60-K61</f>
        <v>46516.129032258068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400" t="s">
        <v>38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2"/>
      <c r="M67" s="24"/>
      <c r="N67" s="28"/>
      <c r="O67" s="386" t="s">
        <v>40</v>
      </c>
      <c r="P67" s="387"/>
      <c r="Q67" s="387"/>
      <c r="R67" s="388"/>
      <c r="S67" s="29"/>
      <c r="T67" s="386" t="s">
        <v>41</v>
      </c>
      <c r="U67" s="387"/>
      <c r="V67" s="387"/>
      <c r="W67" s="387"/>
      <c r="X67" s="387"/>
      <c r="Y67" s="388"/>
      <c r="Z67" s="30"/>
    </row>
    <row r="68" spans="1:26" s="25" customFormat="1" ht="18" customHeight="1" x14ac:dyDescent="0.2">
      <c r="A68" s="279"/>
      <c r="B68" s="277"/>
      <c r="C68" s="392" t="s">
        <v>212</v>
      </c>
      <c r="D68" s="392"/>
      <c r="E68" s="392"/>
      <c r="F68" s="392"/>
      <c r="G68" s="280" t="str">
        <f>$J$1</f>
        <v>December</v>
      </c>
      <c r="H68" s="395">
        <f>$K$1</f>
        <v>2023</v>
      </c>
      <c r="I68" s="395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173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96" t="s">
        <v>41</v>
      </c>
      <c r="G71" s="398"/>
      <c r="H71" s="277"/>
      <c r="I71" s="396" t="s">
        <v>42</v>
      </c>
      <c r="J71" s="397"/>
      <c r="K71" s="398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93" t="s">
        <v>40</v>
      </c>
      <c r="C73" s="394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90" t="s">
        <v>67</v>
      </c>
      <c r="J75" s="391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90" t="s">
        <v>68</v>
      </c>
      <c r="J76" s="391"/>
      <c r="K76" s="295">
        <f>G76</f>
        <v>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201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96" t="s">
        <v>61</v>
      </c>
      <c r="J77" s="398"/>
      <c r="K77" s="234">
        <f>K75-K76</f>
        <v>80000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/>
      <c r="Y80" s="64">
        <f t="shared" si="15"/>
        <v>40000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400" t="s">
        <v>38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2"/>
      <c r="M82" s="24"/>
      <c r="N82" s="28"/>
      <c r="O82" s="386" t="s">
        <v>40</v>
      </c>
      <c r="P82" s="387"/>
      <c r="Q82" s="387"/>
      <c r="R82" s="388"/>
      <c r="S82" s="29"/>
      <c r="T82" s="386" t="s">
        <v>41</v>
      </c>
      <c r="U82" s="387"/>
      <c r="V82" s="387"/>
      <c r="W82" s="387"/>
      <c r="X82" s="387"/>
      <c r="Y82" s="388"/>
      <c r="Z82" s="30"/>
      <c r="AA82" s="24"/>
    </row>
    <row r="83" spans="1:27" s="25" customFormat="1" ht="18" customHeight="1" x14ac:dyDescent="0.2">
      <c r="A83" s="279"/>
      <c r="B83" s="277"/>
      <c r="C83" s="392" t="s">
        <v>212</v>
      </c>
      <c r="D83" s="392"/>
      <c r="E83" s="392"/>
      <c r="F83" s="392"/>
      <c r="G83" s="280" t="str">
        <f>$J$1</f>
        <v>December</v>
      </c>
      <c r="H83" s="395">
        <f>$K$1</f>
        <v>2023</v>
      </c>
      <c r="I83" s="395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96" t="s">
        <v>41</v>
      </c>
      <c r="G86" s="398"/>
      <c r="H86" s="277"/>
      <c r="I86" s="396" t="s">
        <v>42</v>
      </c>
      <c r="J86" s="397"/>
      <c r="K86" s="398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93" t="s">
        <v>40</v>
      </c>
      <c r="C88" s="394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90" t="s">
        <v>67</v>
      </c>
      <c r="J90" s="391"/>
      <c r="K90" s="301">
        <f>K88+K89</f>
        <v>98790.322580645152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90" t="s">
        <v>68</v>
      </c>
      <c r="J91" s="391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92" s="277"/>
      <c r="E92" s="277"/>
      <c r="F92" s="309" t="s">
        <v>201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96" t="s">
        <v>61</v>
      </c>
      <c r="J92" s="398"/>
      <c r="K92" s="234">
        <f>K90-K91</f>
        <v>98790.322580645152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>
        <v>29</v>
      </c>
      <c r="Q95" s="36">
        <v>2</v>
      </c>
      <c r="R95" s="36">
        <f t="shared" si="16"/>
        <v>8</v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400" t="s">
        <v>38</v>
      </c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2"/>
      <c r="M97" s="24"/>
      <c r="N97" s="28"/>
      <c r="O97" s="386" t="s">
        <v>40</v>
      </c>
      <c r="P97" s="387"/>
      <c r="Q97" s="387"/>
      <c r="R97" s="388"/>
      <c r="S97" s="29"/>
      <c r="T97" s="386" t="s">
        <v>41</v>
      </c>
      <c r="U97" s="387"/>
      <c r="V97" s="387"/>
      <c r="W97" s="387"/>
      <c r="X97" s="387"/>
      <c r="Y97" s="388"/>
      <c r="Z97" s="30"/>
    </row>
    <row r="98" spans="1:27" s="25" customFormat="1" ht="18" customHeight="1" x14ac:dyDescent="0.2">
      <c r="A98" s="279"/>
      <c r="B98" s="277"/>
      <c r="C98" s="392" t="s">
        <v>212</v>
      </c>
      <c r="D98" s="392"/>
      <c r="E98" s="392"/>
      <c r="F98" s="392"/>
      <c r="G98" s="280" t="str">
        <f>$J$1</f>
        <v>December</v>
      </c>
      <c r="H98" s="395">
        <f>$K$1</f>
        <v>2023</v>
      </c>
      <c r="I98" s="395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96" t="s">
        <v>41</v>
      </c>
      <c r="G101" s="398"/>
      <c r="H101" s="277"/>
      <c r="I101" s="396" t="s">
        <v>42</v>
      </c>
      <c r="J101" s="397"/>
      <c r="K101" s="398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93" t="s">
        <v>40</v>
      </c>
      <c r="C103" s="394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90" t="s">
        <v>67</v>
      </c>
      <c r="J105" s="391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90" t="s">
        <v>68</v>
      </c>
      <c r="J106" s="391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201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96" t="s">
        <v>61</v>
      </c>
      <c r="J107" s="398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195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>
        <v>27</v>
      </c>
      <c r="Q110" s="36">
        <v>4</v>
      </c>
      <c r="R110" s="36">
        <f t="shared" si="23"/>
        <v>5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400" t="s">
        <v>38</v>
      </c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2"/>
      <c r="M112" s="24"/>
      <c r="N112" s="28"/>
      <c r="O112" s="386" t="s">
        <v>40</v>
      </c>
      <c r="P112" s="387"/>
      <c r="Q112" s="387"/>
      <c r="R112" s="388"/>
      <c r="S112" s="29"/>
      <c r="T112" s="386" t="s">
        <v>41</v>
      </c>
      <c r="U112" s="387"/>
      <c r="V112" s="387"/>
      <c r="W112" s="387"/>
      <c r="X112" s="387"/>
      <c r="Y112" s="388"/>
      <c r="Z112" s="30"/>
      <c r="AA112" s="24"/>
    </row>
    <row r="113" spans="1:27" s="25" customFormat="1" ht="18" customHeight="1" x14ac:dyDescent="0.2">
      <c r="A113" s="279"/>
      <c r="B113" s="277"/>
      <c r="C113" s="392" t="s">
        <v>212</v>
      </c>
      <c r="D113" s="392"/>
      <c r="E113" s="392"/>
      <c r="F113" s="392"/>
      <c r="G113" s="280" t="str">
        <f>$J$1</f>
        <v>December</v>
      </c>
      <c r="H113" s="395">
        <f>$K$1</f>
        <v>2023</v>
      </c>
      <c r="I113" s="395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96" t="s">
        <v>41</v>
      </c>
      <c r="G116" s="398"/>
      <c r="H116" s="277"/>
      <c r="I116" s="396" t="s">
        <v>42</v>
      </c>
      <c r="J116" s="397"/>
      <c r="K116" s="398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93" t="s">
        <v>40</v>
      </c>
      <c r="C118" s="394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/>
      <c r="J119" s="297" t="s">
        <v>60</v>
      </c>
      <c r="K119" s="301">
        <f>K114/$K$2/8*I119</f>
        <v>0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90" t="s">
        <v>67</v>
      </c>
      <c r="J120" s="391"/>
      <c r="K120" s="301">
        <f>K118+K119</f>
        <v>43000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90" t="s">
        <v>68</v>
      </c>
      <c r="J121" s="391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7</v>
      </c>
      <c r="D122" s="277"/>
      <c r="E122" s="277"/>
      <c r="F122" s="309" t="s">
        <v>201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63500</v>
      </c>
      <c r="H122" s="277"/>
      <c r="I122" s="396" t="s">
        <v>61</v>
      </c>
      <c r="J122" s="398"/>
      <c r="K122" s="234">
        <f>K120-K121</f>
        <v>36000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>
        <v>30</v>
      </c>
      <c r="Q124" s="36">
        <v>0</v>
      </c>
      <c r="R124" s="36">
        <f t="shared" si="24"/>
        <v>9</v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>
        <v>29</v>
      </c>
      <c r="Q125" s="36">
        <v>2</v>
      </c>
      <c r="R125" s="36">
        <f t="shared" si="24"/>
        <v>7</v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7000</v>
      </c>
      <c r="Y125" s="64">
        <f t="shared" si="27"/>
        <v>63500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400" t="s">
        <v>38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2"/>
      <c r="M127" s="24"/>
      <c r="N127" s="28"/>
      <c r="O127" s="386" t="s">
        <v>40</v>
      </c>
      <c r="P127" s="387"/>
      <c r="Q127" s="387"/>
      <c r="R127" s="388"/>
      <c r="S127" s="29"/>
      <c r="T127" s="386" t="s">
        <v>41</v>
      </c>
      <c r="U127" s="387"/>
      <c r="V127" s="387"/>
      <c r="W127" s="387"/>
      <c r="X127" s="387"/>
      <c r="Y127" s="388"/>
      <c r="Z127" s="30"/>
      <c r="AA127" s="24"/>
    </row>
    <row r="128" spans="1:27" s="25" customFormat="1" ht="18" customHeight="1" x14ac:dyDescent="0.2">
      <c r="A128" s="279"/>
      <c r="B128" s="277"/>
      <c r="C128" s="392" t="s">
        <v>212</v>
      </c>
      <c r="D128" s="392"/>
      <c r="E128" s="392"/>
      <c r="F128" s="392"/>
      <c r="G128" s="280" t="str">
        <f>$J$1</f>
        <v>December</v>
      </c>
      <c r="H128" s="395">
        <f>$K$1</f>
        <v>2023</v>
      </c>
      <c r="I128" s="395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96" t="s">
        <v>41</v>
      </c>
      <c r="G131" s="398"/>
      <c r="H131" s="277"/>
      <c r="I131" s="396" t="s">
        <v>42</v>
      </c>
      <c r="J131" s="397"/>
      <c r="K131" s="398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73258.06451612903</v>
      </c>
    </row>
    <row r="133" spans="1:28" s="25" customFormat="1" ht="18" customHeight="1" x14ac:dyDescent="0.2">
      <c r="A133" s="279"/>
      <c r="B133" s="393" t="s">
        <v>40</v>
      </c>
      <c r="C133" s="394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90" t="s">
        <v>67</v>
      </c>
      <c r="J135" s="391"/>
      <c r="K135" s="301">
        <f>K133+K134</f>
        <v>37258.06451612903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90" t="s">
        <v>68</v>
      </c>
      <c r="J136" s="391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9</v>
      </c>
      <c r="D137" s="277"/>
      <c r="E137" s="277"/>
      <c r="F137" s="309" t="s">
        <v>201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96" t="s">
        <v>61</v>
      </c>
      <c r="J137" s="398"/>
      <c r="K137" s="234">
        <f>K135-K136</f>
        <v>37258.06451612903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>
        <v>30</v>
      </c>
      <c r="Q140" s="36">
        <v>1</v>
      </c>
      <c r="R140" s="36">
        <f t="shared" si="28"/>
        <v>9</v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400" t="s">
        <v>38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2"/>
      <c r="M142" s="24"/>
      <c r="N142" s="28"/>
      <c r="O142" s="386" t="s">
        <v>40</v>
      </c>
      <c r="P142" s="387"/>
      <c r="Q142" s="387"/>
      <c r="R142" s="388"/>
      <c r="S142" s="29"/>
      <c r="T142" s="386" t="s">
        <v>41</v>
      </c>
      <c r="U142" s="387"/>
      <c r="V142" s="387"/>
      <c r="W142" s="387"/>
      <c r="X142" s="387"/>
      <c r="Y142" s="388"/>
      <c r="Z142" s="30"/>
      <c r="AA142" s="24"/>
    </row>
    <row r="143" spans="1:28" s="25" customFormat="1" ht="18" customHeight="1" x14ac:dyDescent="0.2">
      <c r="A143" s="279"/>
      <c r="B143" s="277"/>
      <c r="C143" s="392" t="s">
        <v>212</v>
      </c>
      <c r="D143" s="392"/>
      <c r="E143" s="392"/>
      <c r="F143" s="392"/>
      <c r="G143" s="280" t="str">
        <f>$J$1</f>
        <v>December</v>
      </c>
      <c r="H143" s="395">
        <f>$K$1</f>
        <v>2023</v>
      </c>
      <c r="I143" s="395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96" t="s">
        <v>41</v>
      </c>
      <c r="G146" s="398"/>
      <c r="H146" s="277"/>
      <c r="I146" s="396" t="s">
        <v>42</v>
      </c>
      <c r="J146" s="397"/>
      <c r="K146" s="398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93" t="s">
        <v>40</v>
      </c>
      <c r="C148" s="394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21</v>
      </c>
      <c r="J149" s="297" t="s">
        <v>60</v>
      </c>
      <c r="K149" s="301">
        <f>K144/$K$2/8*I149</f>
        <v>2963.7096774193546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90" t="s">
        <v>67</v>
      </c>
      <c r="J150" s="391"/>
      <c r="K150" s="301">
        <f>K148+K149</f>
        <v>37963.709677419356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90" t="s">
        <v>68</v>
      </c>
      <c r="J151" s="391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7"/>
      <c r="E152" s="277"/>
      <c r="F152" s="309" t="s">
        <v>201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96" t="s">
        <v>61</v>
      </c>
      <c r="J152" s="398"/>
      <c r="K152" s="234">
        <f>K150-K151</f>
        <v>30963.709677419356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>
        <v>29</v>
      </c>
      <c r="Q155" s="36">
        <v>2</v>
      </c>
      <c r="R155" s="36">
        <f t="shared" si="32"/>
        <v>7</v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400" t="s">
        <v>38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2"/>
      <c r="M157" s="24"/>
      <c r="N157" s="28"/>
      <c r="O157" s="386" t="s">
        <v>40</v>
      </c>
      <c r="P157" s="387"/>
      <c r="Q157" s="387"/>
      <c r="R157" s="388"/>
      <c r="S157" s="29"/>
      <c r="T157" s="386" t="s">
        <v>41</v>
      </c>
      <c r="U157" s="387"/>
      <c r="V157" s="387"/>
      <c r="W157" s="387"/>
      <c r="X157" s="387"/>
      <c r="Y157" s="388"/>
      <c r="Z157" s="30"/>
      <c r="AA157" s="24"/>
    </row>
    <row r="158" spans="1:27" s="25" customFormat="1" ht="18" customHeight="1" x14ac:dyDescent="0.2">
      <c r="A158" s="279"/>
      <c r="B158" s="277"/>
      <c r="C158" s="392" t="s">
        <v>212</v>
      </c>
      <c r="D158" s="392"/>
      <c r="E158" s="392"/>
      <c r="F158" s="392"/>
      <c r="G158" s="280" t="str">
        <f>$J$1</f>
        <v>December</v>
      </c>
      <c r="H158" s="395">
        <f>$K$1</f>
        <v>2023</v>
      </c>
      <c r="I158" s="395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96" t="s">
        <v>41</v>
      </c>
      <c r="G161" s="398"/>
      <c r="H161" s="277"/>
      <c r="I161" s="396" t="s">
        <v>42</v>
      </c>
      <c r="J161" s="397"/>
      <c r="K161" s="398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93" t="s">
        <v>40</v>
      </c>
      <c r="C163" s="394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12</v>
      </c>
      <c r="J164" s="297" t="s">
        <v>60</v>
      </c>
      <c r="K164" s="301">
        <f>K159/$K$2/8*I164</f>
        <v>2903.2258064516127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90" t="s">
        <v>67</v>
      </c>
      <c r="J165" s="391"/>
      <c r="K165" s="301">
        <f>K163+K164</f>
        <v>62903.225806451614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3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90" t="s">
        <v>68</v>
      </c>
      <c r="J166" s="391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7"/>
      <c r="E167" s="277"/>
      <c r="F167" s="309" t="s">
        <v>201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96" t="s">
        <v>61</v>
      </c>
      <c r="J167" s="398"/>
      <c r="K167" s="234">
        <f>K165-K166</f>
        <v>57903.225806451614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>
        <v>28</v>
      </c>
      <c r="Q170" s="36">
        <v>3</v>
      </c>
      <c r="R170" s="36">
        <f t="shared" si="36"/>
        <v>29</v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400" t="s">
        <v>38</v>
      </c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2"/>
      <c r="M172" s="24"/>
      <c r="N172" s="28"/>
      <c r="O172" s="386" t="s">
        <v>40</v>
      </c>
      <c r="P172" s="387"/>
      <c r="Q172" s="387"/>
      <c r="R172" s="388"/>
      <c r="S172" s="29"/>
      <c r="T172" s="386" t="s">
        <v>41</v>
      </c>
      <c r="U172" s="387"/>
      <c r="V172" s="387"/>
      <c r="W172" s="387"/>
      <c r="X172" s="387"/>
      <c r="Y172" s="388"/>
      <c r="Z172" s="30"/>
      <c r="AA172" s="24"/>
    </row>
    <row r="173" spans="1:27" s="25" customFormat="1" ht="18" customHeight="1" x14ac:dyDescent="0.2">
      <c r="A173" s="279"/>
      <c r="B173" s="277"/>
      <c r="C173" s="392" t="s">
        <v>212</v>
      </c>
      <c r="D173" s="392"/>
      <c r="E173" s="392"/>
      <c r="F173" s="392"/>
      <c r="G173" s="280" t="str">
        <f>$J$1</f>
        <v>December</v>
      </c>
      <c r="H173" s="395">
        <f>$K$1</f>
        <v>2023</v>
      </c>
      <c r="I173" s="395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96" t="s">
        <v>41</v>
      </c>
      <c r="G176" s="398"/>
      <c r="H176" s="277"/>
      <c r="I176" s="396" t="s">
        <v>42</v>
      </c>
      <c r="J176" s="397"/>
      <c r="K176" s="398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93" t="s">
        <v>40</v>
      </c>
      <c r="C178" s="394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342">
        <f>IF(C182&gt;0,$K$2,C180)+2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0</v>
      </c>
      <c r="J179" s="297" t="s">
        <v>60</v>
      </c>
      <c r="K179" s="301">
        <f>K174/$K$2/8*I179</f>
        <v>0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90" t="s">
        <v>67</v>
      </c>
      <c r="J180" s="391"/>
      <c r="K180" s="301">
        <f>K178+K179</f>
        <v>50000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90" t="s">
        <v>68</v>
      </c>
      <c r="J181" s="391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0</v>
      </c>
      <c r="D182" s="277"/>
      <c r="E182" s="277"/>
      <c r="F182" s="309" t="s">
        <v>201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96" t="s">
        <v>61</v>
      </c>
      <c r="J182" s="398"/>
      <c r="K182" s="234">
        <f>K180-K181</f>
        <v>43000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>
        <v>29</v>
      </c>
      <c r="Q185" s="36">
        <v>2</v>
      </c>
      <c r="R185" s="36">
        <f t="shared" si="40"/>
        <v>0</v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400" t="s">
        <v>38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2"/>
      <c r="M187" s="24"/>
      <c r="N187" s="28"/>
      <c r="O187" s="386" t="s">
        <v>40</v>
      </c>
      <c r="P187" s="387"/>
      <c r="Q187" s="387"/>
      <c r="R187" s="388"/>
      <c r="S187" s="29"/>
      <c r="T187" s="386" t="s">
        <v>41</v>
      </c>
      <c r="U187" s="387"/>
      <c r="V187" s="387"/>
      <c r="W187" s="387"/>
      <c r="X187" s="387"/>
      <c r="Y187" s="388"/>
      <c r="Z187" s="30"/>
      <c r="AA187" s="24"/>
    </row>
    <row r="188" spans="1:27" s="25" customFormat="1" ht="18" customHeight="1" x14ac:dyDescent="0.2">
      <c r="A188" s="279"/>
      <c r="B188" s="277"/>
      <c r="C188" s="392" t="s">
        <v>212</v>
      </c>
      <c r="D188" s="392"/>
      <c r="E188" s="392"/>
      <c r="F188" s="392"/>
      <c r="G188" s="280" t="str">
        <f>$J$1</f>
        <v>December</v>
      </c>
      <c r="H188" s="395">
        <f>$K$1</f>
        <v>2023</v>
      </c>
      <c r="I188" s="395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96" t="s">
        <v>41</v>
      </c>
      <c r="G191" s="398"/>
      <c r="H191" s="277"/>
      <c r="I191" s="396" t="s">
        <v>42</v>
      </c>
      <c r="J191" s="397"/>
      <c r="K191" s="398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93" t="s">
        <v>40</v>
      </c>
      <c r="C193" s="394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IF(C197&gt;=C196,$K$2,C195+C197)+5</f>
        <v>27</v>
      </c>
      <c r="J193" s="297" t="s">
        <v>59</v>
      </c>
      <c r="K193" s="298">
        <f>K189/$K$2*I193</f>
        <v>30483.870967741936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29</v>
      </c>
      <c r="J194" s="297" t="s">
        <v>60</v>
      </c>
      <c r="K194" s="301">
        <f>K189/$K$2/8*I194</f>
        <v>4092.7419354838707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22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90" t="s">
        <v>67</v>
      </c>
      <c r="J195" s="391"/>
      <c r="K195" s="301">
        <f>K193+K194</f>
        <v>34576.612903225803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9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90" t="s">
        <v>68</v>
      </c>
      <c r="J196" s="391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201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7"/>
      <c r="I197" s="396" t="s">
        <v>61</v>
      </c>
      <c r="J197" s="398"/>
      <c r="K197" s="234">
        <f>K195-K196</f>
        <v>29576.612903225803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347" t="s">
        <v>228</v>
      </c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>
        <v>22</v>
      </c>
      <c r="Q200" s="36">
        <v>9</v>
      </c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5000</v>
      </c>
      <c r="Y200" s="64">
        <f t="shared" si="47"/>
        <v>84000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400" t="s">
        <v>38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2"/>
      <c r="M202" s="24"/>
      <c r="N202" s="28"/>
      <c r="O202" s="386" t="s">
        <v>40</v>
      </c>
      <c r="P202" s="387"/>
      <c r="Q202" s="387"/>
      <c r="R202" s="388"/>
      <c r="S202" s="29"/>
      <c r="T202" s="386" t="s">
        <v>41</v>
      </c>
      <c r="U202" s="387"/>
      <c r="V202" s="387"/>
      <c r="W202" s="387"/>
      <c r="X202" s="387"/>
      <c r="Y202" s="388"/>
      <c r="Z202" s="30"/>
    </row>
    <row r="203" spans="1:26" s="25" customFormat="1" ht="18" customHeight="1" x14ac:dyDescent="0.2">
      <c r="A203" s="279"/>
      <c r="B203" s="277"/>
      <c r="C203" s="392" t="s">
        <v>212</v>
      </c>
      <c r="D203" s="392"/>
      <c r="E203" s="392"/>
      <c r="F203" s="392"/>
      <c r="G203" s="280" t="str">
        <f>$J$1</f>
        <v>December</v>
      </c>
      <c r="H203" s="395">
        <f>$K$1</f>
        <v>2023</v>
      </c>
      <c r="I203" s="395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96" t="s">
        <v>41</v>
      </c>
      <c r="G206" s="398"/>
      <c r="H206" s="277"/>
      <c r="I206" s="396" t="s">
        <v>42</v>
      </c>
      <c r="J206" s="397"/>
      <c r="K206" s="398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93" t="s">
        <v>40</v>
      </c>
      <c r="C208" s="394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22645.161290322583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0</v>
      </c>
      <c r="J209" s="297" t="s">
        <v>60</v>
      </c>
      <c r="K209" s="301">
        <f>K204/$K$2/8*I209</f>
        <v>0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90" t="s">
        <v>67</v>
      </c>
      <c r="J210" s="391"/>
      <c r="K210" s="301">
        <f>K208+K209</f>
        <v>22645.161290322583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4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90" t="s">
        <v>68</v>
      </c>
      <c r="J211" s="391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201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96" t="s">
        <v>61</v>
      </c>
      <c r="J212" s="398"/>
      <c r="K212" s="234">
        <f>K210-K211</f>
        <v>14645.161290322583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>
        <v>27</v>
      </c>
      <c r="Q215" s="36">
        <v>4</v>
      </c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400" t="s">
        <v>38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2"/>
      <c r="M217" s="24"/>
      <c r="N217" s="28"/>
      <c r="O217" s="386" t="s">
        <v>40</v>
      </c>
      <c r="P217" s="387"/>
      <c r="Q217" s="387"/>
      <c r="R217" s="388"/>
      <c r="S217" s="29"/>
      <c r="T217" s="386" t="s">
        <v>41</v>
      </c>
      <c r="U217" s="387"/>
      <c r="V217" s="387"/>
      <c r="W217" s="387"/>
      <c r="X217" s="387"/>
      <c r="Y217" s="388"/>
      <c r="Z217" s="30"/>
    </row>
    <row r="218" spans="1:26" s="25" customFormat="1" ht="18" customHeight="1" x14ac:dyDescent="0.2">
      <c r="A218" s="279"/>
      <c r="B218" s="277"/>
      <c r="C218" s="392" t="s">
        <v>212</v>
      </c>
      <c r="D218" s="392"/>
      <c r="E218" s="392"/>
      <c r="F218" s="392"/>
      <c r="G218" s="280" t="str">
        <f>$J$1</f>
        <v>December</v>
      </c>
      <c r="H218" s="395">
        <f>$K$1</f>
        <v>2023</v>
      </c>
      <c r="I218" s="395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96" t="s">
        <v>41</v>
      </c>
      <c r="G221" s="398"/>
      <c r="H221" s="277"/>
      <c r="I221" s="396" t="s">
        <v>42</v>
      </c>
      <c r="J221" s="397"/>
      <c r="K221" s="398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93" t="s">
        <v>40</v>
      </c>
      <c r="C223" s="394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342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24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90" t="s">
        <v>67</v>
      </c>
      <c r="J225" s="391"/>
      <c r="K225" s="301">
        <f>K223+K224</f>
        <v>36129.032258064515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90" t="s">
        <v>68</v>
      </c>
      <c r="J226" s="391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201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96" t="s">
        <v>61</v>
      </c>
      <c r="J227" s="398"/>
      <c r="K227" s="234">
        <f>K225-K226</f>
        <v>34129.032258064515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>
        <v>24</v>
      </c>
      <c r="Q230" s="36">
        <v>7</v>
      </c>
      <c r="R230" s="343">
        <f>15-Q230+3</f>
        <v>11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400" t="s">
        <v>38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2"/>
      <c r="M232" s="24"/>
      <c r="N232" s="28"/>
      <c r="O232" s="386" t="s">
        <v>40</v>
      </c>
      <c r="P232" s="387"/>
      <c r="Q232" s="387"/>
      <c r="R232" s="388"/>
      <c r="S232" s="29"/>
      <c r="T232" s="386" t="s">
        <v>41</v>
      </c>
      <c r="U232" s="387"/>
      <c r="V232" s="387"/>
      <c r="W232" s="387"/>
      <c r="X232" s="387"/>
      <c r="Y232" s="388"/>
      <c r="Z232" s="27"/>
    </row>
    <row r="233" spans="1:26" s="25" customFormat="1" ht="18" customHeight="1" x14ac:dyDescent="0.2">
      <c r="A233" s="279"/>
      <c r="B233" s="277"/>
      <c r="C233" s="392" t="s">
        <v>212</v>
      </c>
      <c r="D233" s="392"/>
      <c r="E233" s="392"/>
      <c r="F233" s="392"/>
      <c r="G233" s="280" t="str">
        <f>$J$1</f>
        <v>December</v>
      </c>
      <c r="H233" s="395">
        <f>$K$1</f>
        <v>2023</v>
      </c>
      <c r="I233" s="395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215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96" t="s">
        <v>41</v>
      </c>
      <c r="G236" s="398"/>
      <c r="H236" s="277"/>
      <c r="I236" s="396" t="s">
        <v>42</v>
      </c>
      <c r="J236" s="397"/>
      <c r="K236" s="398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93" t="s">
        <v>40</v>
      </c>
      <c r="C238" s="394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90" t="s">
        <v>67</v>
      </c>
      <c r="J240" s="391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90" t="s">
        <v>68</v>
      </c>
      <c r="J241" s="391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201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96" t="s">
        <v>61</v>
      </c>
      <c r="J242" s="398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>
        <v>31</v>
      </c>
      <c r="Q245" s="36">
        <v>0</v>
      </c>
      <c r="R245" s="36">
        <f t="shared" si="58"/>
        <v>0</v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400" t="s">
        <v>38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2"/>
      <c r="M247" s="24"/>
      <c r="N247" s="28"/>
      <c r="O247" s="386" t="s">
        <v>40</v>
      </c>
      <c r="P247" s="387"/>
      <c r="Q247" s="387"/>
      <c r="R247" s="388"/>
      <c r="S247" s="29"/>
      <c r="T247" s="386" t="s">
        <v>41</v>
      </c>
      <c r="U247" s="387"/>
      <c r="V247" s="387"/>
      <c r="W247" s="387"/>
      <c r="X247" s="387"/>
      <c r="Y247" s="388"/>
      <c r="Z247" s="27"/>
    </row>
    <row r="248" spans="1:26" s="25" customFormat="1" ht="18" customHeight="1" x14ac:dyDescent="0.2">
      <c r="A248" s="279"/>
      <c r="B248" s="277"/>
      <c r="C248" s="392" t="s">
        <v>212</v>
      </c>
      <c r="D248" s="392"/>
      <c r="E248" s="392"/>
      <c r="F248" s="392"/>
      <c r="G248" s="280" t="str">
        <f>$J$1</f>
        <v>December</v>
      </c>
      <c r="H248" s="395">
        <f>$K$1</f>
        <v>2023</v>
      </c>
      <c r="I248" s="395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199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96" t="s">
        <v>41</v>
      </c>
      <c r="G251" s="398"/>
      <c r="H251" s="277"/>
      <c r="I251" s="396" t="s">
        <v>42</v>
      </c>
      <c r="J251" s="397"/>
      <c r="K251" s="398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93" t="s">
        <v>40</v>
      </c>
      <c r="C253" s="394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90" t="s">
        <v>67</v>
      </c>
      <c r="J255" s="391"/>
      <c r="K255" s="301">
        <f>K253+K254</f>
        <v>55604.838709677424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90" t="s">
        <v>68</v>
      </c>
      <c r="J256" s="391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201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96" t="s">
        <v>61</v>
      </c>
      <c r="J257" s="398"/>
      <c r="K257" s="234">
        <f>K255-K256</f>
        <v>55604.838709677424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>
        <v>31</v>
      </c>
      <c r="Q260" s="36">
        <v>0</v>
      </c>
      <c r="R260" s="36">
        <f t="shared" ref="R260" si="64">IF(Q260="","",R259-Q260)</f>
        <v>0</v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400" t="s">
        <v>38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2"/>
      <c r="M262" s="24"/>
      <c r="N262" s="28"/>
      <c r="O262" s="386" t="s">
        <v>40</v>
      </c>
      <c r="P262" s="387"/>
      <c r="Q262" s="387"/>
      <c r="R262" s="388"/>
      <c r="S262" s="29"/>
      <c r="T262" s="386" t="s">
        <v>41</v>
      </c>
      <c r="U262" s="387"/>
      <c r="V262" s="387"/>
      <c r="W262" s="387"/>
      <c r="X262" s="387"/>
      <c r="Y262" s="388"/>
      <c r="Z262" s="30"/>
    </row>
    <row r="263" spans="1:26" s="25" customFormat="1" ht="18" customHeight="1" x14ac:dyDescent="0.2">
      <c r="A263" s="279"/>
      <c r="B263" s="277"/>
      <c r="C263" s="392" t="s">
        <v>212</v>
      </c>
      <c r="D263" s="392"/>
      <c r="E263" s="392"/>
      <c r="F263" s="392"/>
      <c r="G263" s="280" t="str">
        <f>$J$1</f>
        <v>December</v>
      </c>
      <c r="H263" s="395">
        <f>$K$1</f>
        <v>2023</v>
      </c>
      <c r="I263" s="395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198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96" t="s">
        <v>41</v>
      </c>
      <c r="G266" s="398"/>
      <c r="H266" s="277"/>
      <c r="I266" s="396" t="s">
        <v>42</v>
      </c>
      <c r="J266" s="397"/>
      <c r="K266" s="398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93" t="s">
        <v>40</v>
      </c>
      <c r="C268" s="394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30</v>
      </c>
      <c r="J268" s="297" t="s">
        <v>59</v>
      </c>
      <c r="K268" s="298">
        <f>K264/$K$2*I268</f>
        <v>33870.967741935485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90" t="s">
        <v>67</v>
      </c>
      <c r="J270" s="391"/>
      <c r="K270" s="301">
        <f>K268+K269</f>
        <v>45725.806451612902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90" t="s">
        <v>68</v>
      </c>
      <c r="J271" s="391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201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96" t="s">
        <v>61</v>
      </c>
      <c r="J272" s="398"/>
      <c r="K272" s="234">
        <f>K270-K271</f>
        <v>45725.806451612902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>
        <v>30</v>
      </c>
      <c r="Q275" s="36">
        <v>1</v>
      </c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400" t="s">
        <v>38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2"/>
      <c r="M277" s="24"/>
      <c r="N277" s="28"/>
      <c r="O277" s="386" t="s">
        <v>40</v>
      </c>
      <c r="P277" s="387"/>
      <c r="Q277" s="387"/>
      <c r="R277" s="388"/>
      <c r="S277" s="29"/>
      <c r="T277" s="386" t="s">
        <v>41</v>
      </c>
      <c r="U277" s="387"/>
      <c r="V277" s="387"/>
      <c r="W277" s="387"/>
      <c r="X277" s="387"/>
      <c r="Y277" s="388"/>
      <c r="Z277" s="30"/>
      <c r="AA277" s="24"/>
    </row>
    <row r="278" spans="1:27" s="25" customFormat="1" ht="18" customHeight="1" x14ac:dyDescent="0.2">
      <c r="A278" s="279"/>
      <c r="B278" s="277"/>
      <c r="C278" s="392" t="s">
        <v>212</v>
      </c>
      <c r="D278" s="392"/>
      <c r="E278" s="392"/>
      <c r="F278" s="392"/>
      <c r="G278" s="280" t="str">
        <f>$J$1</f>
        <v>December</v>
      </c>
      <c r="H278" s="395">
        <f>$K$1</f>
        <v>2023</v>
      </c>
      <c r="I278" s="395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96" t="s">
        <v>41</v>
      </c>
      <c r="G281" s="398"/>
      <c r="H281" s="277"/>
      <c r="I281" s="396" t="s">
        <v>42</v>
      </c>
      <c r="J281" s="397"/>
      <c r="K281" s="398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93" t="s">
        <v>40</v>
      </c>
      <c r="C283" s="394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90" t="s">
        <v>67</v>
      </c>
      <c r="J285" s="391"/>
      <c r="K285" s="301">
        <f>K283+K284</f>
        <v>36411.290322580644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90" t="s">
        <v>68</v>
      </c>
      <c r="J286" s="391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201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96" t="s">
        <v>61</v>
      </c>
      <c r="J287" s="398"/>
      <c r="K287" s="234">
        <f>K285-K286</f>
        <v>31411.290322580644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24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>
        <v>29</v>
      </c>
      <c r="Q290" s="36">
        <v>2</v>
      </c>
      <c r="R290" s="36">
        <f>R289-Q290</f>
        <v>9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400" t="s">
        <v>38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2"/>
      <c r="M292" s="24"/>
      <c r="N292" s="28"/>
      <c r="O292" s="386" t="s">
        <v>40</v>
      </c>
      <c r="P292" s="387"/>
      <c r="Q292" s="387"/>
      <c r="R292" s="388"/>
      <c r="S292" s="29"/>
      <c r="T292" s="386" t="s">
        <v>41</v>
      </c>
      <c r="U292" s="387"/>
      <c r="V292" s="387"/>
      <c r="W292" s="387"/>
      <c r="X292" s="387"/>
      <c r="Y292" s="388"/>
      <c r="Z292" s="30"/>
      <c r="AA292" s="24"/>
    </row>
    <row r="293" spans="1:27" s="25" customFormat="1" ht="18" customHeight="1" x14ac:dyDescent="0.2">
      <c r="A293" s="279"/>
      <c r="B293" s="277"/>
      <c r="C293" s="392" t="s">
        <v>212</v>
      </c>
      <c r="D293" s="392"/>
      <c r="E293" s="392"/>
      <c r="F293" s="392"/>
      <c r="G293" s="280" t="str">
        <f>$J$1</f>
        <v>December</v>
      </c>
      <c r="H293" s="395">
        <f>$K$1</f>
        <v>2023</v>
      </c>
      <c r="I293" s="395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96" t="s">
        <v>41</v>
      </c>
      <c r="G296" s="398"/>
      <c r="H296" s="277"/>
      <c r="I296" s="396" t="s">
        <v>42</v>
      </c>
      <c r="J296" s="397"/>
      <c r="K296" s="398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4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93" t="s">
        <v>40</v>
      </c>
      <c r="C298" s="394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2">
        <f>IF(C302&gt;=C301,$K$2,C300+C302)+5</f>
        <v>30</v>
      </c>
      <c r="J298" s="297" t="s">
        <v>59</v>
      </c>
      <c r="K298" s="298">
        <f>K294/$K$2*I298</f>
        <v>62903.225806451621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90" t="s">
        <v>67</v>
      </c>
      <c r="J300" s="391"/>
      <c r="K300" s="301">
        <f>K298+K299</f>
        <v>62903.225806451621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90" t="s">
        <v>68</v>
      </c>
      <c r="J301" s="391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77"/>
      <c r="E302" s="277"/>
      <c r="F302" s="309" t="s">
        <v>201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96" t="s">
        <v>61</v>
      </c>
      <c r="J302" s="398"/>
      <c r="K302" s="234">
        <f>K300-K301</f>
        <v>57903.225806451621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>
        <v>25</v>
      </c>
      <c r="Q305" s="36">
        <v>6</v>
      </c>
      <c r="R305" s="36">
        <v>0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400" t="s">
        <v>38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2"/>
      <c r="M307" s="24"/>
      <c r="N307" s="28"/>
      <c r="O307" s="386" t="s">
        <v>40</v>
      </c>
      <c r="P307" s="387"/>
      <c r="Q307" s="387"/>
      <c r="R307" s="388"/>
      <c r="S307" s="29"/>
      <c r="T307" s="386" t="s">
        <v>41</v>
      </c>
      <c r="U307" s="387"/>
      <c r="V307" s="387"/>
      <c r="W307" s="387"/>
      <c r="X307" s="387"/>
      <c r="Y307" s="388"/>
      <c r="Z307" s="30"/>
      <c r="AA307" s="24"/>
    </row>
    <row r="308" spans="1:27" s="25" customFormat="1" ht="18" customHeight="1" x14ac:dyDescent="0.2">
      <c r="A308" s="279"/>
      <c r="B308" s="277"/>
      <c r="C308" s="392" t="s">
        <v>212</v>
      </c>
      <c r="D308" s="392"/>
      <c r="E308" s="392"/>
      <c r="F308" s="392"/>
      <c r="G308" s="280" t="str">
        <f>$J$1</f>
        <v>December</v>
      </c>
      <c r="H308" s="395">
        <f>$K$1</f>
        <v>2023</v>
      </c>
      <c r="I308" s="395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96" t="s">
        <v>41</v>
      </c>
      <c r="G311" s="398"/>
      <c r="H311" s="277"/>
      <c r="I311" s="396" t="s">
        <v>42</v>
      </c>
      <c r="J311" s="397"/>
      <c r="K311" s="398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93" t="s">
        <v>40</v>
      </c>
      <c r="C313" s="394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90" t="s">
        <v>67</v>
      </c>
      <c r="J315" s="391"/>
      <c r="K315" s="301">
        <f>K313+K314</f>
        <v>45302.419354838712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90" t="s">
        <v>68</v>
      </c>
      <c r="J316" s="391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201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96" t="s">
        <v>61</v>
      </c>
      <c r="J317" s="398"/>
      <c r="K317" s="234">
        <f>K315-K316</f>
        <v>42302.419354838712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>
        <v>31</v>
      </c>
      <c r="Q320" s="36">
        <v>0</v>
      </c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400" t="s">
        <v>38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2"/>
      <c r="M322" s="24"/>
      <c r="N322" s="28"/>
      <c r="O322" s="386" t="s">
        <v>40</v>
      </c>
      <c r="P322" s="387"/>
      <c r="Q322" s="387"/>
      <c r="R322" s="388"/>
      <c r="S322" s="29"/>
      <c r="T322" s="386" t="s">
        <v>41</v>
      </c>
      <c r="U322" s="387"/>
      <c r="V322" s="387"/>
      <c r="W322" s="387"/>
      <c r="X322" s="387"/>
      <c r="Y322" s="388"/>
      <c r="Z322" s="30"/>
      <c r="AA322" s="24"/>
    </row>
    <row r="323" spans="1:27" s="25" customFormat="1" ht="18" customHeight="1" x14ac:dyDescent="0.2">
      <c r="A323" s="279"/>
      <c r="B323" s="277"/>
      <c r="C323" s="392" t="s">
        <v>212</v>
      </c>
      <c r="D323" s="392"/>
      <c r="E323" s="392"/>
      <c r="F323" s="392"/>
      <c r="G323" s="280" t="str">
        <f>$J$1</f>
        <v>December</v>
      </c>
      <c r="H323" s="395">
        <f>$K$1</f>
        <v>2023</v>
      </c>
      <c r="I323" s="395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19000+3000+5000</f>
        <v>27000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96" t="s">
        <v>41</v>
      </c>
      <c r="G326" s="398"/>
      <c r="H326" s="277"/>
      <c r="I326" s="396" t="s">
        <v>42</v>
      </c>
      <c r="J326" s="397"/>
      <c r="K326" s="398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93" t="s">
        <v>40</v>
      </c>
      <c r="C328" s="394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27000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12411.290322580646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90" t="s">
        <v>67</v>
      </c>
      <c r="J330" s="391"/>
      <c r="K330" s="301">
        <f>K328+K329</f>
        <v>39411.290322580644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90" t="s">
        <v>68</v>
      </c>
      <c r="J331" s="391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201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96" t="s">
        <v>61</v>
      </c>
      <c r="J332" s="398"/>
      <c r="K332" s="234">
        <f>K330-K331</f>
        <v>37411.290322580644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>
        <v>31</v>
      </c>
      <c r="Q335" s="36">
        <v>0</v>
      </c>
      <c r="R335" s="36">
        <f t="shared" si="83"/>
        <v>8</v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400" t="s">
        <v>38</v>
      </c>
      <c r="B337" s="401"/>
      <c r="C337" s="401"/>
      <c r="D337" s="401"/>
      <c r="E337" s="401"/>
      <c r="F337" s="401"/>
      <c r="G337" s="401"/>
      <c r="H337" s="401"/>
      <c r="I337" s="401"/>
      <c r="J337" s="401"/>
      <c r="K337" s="401"/>
      <c r="L337" s="402"/>
      <c r="M337" s="24"/>
      <c r="N337" s="28"/>
      <c r="O337" s="386" t="s">
        <v>40</v>
      </c>
      <c r="P337" s="387"/>
      <c r="Q337" s="387"/>
      <c r="R337" s="388"/>
      <c r="S337" s="29"/>
      <c r="T337" s="386" t="s">
        <v>41</v>
      </c>
      <c r="U337" s="387"/>
      <c r="V337" s="387"/>
      <c r="W337" s="387"/>
      <c r="X337" s="387"/>
      <c r="Y337" s="388"/>
      <c r="Z337" s="30"/>
    </row>
    <row r="338" spans="1:26" s="25" customFormat="1" ht="18" customHeight="1" x14ac:dyDescent="0.2">
      <c r="A338" s="279"/>
      <c r="B338" s="277"/>
      <c r="C338" s="392" t="s">
        <v>212</v>
      </c>
      <c r="D338" s="392"/>
      <c r="E338" s="392"/>
      <c r="F338" s="392"/>
      <c r="G338" s="280" t="str">
        <f>$J$1</f>
        <v>December</v>
      </c>
      <c r="H338" s="395">
        <f>$K$1</f>
        <v>2023</v>
      </c>
      <c r="I338" s="395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96" t="s">
        <v>41</v>
      </c>
      <c r="G341" s="398"/>
      <c r="H341" s="277"/>
      <c r="I341" s="396" t="s">
        <v>42</v>
      </c>
      <c r="J341" s="397"/>
      <c r="K341" s="398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93" t="s">
        <v>40</v>
      </c>
      <c r="C343" s="394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90" t="s">
        <v>67</v>
      </c>
      <c r="J345" s="391"/>
      <c r="K345" s="301">
        <f>K343+K344</f>
        <v>40221.774193548386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90" t="s">
        <v>68</v>
      </c>
      <c r="J346" s="391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201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96" t="s">
        <v>61</v>
      </c>
      <c r="J347" s="398"/>
      <c r="K347" s="234">
        <f>K345-K346</f>
        <v>40221.774193548386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>
        <v>31</v>
      </c>
      <c r="Q350" s="36">
        <v>0</v>
      </c>
      <c r="R350" s="36">
        <f t="shared" si="89"/>
        <v>6</v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400" t="s">
        <v>38</v>
      </c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2"/>
      <c r="M352" s="24"/>
      <c r="N352" s="28"/>
      <c r="O352" s="386" t="s">
        <v>40</v>
      </c>
      <c r="P352" s="387"/>
      <c r="Q352" s="387"/>
      <c r="R352" s="388"/>
      <c r="S352" s="29"/>
      <c r="T352" s="386" t="s">
        <v>41</v>
      </c>
      <c r="U352" s="387"/>
      <c r="V352" s="387"/>
      <c r="W352" s="387"/>
      <c r="X352" s="387"/>
      <c r="Y352" s="388"/>
      <c r="Z352" s="30"/>
    </row>
    <row r="353" spans="1:26" s="25" customFormat="1" ht="18" customHeight="1" x14ac:dyDescent="0.2">
      <c r="A353" s="279"/>
      <c r="B353" s="277"/>
      <c r="C353" s="392" t="s">
        <v>212</v>
      </c>
      <c r="D353" s="392"/>
      <c r="E353" s="392"/>
      <c r="F353" s="392"/>
      <c r="G353" s="280" t="str">
        <f>$J$1</f>
        <v>December</v>
      </c>
      <c r="H353" s="395">
        <f>$K$1</f>
        <v>2023</v>
      </c>
      <c r="I353" s="395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4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96" t="s">
        <v>41</v>
      </c>
      <c r="G356" s="398"/>
      <c r="H356" s="277"/>
      <c r="I356" s="396" t="s">
        <v>42</v>
      </c>
      <c r="J356" s="397"/>
      <c r="K356" s="398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93" t="s">
        <v>40</v>
      </c>
      <c r="C358" s="394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90" t="s">
        <v>67</v>
      </c>
      <c r="J360" s="391"/>
      <c r="K360" s="301">
        <f>K358+K359</f>
        <v>29395.16129032258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90" t="s">
        <v>68</v>
      </c>
      <c r="J361" s="391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77"/>
      <c r="E362" s="277"/>
      <c r="F362" s="309" t="s">
        <v>201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96" t="s">
        <v>61</v>
      </c>
      <c r="J362" s="398"/>
      <c r="K362" s="234">
        <f>K360-K361</f>
        <v>29395.16129032258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>
        <v>31</v>
      </c>
      <c r="Q365" s="36">
        <v>0</v>
      </c>
      <c r="R365" s="36">
        <v>0</v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400" t="s">
        <v>38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2"/>
      <c r="M367" s="24"/>
      <c r="N367" s="28"/>
      <c r="O367" s="386" t="s">
        <v>40</v>
      </c>
      <c r="P367" s="387"/>
      <c r="Q367" s="387"/>
      <c r="R367" s="388"/>
      <c r="S367" s="29"/>
      <c r="T367" s="386" t="s">
        <v>41</v>
      </c>
      <c r="U367" s="387"/>
      <c r="V367" s="387"/>
      <c r="W367" s="387"/>
      <c r="X367" s="387"/>
      <c r="Y367" s="388"/>
      <c r="Z367" s="30"/>
    </row>
    <row r="368" spans="1:26" s="25" customFormat="1" ht="18" customHeight="1" x14ac:dyDescent="0.2">
      <c r="A368" s="279"/>
      <c r="B368" s="277"/>
      <c r="C368" s="392" t="s">
        <v>212</v>
      </c>
      <c r="D368" s="392"/>
      <c r="E368" s="392"/>
      <c r="F368" s="392"/>
      <c r="G368" s="280" t="str">
        <f>$J$1</f>
        <v>December</v>
      </c>
      <c r="H368" s="395">
        <f>$K$1</f>
        <v>2023</v>
      </c>
      <c r="I368" s="395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96" t="s">
        <v>41</v>
      </c>
      <c r="G371" s="398"/>
      <c r="H371" s="277"/>
      <c r="I371" s="396" t="s">
        <v>42</v>
      </c>
      <c r="J371" s="397"/>
      <c r="K371" s="398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93" t="s">
        <v>40</v>
      </c>
      <c r="C373" s="394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15</v>
      </c>
      <c r="J373" s="297" t="s">
        <v>59</v>
      </c>
      <c r="K373" s="298">
        <f>K369/$K$2*I373</f>
        <v>13548.387096774193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15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90" t="s">
        <v>67</v>
      </c>
      <c r="J375" s="391"/>
      <c r="K375" s="301">
        <f>K373+K374</f>
        <v>13548.387096774193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16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90" t="s">
        <v>68</v>
      </c>
      <c r="J376" s="391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201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96" t="s">
        <v>61</v>
      </c>
      <c r="J377" s="398"/>
      <c r="K377" s="234">
        <f>K375-K376</f>
        <v>13548.387096774193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>
        <v>15</v>
      </c>
      <c r="Q380" s="36">
        <v>16</v>
      </c>
      <c r="R380" s="36">
        <v>0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400" t="s">
        <v>38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2"/>
      <c r="M382" s="24"/>
      <c r="N382" s="28"/>
      <c r="O382" s="386" t="s">
        <v>40</v>
      </c>
      <c r="P382" s="387"/>
      <c r="Q382" s="387"/>
      <c r="R382" s="388"/>
      <c r="S382" s="29"/>
      <c r="T382" s="386" t="s">
        <v>41</v>
      </c>
      <c r="U382" s="387"/>
      <c r="V382" s="387"/>
      <c r="W382" s="387"/>
      <c r="X382" s="387"/>
      <c r="Y382" s="388"/>
      <c r="Z382" s="30"/>
      <c r="AA382" s="24"/>
    </row>
    <row r="383" spans="1:27" s="25" customFormat="1" ht="18" customHeight="1" x14ac:dyDescent="0.2">
      <c r="A383" s="279"/>
      <c r="B383" s="277"/>
      <c r="C383" s="392" t="s">
        <v>212</v>
      </c>
      <c r="D383" s="392"/>
      <c r="E383" s="392"/>
      <c r="F383" s="392"/>
      <c r="G383" s="280" t="str">
        <f>$J$1</f>
        <v>December</v>
      </c>
      <c r="H383" s="395">
        <f>$K$1</f>
        <v>2023</v>
      </c>
      <c r="I383" s="395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96" t="s">
        <v>41</v>
      </c>
      <c r="G386" s="398"/>
      <c r="H386" s="277"/>
      <c r="I386" s="396" t="s">
        <v>42</v>
      </c>
      <c r="J386" s="397"/>
      <c r="K386" s="398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93" t="s">
        <v>40</v>
      </c>
      <c r="C388" s="394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90" t="s">
        <v>67</v>
      </c>
      <c r="J390" s="391"/>
      <c r="K390" s="301">
        <f>K388+K389</f>
        <v>26411.290322580644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90" t="s">
        <v>68</v>
      </c>
      <c r="J391" s="391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201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96" t="s">
        <v>61</v>
      </c>
      <c r="J392" s="398"/>
      <c r="K392" s="234">
        <f>K390-K391</f>
        <v>24411.290322580644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>
        <v>31</v>
      </c>
      <c r="Q395" s="36">
        <v>0</v>
      </c>
      <c r="R395" s="36">
        <f t="shared" si="105"/>
        <v>10</v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400" t="s">
        <v>38</v>
      </c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2"/>
      <c r="M397" s="24"/>
      <c r="N397" s="28"/>
      <c r="O397" s="386" t="s">
        <v>40</v>
      </c>
      <c r="P397" s="387"/>
      <c r="Q397" s="387"/>
      <c r="R397" s="388"/>
      <c r="S397" s="29"/>
      <c r="T397" s="386" t="s">
        <v>41</v>
      </c>
      <c r="U397" s="387"/>
      <c r="V397" s="387"/>
      <c r="W397" s="387"/>
      <c r="X397" s="387"/>
      <c r="Y397" s="388"/>
      <c r="Z397" s="30"/>
      <c r="AA397" s="24"/>
    </row>
    <row r="398" spans="1:27" s="25" customFormat="1" ht="18" customHeight="1" x14ac:dyDescent="0.2">
      <c r="A398" s="279"/>
      <c r="B398" s="277"/>
      <c r="C398" s="392" t="s">
        <v>212</v>
      </c>
      <c r="D398" s="392"/>
      <c r="E398" s="392"/>
      <c r="F398" s="392"/>
      <c r="G398" s="280" t="str">
        <f>$J$1</f>
        <v>December</v>
      </c>
      <c r="H398" s="395">
        <f>$K$1</f>
        <v>2023</v>
      </c>
      <c r="I398" s="395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96" t="s">
        <v>41</v>
      </c>
      <c r="G401" s="398"/>
      <c r="H401" s="277"/>
      <c r="I401" s="396" t="s">
        <v>42</v>
      </c>
      <c r="J401" s="397"/>
      <c r="K401" s="398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93" t="s">
        <v>40</v>
      </c>
      <c r="C403" s="394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3</v>
      </c>
      <c r="J404" s="297" t="s">
        <v>60</v>
      </c>
      <c r="K404" s="301">
        <f>K399/$K$2/8*I404</f>
        <v>326.61290322580646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27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90" t="s">
        <v>67</v>
      </c>
      <c r="J405" s="391"/>
      <c r="K405" s="301">
        <f>K403+K404</f>
        <v>27326.612903225807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4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90" t="s">
        <v>68</v>
      </c>
      <c r="J406" s="391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4</v>
      </c>
      <c r="D407" s="277"/>
      <c r="E407" s="277"/>
      <c r="F407" s="309" t="s">
        <v>201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96" t="s">
        <v>61</v>
      </c>
      <c r="J407" s="398"/>
      <c r="K407" s="234">
        <f>K405-K406</f>
        <v>25326.612903225807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>
        <v>27</v>
      </c>
      <c r="Q410" s="36">
        <v>4</v>
      </c>
      <c r="R410" s="36">
        <f t="shared" si="109"/>
        <v>4</v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400" t="s">
        <v>38</v>
      </c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2"/>
      <c r="M412" s="24"/>
      <c r="N412" s="28"/>
      <c r="O412" s="386" t="s">
        <v>40</v>
      </c>
      <c r="P412" s="387"/>
      <c r="Q412" s="387"/>
      <c r="R412" s="388"/>
      <c r="S412" s="29"/>
      <c r="T412" s="386" t="s">
        <v>41</v>
      </c>
      <c r="U412" s="387"/>
      <c r="V412" s="387"/>
      <c r="W412" s="387"/>
      <c r="X412" s="387"/>
      <c r="Y412" s="388"/>
      <c r="Z412" s="30"/>
    </row>
    <row r="413" spans="1:26" s="25" customFormat="1" ht="18" customHeight="1" x14ac:dyDescent="0.2">
      <c r="A413" s="279"/>
      <c r="B413" s="277"/>
      <c r="C413" s="392" t="s">
        <v>212</v>
      </c>
      <c r="D413" s="392"/>
      <c r="E413" s="392"/>
      <c r="F413" s="392"/>
      <c r="G413" s="280" t="str">
        <f>$J$1</f>
        <v>December</v>
      </c>
      <c r="H413" s="395">
        <f>$K$1</f>
        <v>2023</v>
      </c>
      <c r="I413" s="395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191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96" t="s">
        <v>41</v>
      </c>
      <c r="G416" s="398"/>
      <c r="H416" s="277"/>
      <c r="I416" s="396" t="s">
        <v>42</v>
      </c>
      <c r="J416" s="397"/>
      <c r="K416" s="398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93" t="s">
        <v>40</v>
      </c>
      <c r="C418" s="394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30</v>
      </c>
      <c r="J418" s="297" t="s">
        <v>59</v>
      </c>
      <c r="K418" s="298">
        <f>K414/$K$2*I418</f>
        <v>29032.258064516129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90" t="s">
        <v>67</v>
      </c>
      <c r="J420" s="391"/>
      <c r="K420" s="301">
        <f>K418+K419</f>
        <v>35443.548387096773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90" t="s">
        <v>68</v>
      </c>
      <c r="J421" s="391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201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96" t="s">
        <v>61</v>
      </c>
      <c r="J422" s="398"/>
      <c r="K422" s="234">
        <f>K420-K421</f>
        <v>29443.548387096773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>
        <v>30</v>
      </c>
      <c r="Q425" s="36">
        <v>1</v>
      </c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400" t="s">
        <v>38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2"/>
      <c r="M427" s="24"/>
      <c r="N427" s="28"/>
      <c r="O427" s="386" t="s">
        <v>40</v>
      </c>
      <c r="P427" s="387"/>
      <c r="Q427" s="387"/>
      <c r="R427" s="388"/>
      <c r="S427" s="29"/>
      <c r="T427" s="386" t="s">
        <v>41</v>
      </c>
      <c r="U427" s="387"/>
      <c r="V427" s="387"/>
      <c r="W427" s="387"/>
      <c r="X427" s="387"/>
      <c r="Y427" s="388"/>
      <c r="Z427" s="30"/>
      <c r="AA427" s="24"/>
    </row>
    <row r="428" spans="1:29" s="25" customFormat="1" ht="18" customHeight="1" x14ac:dyDescent="0.2">
      <c r="A428" s="279"/>
      <c r="B428" s="277"/>
      <c r="C428" s="392" t="s">
        <v>212</v>
      </c>
      <c r="D428" s="392"/>
      <c r="E428" s="392"/>
      <c r="F428" s="392"/>
      <c r="G428" s="280" t="str">
        <f>$J$1</f>
        <v>December</v>
      </c>
      <c r="H428" s="395">
        <f>$K$1</f>
        <v>2023</v>
      </c>
      <c r="I428" s="395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96" t="s">
        <v>41</v>
      </c>
      <c r="G431" s="398"/>
      <c r="H431" s="277"/>
      <c r="I431" s="396" t="s">
        <v>42</v>
      </c>
      <c r="J431" s="397"/>
      <c r="K431" s="398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93" t="s">
        <v>40</v>
      </c>
      <c r="C433" s="394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74</v>
      </c>
      <c r="J434" s="297" t="s">
        <v>60</v>
      </c>
      <c r="K434" s="301">
        <f>K429/$K$2/8*I434</f>
        <v>7907.2580645161297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90" t="s">
        <v>67</v>
      </c>
      <c r="J435" s="391"/>
      <c r="K435" s="301">
        <f>K433+K434</f>
        <v>34407.258064516129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90" t="s">
        <v>68</v>
      </c>
      <c r="J436" s="391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201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96" t="s">
        <v>61</v>
      </c>
      <c r="J437" s="398"/>
      <c r="K437" s="234">
        <f>K435-K436</f>
        <v>34407.258064516129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>
        <v>31</v>
      </c>
      <c r="Q440" s="36">
        <v>0</v>
      </c>
      <c r="R440" s="36">
        <f t="shared" si="119"/>
        <v>0</v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400" t="s">
        <v>38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2"/>
      <c r="M442" s="24"/>
      <c r="N442" s="28"/>
      <c r="O442" s="386" t="s">
        <v>40</v>
      </c>
      <c r="P442" s="387"/>
      <c r="Q442" s="387"/>
      <c r="R442" s="388"/>
      <c r="S442" s="29"/>
      <c r="T442" s="386" t="s">
        <v>41</v>
      </c>
      <c r="U442" s="387"/>
      <c r="V442" s="387"/>
      <c r="W442" s="387"/>
      <c r="X442" s="387"/>
      <c r="Y442" s="388"/>
      <c r="Z442" s="30"/>
    </row>
    <row r="443" spans="1:26" s="25" customFormat="1" ht="18" customHeight="1" x14ac:dyDescent="0.2">
      <c r="A443" s="279"/>
      <c r="B443" s="277"/>
      <c r="C443" s="392" t="s">
        <v>212</v>
      </c>
      <c r="D443" s="392"/>
      <c r="E443" s="392"/>
      <c r="F443" s="392"/>
      <c r="G443" s="280" t="str">
        <f>$J$1</f>
        <v>December</v>
      </c>
      <c r="H443" s="395">
        <f>$K$1</f>
        <v>2023</v>
      </c>
      <c r="I443" s="395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96" t="s">
        <v>41</v>
      </c>
      <c r="G446" s="398"/>
      <c r="H446" s="277"/>
      <c r="I446" s="396" t="s">
        <v>42</v>
      </c>
      <c r="J446" s="397"/>
      <c r="K446" s="398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93" t="s">
        <v>40</v>
      </c>
      <c r="C448" s="394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71</v>
      </c>
      <c r="J449" s="297" t="s">
        <v>60</v>
      </c>
      <c r="K449" s="301">
        <f>K444/$K$2/8*I449</f>
        <v>7586.6935483870975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90" t="s">
        <v>67</v>
      </c>
      <c r="J450" s="391"/>
      <c r="K450" s="301">
        <f>K448+K449</f>
        <v>34086.693548387098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90" t="s">
        <v>68</v>
      </c>
      <c r="J451" s="391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201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96" t="s">
        <v>61</v>
      </c>
      <c r="J452" s="398"/>
      <c r="K452" s="234">
        <f>K450-K451</f>
        <v>34086.693548387098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>
        <v>31</v>
      </c>
      <c r="Q455" s="36">
        <v>0</v>
      </c>
      <c r="R455" s="36">
        <v>0</v>
      </c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400" t="s">
        <v>38</v>
      </c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2"/>
      <c r="M457" s="24"/>
      <c r="N457" s="28"/>
      <c r="O457" s="386" t="s">
        <v>40</v>
      </c>
      <c r="P457" s="387"/>
      <c r="Q457" s="387"/>
      <c r="R457" s="388"/>
      <c r="S457" s="29"/>
      <c r="T457" s="386" t="s">
        <v>41</v>
      </c>
      <c r="U457" s="387"/>
      <c r="V457" s="387"/>
      <c r="W457" s="387"/>
      <c r="X457" s="387"/>
      <c r="Y457" s="388"/>
      <c r="Z457" s="30"/>
      <c r="AA457" s="24"/>
    </row>
    <row r="458" spans="1:27" s="25" customFormat="1" ht="18" customHeight="1" x14ac:dyDescent="0.2">
      <c r="A458" s="279"/>
      <c r="B458" s="277"/>
      <c r="C458" s="392" t="s">
        <v>212</v>
      </c>
      <c r="D458" s="392"/>
      <c r="E458" s="392"/>
      <c r="F458" s="392"/>
      <c r="G458" s="280" t="str">
        <f>$J$1</f>
        <v>December</v>
      </c>
      <c r="H458" s="395">
        <f>$K$1</f>
        <v>2023</v>
      </c>
      <c r="I458" s="395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197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69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96" t="s">
        <v>41</v>
      </c>
      <c r="G461" s="398"/>
      <c r="H461" s="277"/>
      <c r="I461" s="396" t="s">
        <v>42</v>
      </c>
      <c r="J461" s="397"/>
      <c r="K461" s="398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93" t="s">
        <v>40</v>
      </c>
      <c r="C463" s="394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29</v>
      </c>
      <c r="J463" s="297" t="s">
        <v>59</v>
      </c>
      <c r="K463" s="298">
        <f>K459/$K$2*I463</f>
        <v>29935.483870967742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12</v>
      </c>
      <c r="J464" s="297" t="s">
        <v>60</v>
      </c>
      <c r="K464" s="301">
        <f>K459/$K$2/8*I464</f>
        <v>1548.3870967741937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29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90" t="s">
        <v>67</v>
      </c>
      <c r="J465" s="391"/>
      <c r="K465" s="301">
        <f>K463+K464</f>
        <v>31483.870967741936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2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90" t="s">
        <v>68</v>
      </c>
      <c r="J466" s="391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201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96" t="s">
        <v>61</v>
      </c>
      <c r="J467" s="398"/>
      <c r="K467" s="234">
        <f>K465-K466</f>
        <v>31483.870967741936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>
        <v>29</v>
      </c>
      <c r="Q470" s="36">
        <v>2</v>
      </c>
      <c r="R470" s="36">
        <v>0</v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400" t="s">
        <v>38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2"/>
      <c r="M472" s="24"/>
      <c r="N472" s="28"/>
      <c r="O472" s="386" t="s">
        <v>40</v>
      </c>
      <c r="P472" s="387"/>
      <c r="Q472" s="387"/>
      <c r="R472" s="388"/>
      <c r="S472" s="29"/>
      <c r="T472" s="386" t="s">
        <v>41</v>
      </c>
      <c r="U472" s="387"/>
      <c r="V472" s="387"/>
      <c r="W472" s="387"/>
      <c r="X472" s="387"/>
      <c r="Y472" s="388"/>
      <c r="Z472" s="30"/>
    </row>
    <row r="473" spans="1:26" s="25" customFormat="1" ht="18" customHeight="1" x14ac:dyDescent="0.2">
      <c r="A473" s="279"/>
      <c r="B473" s="277"/>
      <c r="C473" s="392" t="s">
        <v>212</v>
      </c>
      <c r="D473" s="392"/>
      <c r="E473" s="392"/>
      <c r="F473" s="392"/>
      <c r="G473" s="280" t="str">
        <f>$J$1</f>
        <v>December</v>
      </c>
      <c r="H473" s="395">
        <f>$K$1</f>
        <v>2023</v>
      </c>
      <c r="I473" s="395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96" t="s">
        <v>41</v>
      </c>
      <c r="G476" s="398"/>
      <c r="H476" s="277"/>
      <c r="I476" s="396" t="s">
        <v>42</v>
      </c>
      <c r="J476" s="397"/>
      <c r="K476" s="398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93" t="s">
        <v>40</v>
      </c>
      <c r="C478" s="394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28</v>
      </c>
      <c r="J479" s="297" t="s">
        <v>60</v>
      </c>
      <c r="K479" s="301">
        <f>K474/$K$2/8*I479</f>
        <v>3556.4516129032259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90" t="s">
        <v>67</v>
      </c>
      <c r="J480" s="391"/>
      <c r="K480" s="301">
        <f>K478+K479</f>
        <v>35056.451612903227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90" t="s">
        <v>68</v>
      </c>
      <c r="J481" s="391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201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96" t="s">
        <v>61</v>
      </c>
      <c r="J482" s="398"/>
      <c r="K482" s="234">
        <f>K480-K481</f>
        <v>35056.451612903227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>
        <v>31</v>
      </c>
      <c r="Q485" s="36">
        <v>0</v>
      </c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400" t="s">
        <v>38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2"/>
      <c r="M487" s="24"/>
      <c r="N487" s="28"/>
      <c r="O487" s="386" t="s">
        <v>40</v>
      </c>
      <c r="P487" s="387"/>
      <c r="Q487" s="387"/>
      <c r="R487" s="388"/>
      <c r="S487" s="29"/>
      <c r="T487" s="386" t="s">
        <v>41</v>
      </c>
      <c r="U487" s="387"/>
      <c r="V487" s="387"/>
      <c r="W487" s="387"/>
      <c r="X487" s="387"/>
      <c r="Y487" s="388"/>
      <c r="Z487" s="30"/>
      <c r="AA487" s="24"/>
    </row>
    <row r="488" spans="1:27" s="25" customFormat="1" ht="18" customHeight="1" x14ac:dyDescent="0.2">
      <c r="A488" s="279"/>
      <c r="B488" s="277"/>
      <c r="C488" s="392" t="s">
        <v>212</v>
      </c>
      <c r="D488" s="392"/>
      <c r="E488" s="392"/>
      <c r="F488" s="392"/>
      <c r="G488" s="280" t="str">
        <f>$J$1</f>
        <v>December</v>
      </c>
      <c r="H488" s="395">
        <f>$K$1</f>
        <v>2023</v>
      </c>
      <c r="I488" s="395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96" t="s">
        <v>41</v>
      </c>
      <c r="G491" s="398"/>
      <c r="H491" s="277"/>
      <c r="I491" s="396" t="s">
        <v>42</v>
      </c>
      <c r="J491" s="397"/>
      <c r="K491" s="398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93" t="s">
        <v>40</v>
      </c>
      <c r="C493" s="394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90" t="s">
        <v>67</v>
      </c>
      <c r="J495" s="391"/>
      <c r="K495" s="301">
        <f>K493+K494</f>
        <v>36774.193548387098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90" t="s">
        <v>68</v>
      </c>
      <c r="J496" s="391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201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96" t="s">
        <v>61</v>
      </c>
      <c r="J497" s="398"/>
      <c r="K497" s="234">
        <f>K495-K496</f>
        <v>31774.193548387098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>
        <v>31</v>
      </c>
      <c r="Q500" s="36">
        <v>0</v>
      </c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400" t="s">
        <v>38</v>
      </c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2"/>
      <c r="M502" s="24"/>
      <c r="N502" s="28"/>
      <c r="O502" s="386" t="s">
        <v>40</v>
      </c>
      <c r="P502" s="387"/>
      <c r="Q502" s="387"/>
      <c r="R502" s="388"/>
      <c r="S502" s="29"/>
      <c r="T502" s="386" t="s">
        <v>41</v>
      </c>
      <c r="U502" s="387"/>
      <c r="V502" s="387"/>
      <c r="W502" s="387"/>
      <c r="X502" s="387"/>
      <c r="Y502" s="388"/>
      <c r="Z502" s="30"/>
      <c r="AA502" s="24"/>
    </row>
    <row r="503" spans="1:27" s="25" customFormat="1" ht="18" customHeight="1" x14ac:dyDescent="0.2">
      <c r="A503" s="279"/>
      <c r="B503" s="277"/>
      <c r="C503" s="392" t="s">
        <v>212</v>
      </c>
      <c r="D503" s="392"/>
      <c r="E503" s="392"/>
      <c r="F503" s="392"/>
      <c r="G503" s="280" t="str">
        <f>$J$1</f>
        <v>December</v>
      </c>
      <c r="H503" s="395">
        <f>$K$1</f>
        <v>2023</v>
      </c>
      <c r="I503" s="395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96" t="s">
        <v>41</v>
      </c>
      <c r="G506" s="398"/>
      <c r="H506" s="277"/>
      <c r="I506" s="396" t="s">
        <v>42</v>
      </c>
      <c r="J506" s="397"/>
      <c r="K506" s="398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93" t="s">
        <v>40</v>
      </c>
      <c r="C508" s="394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36290.322580645166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90" t="s">
        <v>67</v>
      </c>
      <c r="J510" s="391"/>
      <c r="K510" s="301">
        <f>K508+K509</f>
        <v>37500.000000000007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90" t="s">
        <v>68</v>
      </c>
      <c r="J511" s="391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201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96" t="s">
        <v>61</v>
      </c>
      <c r="J512" s="398"/>
      <c r="K512" s="234">
        <f>K510-K511</f>
        <v>37500.000000000007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>
        <v>30</v>
      </c>
      <c r="Q515" s="36">
        <v>1</v>
      </c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400" t="s">
        <v>38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2"/>
      <c r="M517" s="24"/>
      <c r="N517" s="28"/>
      <c r="O517" s="386" t="s">
        <v>40</v>
      </c>
      <c r="P517" s="387"/>
      <c r="Q517" s="387"/>
      <c r="R517" s="388"/>
      <c r="S517" s="29"/>
      <c r="T517" s="386" t="s">
        <v>41</v>
      </c>
      <c r="U517" s="387"/>
      <c r="V517" s="387"/>
      <c r="W517" s="387"/>
      <c r="X517" s="387"/>
      <c r="Y517" s="388"/>
      <c r="Z517" s="30"/>
    </row>
    <row r="518" spans="1:26" s="25" customFormat="1" ht="18" customHeight="1" x14ac:dyDescent="0.2">
      <c r="A518" s="279"/>
      <c r="B518" s="277"/>
      <c r="C518" s="392" t="s">
        <v>212</v>
      </c>
      <c r="D518" s="392"/>
      <c r="E518" s="392"/>
      <c r="F518" s="392"/>
      <c r="G518" s="280" t="str">
        <f>$J$1</f>
        <v>December</v>
      </c>
      <c r="H518" s="395">
        <f>$K$1</f>
        <v>2023</v>
      </c>
      <c r="I518" s="395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96" t="s">
        <v>41</v>
      </c>
      <c r="G521" s="398"/>
      <c r="H521" s="277"/>
      <c r="I521" s="396" t="s">
        <v>42</v>
      </c>
      <c r="J521" s="397"/>
      <c r="K521" s="398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93" t="s">
        <v>40</v>
      </c>
      <c r="C523" s="394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90" t="s">
        <v>67</v>
      </c>
      <c r="J525" s="391"/>
      <c r="K525" s="301">
        <f>K523+K524</f>
        <v>33782.258064516129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90" t="s">
        <v>68</v>
      </c>
      <c r="J526" s="391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201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96" t="s">
        <v>61</v>
      </c>
      <c r="J527" s="398"/>
      <c r="K527" s="234">
        <f>K525-K526</f>
        <v>33782.258064516129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>
        <v>31</v>
      </c>
      <c r="Q530" s="36">
        <v>0</v>
      </c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400" t="s">
        <v>38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2"/>
      <c r="M532" s="24"/>
      <c r="N532" s="28"/>
      <c r="O532" s="386" t="s">
        <v>40</v>
      </c>
      <c r="P532" s="387"/>
      <c r="Q532" s="387"/>
      <c r="R532" s="388"/>
      <c r="S532" s="29"/>
      <c r="T532" s="386" t="s">
        <v>41</v>
      </c>
      <c r="U532" s="387"/>
      <c r="V532" s="387"/>
      <c r="W532" s="387"/>
      <c r="X532" s="387"/>
      <c r="Y532" s="388"/>
      <c r="Z532" s="30"/>
      <c r="AA532" s="24"/>
    </row>
    <row r="533" spans="1:27" s="25" customFormat="1" ht="18" customHeight="1" x14ac:dyDescent="0.2">
      <c r="A533" s="279"/>
      <c r="B533" s="277"/>
      <c r="C533" s="392" t="s">
        <v>212</v>
      </c>
      <c r="D533" s="392"/>
      <c r="E533" s="392"/>
      <c r="F533" s="392"/>
      <c r="G533" s="280" t="str">
        <f>$J$1</f>
        <v>December</v>
      </c>
      <c r="H533" s="395">
        <f>$K$1</f>
        <v>2023</v>
      </c>
      <c r="I533" s="395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168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96" t="s">
        <v>41</v>
      </c>
      <c r="G536" s="398"/>
      <c r="H536" s="277"/>
      <c r="I536" s="396" t="s">
        <v>42</v>
      </c>
      <c r="J536" s="397"/>
      <c r="K536" s="398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93" t="s">
        <v>40</v>
      </c>
      <c r="C538" s="394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90" t="s">
        <v>67</v>
      </c>
      <c r="J540" s="391"/>
      <c r="K540" s="301">
        <f>K538+K539</f>
        <v>30645.161290322583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90" t="s">
        <v>68</v>
      </c>
      <c r="J541" s="391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201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96" t="s">
        <v>61</v>
      </c>
      <c r="J542" s="398"/>
      <c r="K542" s="234">
        <f>K540-K541</f>
        <v>28645.161290322583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>
        <v>31</v>
      </c>
      <c r="Q545" s="36">
        <v>0</v>
      </c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400" t="s">
        <v>38</v>
      </c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2"/>
      <c r="M547" s="24"/>
      <c r="N547" s="28"/>
      <c r="O547" s="386" t="s">
        <v>40</v>
      </c>
      <c r="P547" s="387"/>
      <c r="Q547" s="387"/>
      <c r="R547" s="388"/>
      <c r="S547" s="29"/>
      <c r="T547" s="386" t="s">
        <v>41</v>
      </c>
      <c r="U547" s="387"/>
      <c r="V547" s="387"/>
      <c r="W547" s="387"/>
      <c r="X547" s="387"/>
      <c r="Y547" s="388"/>
      <c r="Z547" s="30"/>
      <c r="AA547" s="24"/>
    </row>
    <row r="548" spans="1:27" s="25" customFormat="1" ht="18" customHeight="1" x14ac:dyDescent="0.2">
      <c r="A548" s="279"/>
      <c r="B548" s="277"/>
      <c r="C548" s="392" t="s">
        <v>212</v>
      </c>
      <c r="D548" s="392"/>
      <c r="E548" s="392"/>
      <c r="F548" s="392"/>
      <c r="G548" s="280" t="str">
        <f>$J$1</f>
        <v>December</v>
      </c>
      <c r="H548" s="395">
        <f>$K$1</f>
        <v>2023</v>
      </c>
      <c r="I548" s="395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205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96" t="s">
        <v>41</v>
      </c>
      <c r="G551" s="398"/>
      <c r="H551" s="277"/>
      <c r="I551" s="396" t="s">
        <v>42</v>
      </c>
      <c r="J551" s="397"/>
      <c r="K551" s="398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93" t="s">
        <v>40</v>
      </c>
      <c r="C553" s="394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29</v>
      </c>
      <c r="J553" s="297" t="s">
        <v>59</v>
      </c>
      <c r="K553" s="298">
        <f>K549/$K$2*I553</f>
        <v>42096.774193548386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29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90" t="s">
        <v>67</v>
      </c>
      <c r="J555" s="391"/>
      <c r="K555" s="301">
        <f>K553+K554</f>
        <v>42096.774193548386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2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90" t="s">
        <v>68</v>
      </c>
      <c r="J556" s="391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77"/>
      <c r="E557" s="277"/>
      <c r="F557" s="309" t="s">
        <v>201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96" t="s">
        <v>61</v>
      </c>
      <c r="J557" s="398"/>
      <c r="K557" s="234">
        <f>K555-K556</f>
        <v>42096.774193548386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>
        <v>29</v>
      </c>
      <c r="Q560" s="36">
        <v>2</v>
      </c>
      <c r="R560" s="36">
        <v>0</v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400" t="s">
        <v>38</v>
      </c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2"/>
      <c r="M562" s="24"/>
      <c r="N562" s="28"/>
      <c r="O562" s="386" t="s">
        <v>40</v>
      </c>
      <c r="P562" s="387"/>
      <c r="Q562" s="387"/>
      <c r="R562" s="388"/>
      <c r="S562" s="29"/>
      <c r="T562" s="386" t="s">
        <v>41</v>
      </c>
      <c r="U562" s="387"/>
      <c r="V562" s="387"/>
      <c r="W562" s="387"/>
      <c r="X562" s="387"/>
      <c r="Y562" s="388"/>
      <c r="Z562" s="30"/>
      <c r="AA562" s="24"/>
    </row>
    <row r="563" spans="1:27" s="25" customFormat="1" ht="18" customHeight="1" x14ac:dyDescent="0.2">
      <c r="A563" s="279"/>
      <c r="B563" s="277"/>
      <c r="C563" s="392" t="s">
        <v>212</v>
      </c>
      <c r="D563" s="392"/>
      <c r="E563" s="392"/>
      <c r="F563" s="392"/>
      <c r="G563" s="280" t="str">
        <f>$J$1</f>
        <v>December</v>
      </c>
      <c r="H563" s="395">
        <f>$K$1</f>
        <v>2023</v>
      </c>
      <c r="I563" s="395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96" t="s">
        <v>41</v>
      </c>
      <c r="G566" s="398"/>
      <c r="H566" s="277"/>
      <c r="I566" s="396" t="s">
        <v>42</v>
      </c>
      <c r="J566" s="397"/>
      <c r="K566" s="398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93" t="s">
        <v>40</v>
      </c>
      <c r="C568" s="394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51</v>
      </c>
      <c r="J569" s="297" t="s">
        <v>60</v>
      </c>
      <c r="K569" s="301">
        <f>K564/$K$2/8*I569</f>
        <v>7197.5806451612898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90" t="s">
        <v>67</v>
      </c>
      <c r="J570" s="391"/>
      <c r="K570" s="301">
        <f>K568+K569</f>
        <v>42197.580645161288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90" t="s">
        <v>68</v>
      </c>
      <c r="J571" s="391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201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96" t="s">
        <v>61</v>
      </c>
      <c r="J572" s="398"/>
      <c r="K572" s="234">
        <f>K570-K571</f>
        <v>37197.580645161288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>
        <v>31</v>
      </c>
      <c r="Q575" s="36">
        <v>0</v>
      </c>
      <c r="R575" s="36">
        <f t="shared" si="142"/>
        <v>19</v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406" t="s">
        <v>38</v>
      </c>
      <c r="B577" s="407"/>
      <c r="C577" s="407"/>
      <c r="D577" s="407"/>
      <c r="E577" s="407"/>
      <c r="F577" s="407"/>
      <c r="G577" s="407"/>
      <c r="H577" s="407"/>
      <c r="I577" s="407"/>
      <c r="J577" s="407"/>
      <c r="K577" s="407"/>
      <c r="L577" s="408"/>
      <c r="M577" s="24"/>
      <c r="N577" s="28"/>
      <c r="O577" s="386" t="s">
        <v>40</v>
      </c>
      <c r="P577" s="387"/>
      <c r="Q577" s="387"/>
      <c r="R577" s="388"/>
      <c r="S577" s="29"/>
      <c r="T577" s="386" t="s">
        <v>41</v>
      </c>
      <c r="U577" s="387"/>
      <c r="V577" s="387"/>
      <c r="W577" s="387"/>
      <c r="X577" s="387"/>
      <c r="Y577" s="388"/>
      <c r="Z577" s="30"/>
      <c r="AA577" s="24"/>
    </row>
    <row r="578" spans="1:27" s="25" customFormat="1" ht="18" customHeight="1" x14ac:dyDescent="0.2">
      <c r="A578" s="279"/>
      <c r="B578" s="277"/>
      <c r="C578" s="392" t="s">
        <v>212</v>
      </c>
      <c r="D578" s="392"/>
      <c r="E578" s="392"/>
      <c r="F578" s="392"/>
      <c r="G578" s="280" t="str">
        <f>$J$1</f>
        <v>December</v>
      </c>
      <c r="H578" s="395">
        <f>$K$1</f>
        <v>2023</v>
      </c>
      <c r="I578" s="395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222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89" t="s">
        <v>41</v>
      </c>
      <c r="G581" s="389"/>
      <c r="H581" s="277"/>
      <c r="I581" s="389" t="s">
        <v>42</v>
      </c>
      <c r="J581" s="389"/>
      <c r="K581" s="389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93" t="s">
        <v>40</v>
      </c>
      <c r="C583" s="394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29</v>
      </c>
      <c r="J583" s="297" t="s">
        <v>59</v>
      </c>
      <c r="K583" s="298">
        <f>K579/$K$2*I583</f>
        <v>37419.354838709674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90" t="s">
        <v>67</v>
      </c>
      <c r="J585" s="391"/>
      <c r="K585" s="301">
        <f>K583+K584</f>
        <v>45967.741935483864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90" t="s">
        <v>68</v>
      </c>
      <c r="J586" s="391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96" t="s">
        <v>61</v>
      </c>
      <c r="J587" s="398"/>
      <c r="K587" s="234">
        <f>K585-K586</f>
        <v>45967.741935483864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399" t="s">
        <v>82</v>
      </c>
      <c r="C589" s="399"/>
      <c r="D589" s="399"/>
      <c r="E589" s="399"/>
      <c r="F589" s="399"/>
      <c r="G589" s="399"/>
      <c r="H589" s="399"/>
      <c r="I589" s="399"/>
      <c r="J589" s="399"/>
      <c r="K589" s="399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291"/>
      <c r="N590" s="35"/>
      <c r="O590" s="36" t="s">
        <v>56</v>
      </c>
      <c r="P590" s="36">
        <v>29</v>
      </c>
      <c r="Q590" s="36">
        <v>2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400" t="s">
        <v>38</v>
      </c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2"/>
      <c r="M593" s="24"/>
      <c r="N593" s="28"/>
      <c r="O593" s="386" t="s">
        <v>40</v>
      </c>
      <c r="P593" s="387"/>
      <c r="Q593" s="387"/>
      <c r="R593" s="388"/>
      <c r="S593" s="29"/>
      <c r="T593" s="386" t="s">
        <v>41</v>
      </c>
      <c r="U593" s="387"/>
      <c r="V593" s="387"/>
      <c r="W593" s="387"/>
      <c r="X593" s="387"/>
      <c r="Y593" s="388"/>
      <c r="Z593" s="30"/>
      <c r="AA593" s="24"/>
    </row>
    <row r="594" spans="1:27" s="25" customFormat="1" ht="18" customHeight="1" x14ac:dyDescent="0.2">
      <c r="A594" s="279"/>
      <c r="B594" s="277"/>
      <c r="C594" s="392" t="s">
        <v>212</v>
      </c>
      <c r="D594" s="392"/>
      <c r="E594" s="392"/>
      <c r="F594" s="392"/>
      <c r="G594" s="280" t="str">
        <f>$J$1</f>
        <v>December</v>
      </c>
      <c r="H594" s="395">
        <f>$K$1</f>
        <v>2023</v>
      </c>
      <c r="I594" s="395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200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96" t="s">
        <v>41</v>
      </c>
      <c r="G597" s="398"/>
      <c r="H597" s="277"/>
      <c r="I597" s="396" t="s">
        <v>42</v>
      </c>
      <c r="J597" s="397"/>
      <c r="K597" s="398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93" t="s">
        <v>40</v>
      </c>
      <c r="C599" s="394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25</v>
      </c>
      <c r="J599" s="297" t="s">
        <v>59</v>
      </c>
      <c r="K599" s="298">
        <f>K595/$K$2*I599</f>
        <v>28225.806451612902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90" t="s">
        <v>67</v>
      </c>
      <c r="J601" s="391"/>
      <c r="K601" s="301">
        <f>K599+K600</f>
        <v>35987.903225806447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90" t="s">
        <v>68</v>
      </c>
      <c r="J602" s="391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201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96" t="s">
        <v>61</v>
      </c>
      <c r="J603" s="398"/>
      <c r="K603" s="234">
        <f>K601-K602</f>
        <v>33987.903225806447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>
        <v>25</v>
      </c>
      <c r="Q606" s="36">
        <v>6</v>
      </c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400" t="s">
        <v>38</v>
      </c>
      <c r="B608" s="401"/>
      <c r="C608" s="401"/>
      <c r="D608" s="401"/>
      <c r="E608" s="401"/>
      <c r="F608" s="401"/>
      <c r="G608" s="401"/>
      <c r="H608" s="401"/>
      <c r="I608" s="401"/>
      <c r="J608" s="401"/>
      <c r="K608" s="401"/>
      <c r="L608" s="402"/>
      <c r="M608" s="24"/>
      <c r="N608" s="28"/>
      <c r="O608" s="386" t="s">
        <v>40</v>
      </c>
      <c r="P608" s="387"/>
      <c r="Q608" s="387"/>
      <c r="R608" s="388"/>
      <c r="S608" s="29"/>
      <c r="T608" s="386" t="s">
        <v>41</v>
      </c>
      <c r="U608" s="387"/>
      <c r="V608" s="387"/>
      <c r="W608" s="387"/>
      <c r="X608" s="387"/>
      <c r="Y608" s="388"/>
      <c r="Z608" s="30"/>
      <c r="AA608" s="24"/>
    </row>
    <row r="609" spans="1:27" s="25" customFormat="1" ht="18" customHeight="1" x14ac:dyDescent="0.2">
      <c r="A609" s="279"/>
      <c r="B609" s="277"/>
      <c r="C609" s="392" t="s">
        <v>212</v>
      </c>
      <c r="D609" s="392"/>
      <c r="E609" s="392"/>
      <c r="F609" s="392"/>
      <c r="G609" s="280" t="str">
        <f>$J$1</f>
        <v>December</v>
      </c>
      <c r="H609" s="395">
        <f>$K$1</f>
        <v>2023</v>
      </c>
      <c r="I609" s="395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194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96" t="s">
        <v>41</v>
      </c>
      <c r="G612" s="398"/>
      <c r="H612" s="277"/>
      <c r="I612" s="396" t="s">
        <v>42</v>
      </c>
      <c r="J612" s="397"/>
      <c r="K612" s="398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93" t="s">
        <v>40</v>
      </c>
      <c r="C614" s="394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11</v>
      </c>
      <c r="J615" s="297" t="s">
        <v>60</v>
      </c>
      <c r="K615" s="301">
        <f>K610/$K$2/8*I615</f>
        <v>1330.6451612903227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31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90" t="s">
        <v>67</v>
      </c>
      <c r="J616" s="391"/>
      <c r="K616" s="301">
        <f>K614+K615</f>
        <v>31330.645161290322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90" t="s">
        <v>68</v>
      </c>
      <c r="J617" s="391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201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96" t="s">
        <v>61</v>
      </c>
      <c r="J618" s="398"/>
      <c r="K618" s="234">
        <f>K616-K617</f>
        <v>31330.645161290322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>
        <v>31</v>
      </c>
      <c r="Q621" s="36">
        <v>0</v>
      </c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406" t="s">
        <v>38</v>
      </c>
      <c r="B623" s="407"/>
      <c r="C623" s="407"/>
      <c r="D623" s="407"/>
      <c r="E623" s="407"/>
      <c r="F623" s="407"/>
      <c r="G623" s="407"/>
      <c r="H623" s="407"/>
      <c r="I623" s="407"/>
      <c r="J623" s="407"/>
      <c r="K623" s="407"/>
      <c r="L623" s="408"/>
      <c r="M623" s="24"/>
      <c r="N623" s="28"/>
      <c r="O623" s="386" t="s">
        <v>40</v>
      </c>
      <c r="P623" s="387"/>
      <c r="Q623" s="387"/>
      <c r="R623" s="388"/>
      <c r="S623" s="29"/>
      <c r="T623" s="386" t="s">
        <v>41</v>
      </c>
      <c r="U623" s="387"/>
      <c r="V623" s="387"/>
      <c r="W623" s="387"/>
      <c r="X623" s="387"/>
      <c r="Y623" s="388"/>
      <c r="Z623" s="27"/>
    </row>
    <row r="624" spans="1:27" s="25" customFormat="1" ht="18" customHeight="1" x14ac:dyDescent="0.2">
      <c r="A624" s="279"/>
      <c r="B624" s="277"/>
      <c r="C624" s="392" t="s">
        <v>212</v>
      </c>
      <c r="D624" s="392"/>
      <c r="E624" s="392"/>
      <c r="F624" s="392"/>
      <c r="G624" s="280" t="str">
        <f>$J$1</f>
        <v>December</v>
      </c>
      <c r="H624" s="395">
        <f>$K$1</f>
        <v>2023</v>
      </c>
      <c r="I624" s="395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202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89" t="s">
        <v>41</v>
      </c>
      <c r="G627" s="389"/>
      <c r="H627" s="277"/>
      <c r="I627" s="389" t="s">
        <v>42</v>
      </c>
      <c r="J627" s="389"/>
      <c r="K627" s="389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93" t="s">
        <v>40</v>
      </c>
      <c r="C629" s="394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90" t="s">
        <v>67</v>
      </c>
      <c r="J631" s="391"/>
      <c r="K631" s="301">
        <f>K629+K630</f>
        <v>51229.838709677417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90" t="s">
        <v>68</v>
      </c>
      <c r="J632" s="391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96" t="s">
        <v>61</v>
      </c>
      <c r="J633" s="398"/>
      <c r="K633" s="234">
        <f>K631-K632</f>
        <v>51229.838709677417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9"/>
      <c r="C635" s="399"/>
      <c r="D635" s="399"/>
      <c r="E635" s="399"/>
      <c r="F635" s="399"/>
      <c r="G635" s="399"/>
      <c r="H635" s="399"/>
      <c r="I635" s="399"/>
      <c r="J635" s="399"/>
      <c r="K635" s="399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9"/>
      <c r="C636" s="399"/>
      <c r="D636" s="399"/>
      <c r="E636" s="399"/>
      <c r="F636" s="399"/>
      <c r="G636" s="399"/>
      <c r="H636" s="399"/>
      <c r="I636" s="399"/>
      <c r="J636" s="399"/>
      <c r="K636" s="399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406" t="s">
        <v>38</v>
      </c>
      <c r="B639" s="407"/>
      <c r="C639" s="407"/>
      <c r="D639" s="407"/>
      <c r="E639" s="407"/>
      <c r="F639" s="407"/>
      <c r="G639" s="407"/>
      <c r="H639" s="407"/>
      <c r="I639" s="407"/>
      <c r="J639" s="407"/>
      <c r="K639" s="407"/>
      <c r="L639" s="408"/>
      <c r="M639" s="24"/>
      <c r="N639" s="28"/>
      <c r="O639" s="386" t="s">
        <v>40</v>
      </c>
      <c r="P639" s="387"/>
      <c r="Q639" s="387"/>
      <c r="R639" s="388"/>
      <c r="S639" s="29"/>
      <c r="T639" s="386" t="s">
        <v>41</v>
      </c>
      <c r="U639" s="387"/>
      <c r="V639" s="387"/>
      <c r="W639" s="387"/>
      <c r="X639" s="387"/>
      <c r="Y639" s="388"/>
      <c r="Z639" s="30"/>
    </row>
    <row r="640" spans="1:26" s="25" customFormat="1" ht="18" customHeight="1" x14ac:dyDescent="0.2">
      <c r="A640" s="279"/>
      <c r="B640" s="277"/>
      <c r="C640" s="392" t="s">
        <v>212</v>
      </c>
      <c r="D640" s="392"/>
      <c r="E640" s="392"/>
      <c r="F640" s="392"/>
      <c r="G640" s="280" t="str">
        <f>$J$1</f>
        <v>December</v>
      </c>
      <c r="H640" s="395">
        <f>$K$1</f>
        <v>2023</v>
      </c>
      <c r="I640" s="395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204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89" t="s">
        <v>41</v>
      </c>
      <c r="G643" s="389"/>
      <c r="H643" s="277"/>
      <c r="I643" s="389" t="s">
        <v>42</v>
      </c>
      <c r="J643" s="389"/>
      <c r="K643" s="389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93" t="s">
        <v>40</v>
      </c>
      <c r="C645" s="394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4000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11000</v>
      </c>
      <c r="H647" s="292"/>
      <c r="I647" s="390" t="s">
        <v>67</v>
      </c>
      <c r="J647" s="391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90" t="s">
        <v>68</v>
      </c>
      <c r="J648" s="391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4000</v>
      </c>
      <c r="H649" s="277"/>
      <c r="I649" s="396" t="s">
        <v>61</v>
      </c>
      <c r="J649" s="398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9"/>
      <c r="C651" s="399"/>
      <c r="D651" s="399"/>
      <c r="E651" s="399"/>
      <c r="F651" s="399"/>
      <c r="G651" s="399"/>
      <c r="H651" s="399"/>
      <c r="I651" s="399"/>
      <c r="J651" s="399"/>
      <c r="K651" s="399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9"/>
      <c r="C652" s="399"/>
      <c r="D652" s="399"/>
      <c r="E652" s="399"/>
      <c r="F652" s="399"/>
      <c r="G652" s="399"/>
      <c r="H652" s="399"/>
      <c r="I652" s="399"/>
      <c r="J652" s="399"/>
      <c r="K652" s="399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>
        <v>4000</v>
      </c>
      <c r="W652" s="64">
        <f t="shared" si="164"/>
        <v>11000</v>
      </c>
      <c r="X652" s="38">
        <v>7000</v>
      </c>
      <c r="Y652" s="64">
        <f t="shared" si="165"/>
        <v>4000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406" t="s">
        <v>38</v>
      </c>
      <c r="B655" s="407"/>
      <c r="C655" s="407"/>
      <c r="D655" s="407"/>
      <c r="E655" s="407"/>
      <c r="F655" s="407"/>
      <c r="G655" s="407"/>
      <c r="H655" s="407"/>
      <c r="I655" s="407"/>
      <c r="J655" s="407"/>
      <c r="K655" s="407"/>
      <c r="L655" s="408"/>
      <c r="M655" s="24"/>
      <c r="N655" s="28"/>
      <c r="O655" s="386" t="s">
        <v>40</v>
      </c>
      <c r="P655" s="387"/>
      <c r="Q655" s="387"/>
      <c r="R655" s="388"/>
      <c r="S655" s="29"/>
      <c r="T655" s="386" t="s">
        <v>41</v>
      </c>
      <c r="U655" s="387"/>
      <c r="V655" s="387"/>
      <c r="W655" s="387"/>
      <c r="X655" s="387"/>
      <c r="Y655" s="388"/>
      <c r="Z655" s="30"/>
    </row>
    <row r="656" spans="1:26" s="25" customFormat="1" ht="18" customHeight="1" x14ac:dyDescent="0.2">
      <c r="A656" s="279"/>
      <c r="B656" s="277"/>
      <c r="C656" s="392" t="s">
        <v>212</v>
      </c>
      <c r="D656" s="392"/>
      <c r="E656" s="392"/>
      <c r="F656" s="392"/>
      <c r="G656" s="280" t="str">
        <f>$J$1</f>
        <v>December</v>
      </c>
      <c r="H656" s="395">
        <f>$K$1</f>
        <v>2023</v>
      </c>
      <c r="I656" s="395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206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89" t="s">
        <v>41</v>
      </c>
      <c r="G659" s="389"/>
      <c r="H659" s="277"/>
      <c r="I659" s="389" t="s">
        <v>42</v>
      </c>
      <c r="J659" s="389"/>
      <c r="K659" s="389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93" t="s">
        <v>40</v>
      </c>
      <c r="C661" s="394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29</v>
      </c>
      <c r="J661" s="297" t="s">
        <v>59</v>
      </c>
      <c r="K661" s="298">
        <f>K657/$K$2*I661</f>
        <v>20580.645161290322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45</v>
      </c>
      <c r="J662" s="297" t="s">
        <v>60</v>
      </c>
      <c r="K662" s="301">
        <f>K657/$K$2/8*I662</f>
        <v>3991.9354838709673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90" t="s">
        <v>67</v>
      </c>
      <c r="J663" s="391"/>
      <c r="K663" s="301">
        <f>K661+K662</f>
        <v>24572.580645161288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2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90" t="s">
        <v>68</v>
      </c>
      <c r="J664" s="391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96" t="s">
        <v>61</v>
      </c>
      <c r="J665" s="398"/>
      <c r="K665" s="234">
        <f>K663-K664</f>
        <v>24572.580645161288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9" t="s">
        <v>82</v>
      </c>
      <c r="C667" s="399"/>
      <c r="D667" s="399"/>
      <c r="E667" s="399"/>
      <c r="F667" s="399"/>
      <c r="G667" s="399"/>
      <c r="H667" s="399"/>
      <c r="I667" s="399"/>
      <c r="J667" s="399"/>
      <c r="K667" s="399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9"/>
      <c r="C668" s="399"/>
      <c r="D668" s="399"/>
      <c r="E668" s="399"/>
      <c r="F668" s="399"/>
      <c r="G668" s="399"/>
      <c r="H668" s="399"/>
      <c r="I668" s="399"/>
      <c r="J668" s="399"/>
      <c r="K668" s="399"/>
      <c r="L668" s="291"/>
      <c r="N668" s="35"/>
      <c r="O668" s="36" t="s">
        <v>56</v>
      </c>
      <c r="P668" s="36">
        <v>29</v>
      </c>
      <c r="Q668" s="36">
        <v>2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400" t="s">
        <v>38</v>
      </c>
      <c r="B671" s="401"/>
      <c r="C671" s="401"/>
      <c r="D671" s="401"/>
      <c r="E671" s="401"/>
      <c r="F671" s="401"/>
      <c r="G671" s="401"/>
      <c r="H671" s="401"/>
      <c r="I671" s="401"/>
      <c r="J671" s="401"/>
      <c r="K671" s="401"/>
      <c r="L671" s="402"/>
      <c r="M671" s="24"/>
      <c r="N671" s="28"/>
      <c r="O671" s="386" t="s">
        <v>40</v>
      </c>
      <c r="P671" s="387"/>
      <c r="Q671" s="387"/>
      <c r="R671" s="388"/>
      <c r="S671" s="29"/>
      <c r="T671" s="386" t="s">
        <v>41</v>
      </c>
      <c r="U671" s="387"/>
      <c r="V671" s="387"/>
      <c r="W671" s="387"/>
      <c r="X671" s="387"/>
      <c r="Y671" s="388"/>
      <c r="Z671" s="30"/>
      <c r="AA671" s="24"/>
    </row>
    <row r="672" spans="1:27" s="25" customFormat="1" ht="18" customHeight="1" x14ac:dyDescent="0.2">
      <c r="A672" s="279"/>
      <c r="B672" s="277"/>
      <c r="C672" s="392" t="s">
        <v>212</v>
      </c>
      <c r="D672" s="392"/>
      <c r="E672" s="392"/>
      <c r="F672" s="392"/>
      <c r="G672" s="280" t="str">
        <f>$J$1</f>
        <v>December</v>
      </c>
      <c r="H672" s="395">
        <f>$K$1</f>
        <v>2023</v>
      </c>
      <c r="I672" s="395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221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03">
        <v>45208</v>
      </c>
      <c r="D675" s="403"/>
      <c r="E675" s="404"/>
      <c r="F675" s="396" t="s">
        <v>41</v>
      </c>
      <c r="G675" s="398"/>
      <c r="H675" s="277"/>
      <c r="I675" s="396" t="s">
        <v>42</v>
      </c>
      <c r="J675" s="397"/>
      <c r="K675" s="398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93" t="s">
        <v>40</v>
      </c>
      <c r="C677" s="394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31</v>
      </c>
      <c r="J677" s="297" t="s">
        <v>59</v>
      </c>
      <c r="K677" s="298">
        <f>K673/$K$2*I677</f>
        <v>170000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90" t="s">
        <v>67</v>
      </c>
      <c r="J679" s="391"/>
      <c r="K679" s="301">
        <f>K677+K678</f>
        <v>170000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90" t="s">
        <v>68</v>
      </c>
      <c r="J680" s="391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201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96" t="s">
        <v>61</v>
      </c>
      <c r="J681" s="398"/>
      <c r="K681" s="234">
        <f>K679-K680</f>
        <v>170000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>
        <v>31</v>
      </c>
      <c r="Q684" s="36">
        <v>0</v>
      </c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thickBot="1" x14ac:dyDescent="0.25">
      <c r="A686" s="400" t="s">
        <v>38</v>
      </c>
      <c r="B686" s="401"/>
      <c r="C686" s="401"/>
      <c r="D686" s="401"/>
      <c r="E686" s="401"/>
      <c r="F686" s="401"/>
      <c r="G686" s="401"/>
      <c r="H686" s="401"/>
      <c r="I686" s="401"/>
      <c r="J686" s="401"/>
      <c r="K686" s="401"/>
      <c r="L686" s="402"/>
      <c r="M686" s="24"/>
      <c r="N686" s="28"/>
      <c r="O686" s="386" t="s">
        <v>40</v>
      </c>
      <c r="P686" s="387"/>
      <c r="Q686" s="387"/>
      <c r="R686" s="388"/>
      <c r="S686" s="29"/>
      <c r="T686" s="386" t="s">
        <v>41</v>
      </c>
      <c r="U686" s="387"/>
      <c r="V686" s="387"/>
      <c r="W686" s="387"/>
      <c r="X686" s="387"/>
      <c r="Y686" s="388"/>
      <c r="Z686" s="27"/>
    </row>
    <row r="687" spans="1:27" s="25" customFormat="1" ht="18" customHeight="1" x14ac:dyDescent="0.2">
      <c r="A687" s="279"/>
      <c r="B687" s="277"/>
      <c r="C687" s="392" t="s">
        <v>212</v>
      </c>
      <c r="D687" s="392"/>
      <c r="E687" s="392"/>
      <c r="F687" s="392"/>
      <c r="G687" s="280" t="str">
        <f>$J$1</f>
        <v>December</v>
      </c>
      <c r="H687" s="395">
        <f>$K$1</f>
        <v>2023</v>
      </c>
      <c r="I687" s="395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27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60000</v>
      </c>
      <c r="L688" s="286"/>
      <c r="N688" s="35"/>
      <c r="O688" s="36" t="s">
        <v>43</v>
      </c>
      <c r="P688" s="36"/>
      <c r="Q688" s="36"/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27"/>
    </row>
    <row r="689" spans="1:27" s="25" customFormat="1" ht="18" customHeight="1" x14ac:dyDescent="0.2">
      <c r="A689" s="279"/>
      <c r="B689" s="277" t="s">
        <v>0</v>
      </c>
      <c r="C689" s="276" t="s">
        <v>229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/>
      <c r="S689" s="27"/>
      <c r="T689" s="36" t="s">
        <v>69</v>
      </c>
      <c r="U689" s="64">
        <f>IF($J$1="January","",Y688)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27"/>
    </row>
    <row r="690" spans="1:27" s="25" customFormat="1" ht="18" customHeight="1" x14ac:dyDescent="0.2">
      <c r="A690" s="279"/>
      <c r="B690" s="289" t="s">
        <v>39</v>
      </c>
      <c r="C690" s="350">
        <v>45267</v>
      </c>
      <c r="D690" s="277"/>
      <c r="E690" s="277"/>
      <c r="F690" s="396" t="s">
        <v>41</v>
      </c>
      <c r="G690" s="398"/>
      <c r="H690" s="277"/>
      <c r="I690" s="396" t="s">
        <v>42</v>
      </c>
      <c r="J690" s="397"/>
      <c r="K690" s="398"/>
      <c r="L690" s="291"/>
      <c r="N690" s="35"/>
      <c r="O690" s="36" t="s">
        <v>44</v>
      </c>
      <c r="P690" s="36"/>
      <c r="Q690" s="36"/>
      <c r="R690" s="36" t="str">
        <f t="shared" ref="R690:R698" si="171">IF(Q690="","",R689-Q690)</f>
        <v/>
      </c>
      <c r="S690" s="27"/>
      <c r="T690" s="36" t="s">
        <v>44</v>
      </c>
      <c r="U690" s="64">
        <f>IF($J$1="February","",Y689)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27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IF($J$1="March","",Y690)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27"/>
    </row>
    <row r="692" spans="1:27" s="25" customFormat="1" ht="18" customHeight="1" x14ac:dyDescent="0.2">
      <c r="A692" s="279"/>
      <c r="B692" s="393" t="s">
        <v>40</v>
      </c>
      <c r="C692" s="394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2"/>
      <c r="I692" s="296">
        <f>IF(C696&gt;0,$K$2,C694)</f>
        <v>25</v>
      </c>
      <c r="J692" s="297" t="s">
        <v>59</v>
      </c>
      <c r="K692" s="298">
        <f>K688/$K$2*I692</f>
        <v>48387.096774193546</v>
      </c>
      <c r="L692" s="299"/>
      <c r="N692" s="35"/>
      <c r="O692" s="36" t="s">
        <v>46</v>
      </c>
      <c r="P692" s="36"/>
      <c r="Q692" s="36"/>
      <c r="R692" s="36" t="str">
        <f t="shared" si="171"/>
        <v/>
      </c>
      <c r="S692" s="27"/>
      <c r="T692" s="36" t="s">
        <v>46</v>
      </c>
      <c r="U692" s="64">
        <f>IF($J$1="April","",Y691)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27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296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IF($J$1="May","",Y692)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27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25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292"/>
      <c r="I694" s="390" t="s">
        <v>67</v>
      </c>
      <c r="J694" s="391"/>
      <c r="K694" s="301">
        <f>K692+K693</f>
        <v>48387.096774193546</v>
      </c>
      <c r="L694" s="302"/>
      <c r="N694" s="35"/>
      <c r="O694" s="36" t="s">
        <v>48</v>
      </c>
      <c r="P694" s="36"/>
      <c r="Q694" s="36"/>
      <c r="R694" s="36" t="str">
        <f t="shared" si="171"/>
        <v/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27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6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2"/>
      <c r="I695" s="390" t="s">
        <v>68</v>
      </c>
      <c r="J695" s="391"/>
      <c r="K695" s="295">
        <f>G695</f>
        <v>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Y694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27"/>
    </row>
    <row r="696" spans="1:27" s="25" customFormat="1" ht="18" customHeight="1" x14ac:dyDescent="0.2">
      <c r="A696" s="279"/>
      <c r="B696" s="309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309" t="s">
        <v>201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277"/>
      <c r="I696" s="396" t="s">
        <v>61</v>
      </c>
      <c r="J696" s="398"/>
      <c r="K696" s="234">
        <f>K694-K695</f>
        <v>48387.096774193546</v>
      </c>
      <c r="L696" s="304"/>
      <c r="N696" s="35"/>
      <c r="O696" s="36" t="s">
        <v>54</v>
      </c>
      <c r="P696" s="36"/>
      <c r="Q696" s="36"/>
      <c r="R696" s="36">
        <v>0</v>
      </c>
      <c r="S696" s="27"/>
      <c r="T696" s="36" t="s">
        <v>54</v>
      </c>
      <c r="U696" s="64">
        <v>0</v>
      </c>
      <c r="V696" s="38"/>
      <c r="W696" s="64">
        <f t="shared" si="172"/>
        <v>0</v>
      </c>
      <c r="X696" s="38"/>
      <c r="Y696" s="64">
        <f t="shared" si="173"/>
        <v>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/>
      <c r="Q697" s="36"/>
      <c r="R697" s="36">
        <v>0</v>
      </c>
      <c r="S697" s="27"/>
      <c r="T697" s="36" t="s">
        <v>50</v>
      </c>
      <c r="U697" s="64" t="str">
        <f>IF($J$1="October",Y696,"")</f>
        <v/>
      </c>
      <c r="V697" s="38"/>
      <c r="W697" s="64" t="str">
        <f t="shared" si="172"/>
        <v/>
      </c>
      <c r="X697" s="38"/>
      <c r="Y697" s="64" t="str">
        <f t="shared" si="173"/>
        <v/>
      </c>
      <c r="Z697" s="40"/>
    </row>
    <row r="698" spans="1:27" s="25" customFormat="1" ht="18" customHeight="1" x14ac:dyDescent="0.3">
      <c r="A698" s="279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91"/>
      <c r="N698" s="35"/>
      <c r="O698" s="36" t="s">
        <v>55</v>
      </c>
      <c r="P698" s="36"/>
      <c r="Q698" s="36"/>
      <c r="R698" s="36" t="str">
        <f t="shared" si="171"/>
        <v/>
      </c>
      <c r="S698" s="27"/>
      <c r="T698" s="36" t="s">
        <v>55</v>
      </c>
      <c r="U698" s="64" t="str">
        <f>Y697</f>
        <v/>
      </c>
      <c r="V698" s="38"/>
      <c r="W698" s="64" t="str">
        <f t="shared" si="172"/>
        <v/>
      </c>
      <c r="X698" s="38"/>
      <c r="Y698" s="64" t="str">
        <f t="shared" si="173"/>
        <v/>
      </c>
      <c r="Z698" s="27"/>
    </row>
    <row r="699" spans="1:27" s="25" customFormat="1" ht="18" customHeight="1" thickBot="1" x14ac:dyDescent="0.35">
      <c r="A699" s="305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7"/>
      <c r="N699" s="35"/>
      <c r="O699" s="36" t="s">
        <v>56</v>
      </c>
      <c r="P699" s="36">
        <v>25</v>
      </c>
      <c r="Q699" s="36">
        <v>6</v>
      </c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27"/>
    </row>
    <row r="700" spans="1:27" s="25" customFormat="1" ht="18" customHeight="1" thickBot="1" x14ac:dyDescent="0.35">
      <c r="A700" s="279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91"/>
      <c r="N700" s="35"/>
      <c r="O700" s="351"/>
      <c r="P700" s="58"/>
      <c r="Q700" s="58"/>
      <c r="R700" s="352"/>
      <c r="S700" s="27"/>
      <c r="T700" s="351"/>
      <c r="U700" s="353"/>
      <c r="V700" s="354"/>
      <c r="W700" s="353"/>
      <c r="X700" s="354"/>
      <c r="Y700" s="355"/>
      <c r="Z700" s="27"/>
    </row>
    <row r="701" spans="1:27" s="25" customFormat="1" ht="18" customHeight="1" x14ac:dyDescent="0.2">
      <c r="A701" s="418" t="s">
        <v>38</v>
      </c>
      <c r="B701" s="419"/>
      <c r="C701" s="419"/>
      <c r="D701" s="419"/>
      <c r="E701" s="419"/>
      <c r="F701" s="419"/>
      <c r="G701" s="419"/>
      <c r="H701" s="419"/>
      <c r="I701" s="419"/>
      <c r="J701" s="419"/>
      <c r="K701" s="419"/>
      <c r="L701" s="420"/>
      <c r="M701" s="24"/>
      <c r="N701" s="28"/>
      <c r="O701" s="386" t="s">
        <v>40</v>
      </c>
      <c r="P701" s="387"/>
      <c r="Q701" s="387"/>
      <c r="R701" s="388"/>
      <c r="S701" s="29"/>
      <c r="T701" s="386" t="s">
        <v>41</v>
      </c>
      <c r="U701" s="387"/>
      <c r="V701" s="387"/>
      <c r="W701" s="387"/>
      <c r="X701" s="387"/>
      <c r="Y701" s="388"/>
      <c r="Z701" s="30"/>
      <c r="AA701" s="24"/>
    </row>
    <row r="702" spans="1:27" s="25" customFormat="1" ht="18" customHeight="1" x14ac:dyDescent="0.2">
      <c r="A702" s="279"/>
      <c r="B702" s="277"/>
      <c r="C702" s="392" t="s">
        <v>212</v>
      </c>
      <c r="D702" s="392"/>
      <c r="E702" s="392"/>
      <c r="F702" s="392"/>
      <c r="G702" s="280" t="str">
        <f>$J$1</f>
        <v>December</v>
      </c>
      <c r="H702" s="395">
        <f>$K$1</f>
        <v>2023</v>
      </c>
      <c r="I702" s="395"/>
      <c r="J702" s="277"/>
      <c r="K702" s="281"/>
      <c r="L702" s="282"/>
      <c r="M702" s="26"/>
      <c r="N702" s="31"/>
      <c r="O702" s="32" t="s">
        <v>51</v>
      </c>
      <c r="P702" s="32" t="s">
        <v>7</v>
      </c>
      <c r="Q702" s="32" t="s">
        <v>6</v>
      </c>
      <c r="R702" s="32" t="s">
        <v>52</v>
      </c>
      <c r="S702" s="33"/>
      <c r="T702" s="32" t="s">
        <v>51</v>
      </c>
      <c r="U702" s="32" t="s">
        <v>53</v>
      </c>
      <c r="V702" s="32" t="s">
        <v>18</v>
      </c>
      <c r="W702" s="32" t="s">
        <v>17</v>
      </c>
      <c r="X702" s="32" t="s">
        <v>19</v>
      </c>
      <c r="Y702" s="32" t="s">
        <v>57</v>
      </c>
      <c r="Z702" s="34"/>
      <c r="AA702" s="26"/>
    </row>
    <row r="703" spans="1:27" s="25" customFormat="1" ht="18" customHeight="1" x14ac:dyDescent="0.2">
      <c r="A703" s="279"/>
      <c r="B703" s="277"/>
      <c r="C703" s="277"/>
      <c r="D703" s="283"/>
      <c r="E703" s="283"/>
      <c r="F703" s="283"/>
      <c r="G703" s="283"/>
      <c r="H703" s="283"/>
      <c r="I703" s="277"/>
      <c r="J703" s="284" t="s">
        <v>1</v>
      </c>
      <c r="K703" s="285">
        <v>70000</v>
      </c>
      <c r="L703" s="286"/>
      <c r="N703" s="35"/>
      <c r="O703" s="36" t="s">
        <v>43</v>
      </c>
      <c r="P703" s="36">
        <v>22</v>
      </c>
      <c r="Q703" s="36">
        <v>9</v>
      </c>
      <c r="R703" s="36"/>
      <c r="S703" s="37"/>
      <c r="T703" s="36" t="s">
        <v>43</v>
      </c>
      <c r="U703" s="38"/>
      <c r="V703" s="38"/>
      <c r="W703" s="38">
        <f>V703+U703</f>
        <v>0</v>
      </c>
      <c r="X703" s="38"/>
      <c r="Y703" s="38">
        <f>W703-X703</f>
        <v>0</v>
      </c>
      <c r="Z703" s="34"/>
    </row>
    <row r="704" spans="1:27" s="25" customFormat="1" ht="18" customHeight="1" x14ac:dyDescent="0.2">
      <c r="A704" s="279"/>
      <c r="B704" s="277" t="s">
        <v>0</v>
      </c>
      <c r="C704" s="276" t="s">
        <v>211</v>
      </c>
      <c r="D704" s="277"/>
      <c r="E704" s="277"/>
      <c r="F704" s="277"/>
      <c r="G704" s="277"/>
      <c r="H704" s="287"/>
      <c r="I704" s="283"/>
      <c r="J704" s="277"/>
      <c r="K704" s="277"/>
      <c r="L704" s="288"/>
      <c r="M704" s="24"/>
      <c r="N704" s="39"/>
      <c r="O704" s="36" t="s">
        <v>69</v>
      </c>
      <c r="P704" s="36"/>
      <c r="Q704" s="36"/>
      <c r="R704" s="36" t="str">
        <f t="shared" ref="R704:R711" si="174">IF(Q704="","",R703-Q704)</f>
        <v/>
      </c>
      <c r="S704" s="27"/>
      <c r="T704" s="36" t="s">
        <v>69</v>
      </c>
      <c r="U704" s="64">
        <f>Y703</f>
        <v>0</v>
      </c>
      <c r="V704" s="38"/>
      <c r="W704" s="64">
        <f>IF(U704="","",U704+V704)</f>
        <v>0</v>
      </c>
      <c r="X704" s="38"/>
      <c r="Y704" s="64">
        <f>IF(W704="","",W704-X704)</f>
        <v>0</v>
      </c>
      <c r="Z704" s="40"/>
      <c r="AA704" s="24"/>
    </row>
    <row r="705" spans="1:27" s="25" customFormat="1" ht="18" customHeight="1" x14ac:dyDescent="0.2">
      <c r="A705" s="279"/>
      <c r="B705" s="289" t="s">
        <v>39</v>
      </c>
      <c r="C705" s="290"/>
      <c r="D705" s="277"/>
      <c r="E705" s="277"/>
      <c r="F705" s="389" t="s">
        <v>41</v>
      </c>
      <c r="G705" s="389"/>
      <c r="H705" s="277"/>
      <c r="I705" s="389" t="s">
        <v>42</v>
      </c>
      <c r="J705" s="389"/>
      <c r="K705" s="389"/>
      <c r="L705" s="291"/>
      <c r="N705" s="35"/>
      <c r="O705" s="36" t="s">
        <v>44</v>
      </c>
      <c r="P705" s="36"/>
      <c r="Q705" s="36"/>
      <c r="R705" s="36" t="str">
        <f t="shared" si="174"/>
        <v/>
      </c>
      <c r="S705" s="27"/>
      <c r="T705" s="36" t="s">
        <v>44</v>
      </c>
      <c r="U705" s="64">
        <f>IF($J$1="April",Y704,Y704)</f>
        <v>0</v>
      </c>
      <c r="V705" s="38"/>
      <c r="W705" s="64">
        <f t="shared" ref="W705:W714" si="175">IF(U705="","",U705+V705)</f>
        <v>0</v>
      </c>
      <c r="X705" s="38"/>
      <c r="Y705" s="64">
        <f t="shared" ref="Y705:Y714" si="176">IF(W705="","",W705-X705)</f>
        <v>0</v>
      </c>
      <c r="Z705" s="40"/>
    </row>
    <row r="706" spans="1:27" s="25" customFormat="1" ht="18" customHeight="1" x14ac:dyDescent="0.2">
      <c r="A706" s="279"/>
      <c r="B706" s="277"/>
      <c r="C706" s="277"/>
      <c r="D706" s="277"/>
      <c r="E706" s="277"/>
      <c r="F706" s="277"/>
      <c r="G706" s="277"/>
      <c r="H706" s="292"/>
      <c r="I706" s="277"/>
      <c r="J706" s="277"/>
      <c r="K706" s="277"/>
      <c r="L706" s="293"/>
      <c r="N706" s="35"/>
      <c r="O706" s="36" t="s">
        <v>45</v>
      </c>
      <c r="P706" s="36"/>
      <c r="Q706" s="36"/>
      <c r="R706" s="36">
        <v>0</v>
      </c>
      <c r="S706" s="27"/>
      <c r="T706" s="36" t="s">
        <v>45</v>
      </c>
      <c r="U706" s="64">
        <f>IF($J$1="April",Y705,Y705)</f>
        <v>0</v>
      </c>
      <c r="V706" s="38"/>
      <c r="W706" s="64">
        <f t="shared" si="175"/>
        <v>0</v>
      </c>
      <c r="X706" s="38"/>
      <c r="Y706" s="64">
        <f t="shared" si="176"/>
        <v>0</v>
      </c>
      <c r="Z706" s="40"/>
    </row>
    <row r="707" spans="1:27" s="25" customFormat="1" ht="18" customHeight="1" x14ac:dyDescent="0.2">
      <c r="A707" s="279"/>
      <c r="B707" s="393" t="s">
        <v>40</v>
      </c>
      <c r="C707" s="394"/>
      <c r="D707" s="277"/>
      <c r="E707" s="277"/>
      <c r="F707" s="294" t="s">
        <v>62</v>
      </c>
      <c r="G707" s="295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85000</v>
      </c>
      <c r="H707" s="292"/>
      <c r="I707" s="296">
        <f>IF(C711&gt;0,$K$2,C709)</f>
        <v>31</v>
      </c>
      <c r="J707" s="297" t="s">
        <v>59</v>
      </c>
      <c r="K707" s="298">
        <f>K703/$K$2*I707</f>
        <v>70000</v>
      </c>
      <c r="L707" s="299"/>
      <c r="N707" s="35"/>
      <c r="O707" s="36" t="s">
        <v>46</v>
      </c>
      <c r="P707" s="36"/>
      <c r="Q707" s="36"/>
      <c r="R707" s="36">
        <v>0</v>
      </c>
      <c r="S707" s="27"/>
      <c r="T707" s="36" t="s">
        <v>46</v>
      </c>
      <c r="U707" s="64">
        <f>IF($J$1="May",Y706,Y706)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00"/>
      <c r="C708" s="300"/>
      <c r="D708" s="277"/>
      <c r="E708" s="277"/>
      <c r="F708" s="294" t="s">
        <v>18</v>
      </c>
      <c r="G708" s="295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292"/>
      <c r="I708" s="314"/>
      <c r="J708" s="297" t="s">
        <v>60</v>
      </c>
      <c r="K708" s="301">
        <f>K703/$K$2/8*I708</f>
        <v>0</v>
      </c>
      <c r="L708" s="302"/>
      <c r="N708" s="35"/>
      <c r="O708" s="36" t="s">
        <v>47</v>
      </c>
      <c r="P708" s="36"/>
      <c r="Q708" s="36"/>
      <c r="R708" s="36" t="str">
        <f t="shared" si="174"/>
        <v/>
      </c>
      <c r="S708" s="27"/>
      <c r="T708" s="36" t="s">
        <v>47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294" t="s">
        <v>7</v>
      </c>
      <c r="C709" s="300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31</v>
      </c>
      <c r="D709" s="277"/>
      <c r="E709" s="277"/>
      <c r="F709" s="294" t="s">
        <v>63</v>
      </c>
      <c r="G709" s="295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85000</v>
      </c>
      <c r="H709" s="292"/>
      <c r="I709" s="390" t="s">
        <v>67</v>
      </c>
      <c r="J709" s="391"/>
      <c r="K709" s="301">
        <f>K707+K708</f>
        <v>70000</v>
      </c>
      <c r="L709" s="302"/>
      <c r="N709" s="35"/>
      <c r="O709" s="36" t="s">
        <v>48</v>
      </c>
      <c r="P709" s="36"/>
      <c r="Q709" s="36"/>
      <c r="R709" s="36">
        <v>0</v>
      </c>
      <c r="S709" s="27"/>
      <c r="T709" s="36" t="s">
        <v>48</v>
      </c>
      <c r="U709" s="64">
        <f>IF($J$1="June","",Y708)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6</v>
      </c>
      <c r="C710" s="300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D710" s="277"/>
      <c r="E710" s="277"/>
      <c r="F710" s="294" t="s">
        <v>19</v>
      </c>
      <c r="G710" s="295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5000</v>
      </c>
      <c r="H710" s="292"/>
      <c r="I710" s="390" t="s">
        <v>68</v>
      </c>
      <c r="J710" s="391"/>
      <c r="K710" s="295">
        <f>G710</f>
        <v>5000</v>
      </c>
      <c r="L710" s="303"/>
      <c r="N710" s="35"/>
      <c r="O710" s="36" t="s">
        <v>49</v>
      </c>
      <c r="P710" s="36"/>
      <c r="Q710" s="36"/>
      <c r="R710" s="36">
        <v>0</v>
      </c>
      <c r="S710" s="27"/>
      <c r="T710" s="36" t="s">
        <v>49</v>
      </c>
      <c r="U710" s="64">
        <f>IF($J$1="July","",Y709)</f>
        <v>0</v>
      </c>
      <c r="V710" s="38"/>
      <c r="W710" s="64">
        <f t="shared" si="175"/>
        <v>0</v>
      </c>
      <c r="X710" s="38"/>
      <c r="Y710" s="64">
        <f t="shared" si="176"/>
        <v>0</v>
      </c>
      <c r="Z710" s="40"/>
    </row>
    <row r="711" spans="1:27" s="25" customFormat="1" ht="18" customHeight="1" x14ac:dyDescent="0.2">
      <c r="A711" s="279"/>
      <c r="B711" s="312" t="s">
        <v>66</v>
      </c>
      <c r="C711" s="300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277"/>
      <c r="E711" s="277"/>
      <c r="F711" s="294" t="s">
        <v>65</v>
      </c>
      <c r="G711" s="295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80000</v>
      </c>
      <c r="H711" s="277"/>
      <c r="I711" s="396" t="s">
        <v>61</v>
      </c>
      <c r="J711" s="398"/>
      <c r="K711" s="234">
        <f>K709-K710</f>
        <v>65000</v>
      </c>
      <c r="L711" s="304"/>
      <c r="N711" s="35"/>
      <c r="O711" s="36" t="s">
        <v>54</v>
      </c>
      <c r="P711" s="36">
        <v>30</v>
      </c>
      <c r="Q711" s="36">
        <v>0</v>
      </c>
      <c r="R711" s="36">
        <f t="shared" si="174"/>
        <v>0</v>
      </c>
      <c r="S711" s="27"/>
      <c r="T711" s="36" t="s">
        <v>54</v>
      </c>
      <c r="U711" s="64">
        <f>Y710</f>
        <v>0</v>
      </c>
      <c r="V711" s="38">
        <v>100000</v>
      </c>
      <c r="W711" s="64">
        <f t="shared" si="175"/>
        <v>100000</v>
      </c>
      <c r="X711" s="38">
        <v>5000</v>
      </c>
      <c r="Y711" s="64">
        <f t="shared" si="176"/>
        <v>95000</v>
      </c>
      <c r="Z711" s="40"/>
    </row>
    <row r="712" spans="1:27" s="25" customFormat="1" ht="18" customHeight="1" x14ac:dyDescent="0.2">
      <c r="A712" s="279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91"/>
      <c r="N712" s="35"/>
      <c r="O712" s="36" t="s">
        <v>50</v>
      </c>
      <c r="P712" s="36">
        <v>31</v>
      </c>
      <c r="Q712" s="36">
        <v>0</v>
      </c>
      <c r="R712" s="36">
        <v>0</v>
      </c>
      <c r="S712" s="27"/>
      <c r="T712" s="36" t="s">
        <v>50</v>
      </c>
      <c r="U712" s="64">
        <f>Y711</f>
        <v>95000</v>
      </c>
      <c r="V712" s="38"/>
      <c r="W712" s="64">
        <f t="shared" si="175"/>
        <v>95000</v>
      </c>
      <c r="X712" s="38">
        <v>5000</v>
      </c>
      <c r="Y712" s="64">
        <f t="shared" si="176"/>
        <v>90000</v>
      </c>
      <c r="Z712" s="40"/>
    </row>
    <row r="713" spans="1:27" s="25" customFormat="1" ht="18" customHeight="1" x14ac:dyDescent="0.2">
      <c r="A713" s="279"/>
      <c r="B713" s="399" t="s">
        <v>82</v>
      </c>
      <c r="C713" s="399"/>
      <c r="D713" s="399"/>
      <c r="E713" s="399"/>
      <c r="F713" s="399"/>
      <c r="G713" s="399"/>
      <c r="H713" s="399"/>
      <c r="I713" s="399"/>
      <c r="J713" s="399"/>
      <c r="K713" s="399"/>
      <c r="L713" s="291"/>
      <c r="N713" s="35"/>
      <c r="O713" s="36" t="s">
        <v>55</v>
      </c>
      <c r="P713" s="36">
        <v>30</v>
      </c>
      <c r="Q713" s="36">
        <v>0</v>
      </c>
      <c r="R713" s="36">
        <v>0</v>
      </c>
      <c r="S713" s="27"/>
      <c r="T713" s="36" t="s">
        <v>55</v>
      </c>
      <c r="U713" s="64">
        <f>Y712</f>
        <v>90000</v>
      </c>
      <c r="V713" s="38"/>
      <c r="W713" s="64">
        <f t="shared" si="175"/>
        <v>90000</v>
      </c>
      <c r="X713" s="38">
        <v>5000</v>
      </c>
      <c r="Y713" s="64">
        <f t="shared" si="176"/>
        <v>85000</v>
      </c>
      <c r="Z713" s="40"/>
    </row>
    <row r="714" spans="1:27" s="25" customFormat="1" ht="18" customHeight="1" x14ac:dyDescent="0.2">
      <c r="A714" s="279"/>
      <c r="B714" s="399"/>
      <c r="C714" s="399"/>
      <c r="D714" s="399"/>
      <c r="E714" s="399"/>
      <c r="F714" s="399"/>
      <c r="G714" s="399"/>
      <c r="H714" s="399"/>
      <c r="I714" s="399"/>
      <c r="J714" s="399"/>
      <c r="K714" s="399"/>
      <c r="L714" s="291"/>
      <c r="N714" s="35"/>
      <c r="O714" s="36" t="s">
        <v>56</v>
      </c>
      <c r="P714" s="36">
        <v>31</v>
      </c>
      <c r="Q714" s="36">
        <v>0</v>
      </c>
      <c r="R714" s="36">
        <v>0</v>
      </c>
      <c r="S714" s="27"/>
      <c r="T714" s="36" t="s">
        <v>56</v>
      </c>
      <c r="U714" s="64">
        <f>Y713</f>
        <v>85000</v>
      </c>
      <c r="V714" s="38"/>
      <c r="W714" s="64">
        <f t="shared" si="175"/>
        <v>85000</v>
      </c>
      <c r="X714" s="38">
        <v>5000</v>
      </c>
      <c r="Y714" s="64">
        <f t="shared" si="176"/>
        <v>80000</v>
      </c>
      <c r="Z714" s="40"/>
    </row>
    <row r="715" spans="1:27" s="25" customFormat="1" ht="18" customHeight="1" thickBot="1" x14ac:dyDescent="0.25">
      <c r="A715" s="305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07"/>
      <c r="N715" s="41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3"/>
    </row>
    <row r="716" spans="1:27" s="25" customFormat="1" ht="18" customHeight="1" thickBot="1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7" s="25" customFormat="1" ht="18" customHeight="1" x14ac:dyDescent="0.2">
      <c r="A717" s="406" t="s">
        <v>38</v>
      </c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8"/>
      <c r="M717" s="24"/>
      <c r="N717" s="28"/>
      <c r="O717" s="386" t="s">
        <v>40</v>
      </c>
      <c r="P717" s="387"/>
      <c r="Q717" s="387"/>
      <c r="R717" s="388"/>
      <c r="S717" s="29"/>
      <c r="T717" s="386" t="s">
        <v>41</v>
      </c>
      <c r="U717" s="387"/>
      <c r="V717" s="387"/>
      <c r="W717" s="387"/>
      <c r="X717" s="387"/>
      <c r="Y717" s="388"/>
      <c r="Z717" s="30"/>
      <c r="AA717" s="24"/>
    </row>
    <row r="718" spans="1:27" s="25" customFormat="1" ht="18" customHeight="1" x14ac:dyDescent="0.2">
      <c r="A718" s="279"/>
      <c r="B718" s="277"/>
      <c r="C718" s="392" t="s">
        <v>212</v>
      </c>
      <c r="D718" s="392"/>
      <c r="E718" s="392"/>
      <c r="F718" s="392"/>
      <c r="G718" s="280" t="str">
        <f>$J$1</f>
        <v>December</v>
      </c>
      <c r="H718" s="395">
        <f>$K$1</f>
        <v>2023</v>
      </c>
      <c r="I718" s="395"/>
      <c r="J718" s="277"/>
      <c r="K718" s="281"/>
      <c r="L718" s="282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9"/>
      <c r="B719" s="277"/>
      <c r="C719" s="277"/>
      <c r="D719" s="283"/>
      <c r="E719" s="283"/>
      <c r="F719" s="283"/>
      <c r="G719" s="283"/>
      <c r="H719" s="283"/>
      <c r="I719" s="277"/>
      <c r="J719" s="284" t="s">
        <v>1</v>
      </c>
      <c r="K719" s="285"/>
      <c r="L719" s="286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/>
      <c r="V719" s="38"/>
      <c r="W719" s="38">
        <f>V719+U719</f>
        <v>0</v>
      </c>
      <c r="X719" s="38"/>
      <c r="Y719" s="38">
        <f>W719-X719</f>
        <v>0</v>
      </c>
      <c r="Z719" s="34"/>
    </row>
    <row r="720" spans="1:27" s="25" customFormat="1" ht="18" customHeight="1" x14ac:dyDescent="0.2">
      <c r="A720" s="279"/>
      <c r="B720" s="277" t="s">
        <v>0</v>
      </c>
      <c r="C720" s="276">
        <v>15</v>
      </c>
      <c r="D720" s="277"/>
      <c r="E720" s="277"/>
      <c r="F720" s="277"/>
      <c r="G720" s="277"/>
      <c r="H720" s="287"/>
      <c r="I720" s="283"/>
      <c r="J720" s="277"/>
      <c r="K720" s="277"/>
      <c r="L720" s="288"/>
      <c r="M720" s="24"/>
      <c r="N720" s="39"/>
      <c r="O720" s="36" t="s">
        <v>69</v>
      </c>
      <c r="P720" s="36"/>
      <c r="Q720" s="36"/>
      <c r="R720" s="36" t="str">
        <f>IF(Q720="","",R719-Q720)</f>
        <v/>
      </c>
      <c r="S720" s="27"/>
      <c r="T720" s="36" t="s">
        <v>69</v>
      </c>
      <c r="U720" s="64">
        <f>Y719</f>
        <v>0</v>
      </c>
      <c r="V720" s="38"/>
      <c r="W720" s="64">
        <f>IF(U720="","",U720+V720)</f>
        <v>0</v>
      </c>
      <c r="X720" s="38"/>
      <c r="Y720" s="64">
        <f>IF(W720="","",W720-X720)</f>
        <v>0</v>
      </c>
      <c r="Z720" s="40"/>
      <c r="AA720" s="24"/>
    </row>
    <row r="721" spans="1:27" s="25" customFormat="1" ht="18" customHeight="1" x14ac:dyDescent="0.2">
      <c r="A721" s="279"/>
      <c r="B721" s="289" t="s">
        <v>39</v>
      </c>
      <c r="C721" s="290"/>
      <c r="D721" s="277"/>
      <c r="E721" s="277"/>
      <c r="F721" s="389" t="s">
        <v>41</v>
      </c>
      <c r="G721" s="389"/>
      <c r="H721" s="277"/>
      <c r="I721" s="389" t="s">
        <v>42</v>
      </c>
      <c r="J721" s="389"/>
      <c r="K721" s="389"/>
      <c r="L721" s="291"/>
      <c r="N721" s="35"/>
      <c r="O721" s="36" t="s">
        <v>44</v>
      </c>
      <c r="P721" s="36"/>
      <c r="Q721" s="36"/>
      <c r="R721" s="36" t="str">
        <f t="shared" ref="R721:R730" si="177">IF(Q721="","",R720-Q721)</f>
        <v/>
      </c>
      <c r="S721" s="27"/>
      <c r="T721" s="36" t="s">
        <v>44</v>
      </c>
      <c r="U721" s="64">
        <f>IF($J$1="April",Y720,Y720)</f>
        <v>0</v>
      </c>
      <c r="V721" s="38"/>
      <c r="W721" s="64">
        <f t="shared" ref="W721:W730" si="178">IF(U721="","",U721+V721)</f>
        <v>0</v>
      </c>
      <c r="X721" s="38"/>
      <c r="Y721" s="64">
        <f t="shared" ref="Y721:Y730" si="179">IF(W721="","",W721-X721)</f>
        <v>0</v>
      </c>
      <c r="Z721" s="40"/>
    </row>
    <row r="722" spans="1:27" s="25" customFormat="1" ht="18" customHeight="1" x14ac:dyDescent="0.2">
      <c r="A722" s="279"/>
      <c r="B722" s="277"/>
      <c r="C722" s="277"/>
      <c r="D722" s="277"/>
      <c r="E722" s="277"/>
      <c r="F722" s="277"/>
      <c r="G722" s="277"/>
      <c r="H722" s="292"/>
      <c r="I722" s="277"/>
      <c r="J722" s="277"/>
      <c r="K722" s="277"/>
      <c r="L722" s="293"/>
      <c r="N722" s="35"/>
      <c r="O722" s="36" t="s">
        <v>45</v>
      </c>
      <c r="P722" s="36"/>
      <c r="Q722" s="36"/>
      <c r="R722" s="36" t="str">
        <f t="shared" si="177"/>
        <v/>
      </c>
      <c r="S722" s="27"/>
      <c r="T722" s="36" t="s">
        <v>45</v>
      </c>
      <c r="U722" s="64">
        <f>IF($J$1="April",Y721,Y721)</f>
        <v>0</v>
      </c>
      <c r="V722" s="38"/>
      <c r="W722" s="64">
        <f t="shared" si="178"/>
        <v>0</v>
      </c>
      <c r="X722" s="38"/>
      <c r="Y722" s="64">
        <f t="shared" si="179"/>
        <v>0</v>
      </c>
      <c r="Z722" s="40"/>
    </row>
    <row r="723" spans="1:27" s="25" customFormat="1" ht="18" customHeight="1" x14ac:dyDescent="0.2">
      <c r="A723" s="279"/>
      <c r="B723" s="393" t="s">
        <v>40</v>
      </c>
      <c r="C723" s="394"/>
      <c r="D723" s="277"/>
      <c r="E723" s="277"/>
      <c r="F723" s="294" t="s">
        <v>62</v>
      </c>
      <c r="G723" s="295" t="str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/>
      </c>
      <c r="H723" s="292"/>
      <c r="I723" s="296"/>
      <c r="J723" s="297" t="s">
        <v>59</v>
      </c>
      <c r="K723" s="298">
        <f>K719/$K$2*I723</f>
        <v>0</v>
      </c>
      <c r="L723" s="299"/>
      <c r="N723" s="35"/>
      <c r="O723" s="36" t="s">
        <v>46</v>
      </c>
      <c r="P723" s="36"/>
      <c r="Q723" s="36"/>
      <c r="R723" s="36" t="str">
        <f t="shared" si="177"/>
        <v/>
      </c>
      <c r="S723" s="27"/>
      <c r="T723" s="36" t="s">
        <v>46</v>
      </c>
      <c r="U723" s="64">
        <f>IF($J$1="May",Y722,Y722)</f>
        <v>0</v>
      </c>
      <c r="V723" s="38"/>
      <c r="W723" s="64">
        <f t="shared" si="178"/>
        <v>0</v>
      </c>
      <c r="X723" s="38"/>
      <c r="Y723" s="64">
        <f t="shared" si="179"/>
        <v>0</v>
      </c>
      <c r="Z723" s="40"/>
    </row>
    <row r="724" spans="1:27" s="25" customFormat="1" ht="18" customHeight="1" x14ac:dyDescent="0.2">
      <c r="A724" s="279"/>
      <c r="B724" s="300"/>
      <c r="C724" s="300"/>
      <c r="D724" s="277"/>
      <c r="E724" s="277"/>
      <c r="F724" s="294" t="s">
        <v>18</v>
      </c>
      <c r="G724" s="295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2"/>
      <c r="I724" s="314"/>
      <c r="J724" s="297" t="s">
        <v>60</v>
      </c>
      <c r="K724" s="301">
        <f>K719/$K$2/8*I724</f>
        <v>0</v>
      </c>
      <c r="L724" s="302"/>
      <c r="N724" s="35"/>
      <c r="O724" s="36" t="s">
        <v>47</v>
      </c>
      <c r="P724" s="36"/>
      <c r="Q724" s="36"/>
      <c r="R724" s="36" t="str">
        <f t="shared" si="177"/>
        <v/>
      </c>
      <c r="S724" s="27"/>
      <c r="T724" s="36" t="s">
        <v>47</v>
      </c>
      <c r="U724" s="64">
        <f>IF($J$1="May",Y723,Y723)</f>
        <v>0</v>
      </c>
      <c r="V724" s="38"/>
      <c r="W724" s="64">
        <f t="shared" si="178"/>
        <v>0</v>
      </c>
      <c r="X724" s="38"/>
      <c r="Y724" s="64">
        <f t="shared" si="179"/>
        <v>0</v>
      </c>
      <c r="Z724" s="40"/>
    </row>
    <row r="725" spans="1:27" s="25" customFormat="1" ht="18" customHeight="1" x14ac:dyDescent="0.2">
      <c r="A725" s="279"/>
      <c r="B725" s="294" t="s">
        <v>7</v>
      </c>
      <c r="C725" s="300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7"/>
      <c r="E725" s="277"/>
      <c r="F725" s="294" t="s">
        <v>63</v>
      </c>
      <c r="G725" s="295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92"/>
      <c r="I725" s="390" t="s">
        <v>67</v>
      </c>
      <c r="J725" s="391"/>
      <c r="K725" s="301">
        <f>K723+K724</f>
        <v>0</v>
      </c>
      <c r="L725" s="302"/>
      <c r="N725" s="35"/>
      <c r="O725" s="36" t="s">
        <v>48</v>
      </c>
      <c r="P725" s="36"/>
      <c r="Q725" s="36"/>
      <c r="R725" s="36" t="str">
        <f t="shared" si="177"/>
        <v/>
      </c>
      <c r="S725" s="27"/>
      <c r="T725" s="36" t="s">
        <v>48</v>
      </c>
      <c r="U725" s="64" t="str">
        <f>IF($J$1="July",Y724,"")</f>
        <v/>
      </c>
      <c r="V725" s="38"/>
      <c r="W725" s="64" t="str">
        <f t="shared" si="178"/>
        <v/>
      </c>
      <c r="X725" s="38"/>
      <c r="Y725" s="64" t="str">
        <f t="shared" si="179"/>
        <v/>
      </c>
      <c r="Z725" s="40"/>
    </row>
    <row r="726" spans="1:27" s="25" customFormat="1" ht="18" customHeight="1" x14ac:dyDescent="0.2">
      <c r="A726" s="279"/>
      <c r="B726" s="294" t="s">
        <v>6</v>
      </c>
      <c r="C726" s="300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7"/>
      <c r="E726" s="277"/>
      <c r="F726" s="294" t="s">
        <v>19</v>
      </c>
      <c r="G726" s="295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2"/>
      <c r="I726" s="390" t="s">
        <v>68</v>
      </c>
      <c r="J726" s="391"/>
      <c r="K726" s="295">
        <f>G726</f>
        <v>0</v>
      </c>
      <c r="L726" s="303"/>
      <c r="N726" s="35"/>
      <c r="O726" s="36" t="s">
        <v>49</v>
      </c>
      <c r="P726" s="36"/>
      <c r="Q726" s="36"/>
      <c r="R726" s="36" t="str">
        <f t="shared" si="177"/>
        <v/>
      </c>
      <c r="S726" s="27"/>
      <c r="T726" s="36" t="s">
        <v>49</v>
      </c>
      <c r="U726" s="64" t="str">
        <f>IF($J$1="August",Y725,"")</f>
        <v/>
      </c>
      <c r="V726" s="38"/>
      <c r="W726" s="64" t="str">
        <f t="shared" si="178"/>
        <v/>
      </c>
      <c r="X726" s="38"/>
      <c r="Y726" s="64" t="str">
        <f t="shared" si="179"/>
        <v/>
      </c>
      <c r="Z726" s="40"/>
    </row>
    <row r="727" spans="1:27" s="25" customFormat="1" ht="18" customHeight="1" x14ac:dyDescent="0.2">
      <c r="A727" s="279"/>
      <c r="B727" s="312" t="s">
        <v>66</v>
      </c>
      <c r="C727" s="300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7"/>
      <c r="E727" s="277"/>
      <c r="F727" s="294" t="s">
        <v>65</v>
      </c>
      <c r="G727" s="295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7"/>
      <c r="I727" s="396" t="s">
        <v>61</v>
      </c>
      <c r="J727" s="398"/>
      <c r="K727" s="234">
        <f>K725-K726</f>
        <v>0</v>
      </c>
      <c r="L727" s="304"/>
      <c r="N727" s="35"/>
      <c r="O727" s="36" t="s">
        <v>54</v>
      </c>
      <c r="P727" s="36"/>
      <c r="Q727" s="36"/>
      <c r="R727" s="36" t="str">
        <f t="shared" si="177"/>
        <v/>
      </c>
      <c r="S727" s="27"/>
      <c r="T727" s="36" t="s">
        <v>54</v>
      </c>
      <c r="U727" s="64" t="str">
        <f>IF($J$1="Sept",Y726,"")</f>
        <v/>
      </c>
      <c r="V727" s="38"/>
      <c r="W727" s="64" t="str">
        <f t="shared" si="178"/>
        <v/>
      </c>
      <c r="X727" s="38"/>
      <c r="Y727" s="64" t="str">
        <f t="shared" si="179"/>
        <v/>
      </c>
      <c r="Z727" s="40"/>
    </row>
    <row r="728" spans="1:27" s="25" customFormat="1" ht="18" customHeight="1" x14ac:dyDescent="0.2">
      <c r="A728" s="279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91"/>
      <c r="N728" s="35"/>
      <c r="O728" s="36" t="s">
        <v>50</v>
      </c>
      <c r="P728" s="36"/>
      <c r="Q728" s="36"/>
      <c r="R728" s="36" t="str">
        <f t="shared" si="177"/>
        <v/>
      </c>
      <c r="S728" s="27"/>
      <c r="T728" s="36" t="s">
        <v>50</v>
      </c>
      <c r="U728" s="64" t="str">
        <f>IF($J$1="October",Y727,"")</f>
        <v/>
      </c>
      <c r="V728" s="38"/>
      <c r="W728" s="64" t="str">
        <f t="shared" si="178"/>
        <v/>
      </c>
      <c r="X728" s="38"/>
      <c r="Y728" s="64" t="str">
        <f t="shared" si="179"/>
        <v/>
      </c>
      <c r="Z728" s="40"/>
    </row>
    <row r="729" spans="1:27" s="25" customFormat="1" ht="18" customHeight="1" x14ac:dyDescent="0.2">
      <c r="A729" s="279"/>
      <c r="B729" s="399" t="s">
        <v>82</v>
      </c>
      <c r="C729" s="399"/>
      <c r="D729" s="399"/>
      <c r="E729" s="399"/>
      <c r="F729" s="399"/>
      <c r="G729" s="399"/>
      <c r="H729" s="399"/>
      <c r="I729" s="399"/>
      <c r="J729" s="399"/>
      <c r="K729" s="399"/>
      <c r="L729" s="291"/>
      <c r="N729" s="35"/>
      <c r="O729" s="36" t="s">
        <v>55</v>
      </c>
      <c r="P729" s="36"/>
      <c r="Q729" s="36"/>
      <c r="R729" s="36" t="str">
        <f t="shared" si="177"/>
        <v/>
      </c>
      <c r="S729" s="27"/>
      <c r="T729" s="36" t="s">
        <v>55</v>
      </c>
      <c r="U729" s="64" t="str">
        <f>IF($J$1="November",Y728,"")</f>
        <v/>
      </c>
      <c r="V729" s="38"/>
      <c r="W729" s="64" t="str">
        <f t="shared" si="178"/>
        <v/>
      </c>
      <c r="X729" s="38"/>
      <c r="Y729" s="64" t="str">
        <f t="shared" si="179"/>
        <v/>
      </c>
      <c r="Z729" s="40"/>
    </row>
    <row r="730" spans="1:27" s="25" customFormat="1" ht="18" customHeight="1" x14ac:dyDescent="0.2">
      <c r="A730" s="279"/>
      <c r="B730" s="399"/>
      <c r="C730" s="399"/>
      <c r="D730" s="399"/>
      <c r="E730" s="399"/>
      <c r="F730" s="399"/>
      <c r="G730" s="399"/>
      <c r="H730" s="399"/>
      <c r="I730" s="399"/>
      <c r="J730" s="399"/>
      <c r="K730" s="399"/>
      <c r="L730" s="291"/>
      <c r="N730" s="35"/>
      <c r="O730" s="36" t="s">
        <v>56</v>
      </c>
      <c r="P730" s="36"/>
      <c r="Q730" s="36"/>
      <c r="R730" s="36" t="str">
        <f t="shared" si="177"/>
        <v/>
      </c>
      <c r="S730" s="27"/>
      <c r="T730" s="36" t="s">
        <v>56</v>
      </c>
      <c r="U730" s="64" t="str">
        <f>IF($J$1="Dec",Y729,"")</f>
        <v/>
      </c>
      <c r="V730" s="38"/>
      <c r="W730" s="64" t="str">
        <f t="shared" si="178"/>
        <v/>
      </c>
      <c r="X730" s="38"/>
      <c r="Y730" s="64" t="str">
        <f t="shared" si="179"/>
        <v/>
      </c>
      <c r="Z730" s="40"/>
    </row>
    <row r="731" spans="1:27" s="25" customFormat="1" ht="18" customHeight="1" thickBot="1" x14ac:dyDescent="0.25">
      <c r="A731" s="305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07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thickBot="1" x14ac:dyDescent="0.25">
      <c r="A733" s="400" t="s">
        <v>38</v>
      </c>
      <c r="B733" s="401"/>
      <c r="C733" s="401"/>
      <c r="D733" s="401"/>
      <c r="E733" s="401"/>
      <c r="F733" s="401"/>
      <c r="G733" s="401"/>
      <c r="H733" s="401"/>
      <c r="I733" s="401"/>
      <c r="J733" s="401"/>
      <c r="K733" s="401"/>
      <c r="L733" s="402"/>
      <c r="M733" s="24"/>
      <c r="N733" s="28"/>
      <c r="O733" s="386" t="s">
        <v>40</v>
      </c>
      <c r="P733" s="387"/>
      <c r="Q733" s="387"/>
      <c r="R733" s="388"/>
      <c r="S733" s="29"/>
      <c r="T733" s="386" t="s">
        <v>41</v>
      </c>
      <c r="U733" s="387"/>
      <c r="V733" s="387"/>
      <c r="W733" s="387"/>
      <c r="X733" s="387"/>
      <c r="Y733" s="388"/>
      <c r="Z733" s="30"/>
      <c r="AA733" s="24"/>
    </row>
    <row r="734" spans="1:27" s="25" customFormat="1" ht="18" customHeight="1" x14ac:dyDescent="0.2">
      <c r="A734" s="279"/>
      <c r="B734" s="277"/>
      <c r="C734" s="392" t="s">
        <v>212</v>
      </c>
      <c r="D734" s="392"/>
      <c r="E734" s="392"/>
      <c r="F734" s="392"/>
      <c r="G734" s="280" t="str">
        <f>$J$1</f>
        <v>December</v>
      </c>
      <c r="H734" s="395">
        <f>$K$1</f>
        <v>2023</v>
      </c>
      <c r="I734" s="395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f>30000</f>
        <v>30000</v>
      </c>
      <c r="L735" s="286"/>
      <c r="N735" s="35"/>
      <c r="O735" s="36" t="s">
        <v>43</v>
      </c>
      <c r="P735" s="36">
        <v>31</v>
      </c>
      <c r="Q735" s="36">
        <v>0</v>
      </c>
      <c r="R735" s="36">
        <v>0</v>
      </c>
      <c r="S735" s="37"/>
      <c r="T735" s="36" t="s">
        <v>43</v>
      </c>
      <c r="U735" s="38">
        <v>26000</v>
      </c>
      <c r="V735" s="38"/>
      <c r="W735" s="38">
        <f>V735+U735</f>
        <v>26000</v>
      </c>
      <c r="X735" s="38">
        <v>5000</v>
      </c>
      <c r="Y735" s="38">
        <f>W735-X735</f>
        <v>21000</v>
      </c>
      <c r="Z735" s="34"/>
    </row>
    <row r="736" spans="1:27" s="25" customFormat="1" ht="18" customHeight="1" x14ac:dyDescent="0.2">
      <c r="A736" s="279"/>
      <c r="B736" s="277" t="s">
        <v>0</v>
      </c>
      <c r="C736" s="276" t="s">
        <v>170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>
        <v>26</v>
      </c>
      <c r="Q736" s="36">
        <v>2</v>
      </c>
      <c r="R736" s="36">
        <v>0</v>
      </c>
      <c r="S736" s="27"/>
      <c r="T736" s="36" t="s">
        <v>69</v>
      </c>
      <c r="U736" s="64">
        <f>IF($J$1="January","",Y735)</f>
        <v>21000</v>
      </c>
      <c r="V736" s="38"/>
      <c r="W736" s="64">
        <f>IF(U736="","",U736+V736)</f>
        <v>21000</v>
      </c>
      <c r="X736" s="38">
        <v>5000</v>
      </c>
      <c r="Y736" s="64">
        <f>IF(W736="","",W736-X736)</f>
        <v>16000</v>
      </c>
      <c r="Z736" s="40"/>
      <c r="AA736" s="24"/>
    </row>
    <row r="737" spans="1:27" s="25" customFormat="1" ht="18" customHeight="1" x14ac:dyDescent="0.2">
      <c r="A737" s="279"/>
      <c r="B737" s="289" t="s">
        <v>39</v>
      </c>
      <c r="C737" s="290"/>
      <c r="D737" s="277"/>
      <c r="E737" s="277"/>
      <c r="F737" s="396" t="s">
        <v>41</v>
      </c>
      <c r="G737" s="398"/>
      <c r="H737" s="277"/>
      <c r="I737" s="396" t="s">
        <v>42</v>
      </c>
      <c r="J737" s="397"/>
      <c r="K737" s="398"/>
      <c r="L737" s="291"/>
      <c r="N737" s="35"/>
      <c r="O737" s="36" t="s">
        <v>44</v>
      </c>
      <c r="P737" s="36">
        <v>28</v>
      </c>
      <c r="Q737" s="36">
        <v>3</v>
      </c>
      <c r="R737" s="36">
        <v>0</v>
      </c>
      <c r="S737" s="27"/>
      <c r="T737" s="36" t="s">
        <v>44</v>
      </c>
      <c r="U737" s="64">
        <f>IF($J$1="February","",Y736)</f>
        <v>16000</v>
      </c>
      <c r="V737" s="38">
        <v>40000</v>
      </c>
      <c r="W737" s="64">
        <f t="shared" ref="W737:W746" si="180">IF(U737="","",U737+V737)</f>
        <v>56000</v>
      </c>
      <c r="X737" s="38">
        <v>5000</v>
      </c>
      <c r="Y737" s="64">
        <f t="shared" ref="Y737:Y746" si="181">IF(W737="","",W737-X737)</f>
        <v>51000</v>
      </c>
      <c r="Z737" s="40"/>
    </row>
    <row r="738" spans="1:27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>
        <v>29</v>
      </c>
      <c r="Q738" s="36">
        <v>1</v>
      </c>
      <c r="R738" s="36">
        <f t="shared" ref="R738:R746" si="182">IF(Q738="","",R737-Q738)</f>
        <v>-1</v>
      </c>
      <c r="S738" s="27"/>
      <c r="T738" s="36" t="s">
        <v>45</v>
      </c>
      <c r="U738" s="64">
        <f>IF($J$1="March","",Y737)</f>
        <v>51000</v>
      </c>
      <c r="V738" s="38"/>
      <c r="W738" s="64">
        <f t="shared" si="180"/>
        <v>51000</v>
      </c>
      <c r="X738" s="38">
        <v>5000</v>
      </c>
      <c r="Y738" s="64">
        <f t="shared" si="181"/>
        <v>46000</v>
      </c>
      <c r="Z738" s="40"/>
    </row>
    <row r="739" spans="1:27" s="25" customFormat="1" ht="18" customHeight="1" x14ac:dyDescent="0.2">
      <c r="A739" s="279"/>
      <c r="B739" s="393" t="s">
        <v>40</v>
      </c>
      <c r="C739" s="394"/>
      <c r="D739" s="277"/>
      <c r="E739" s="277"/>
      <c r="F739" s="294" t="s">
        <v>62</v>
      </c>
      <c r="G739" s="295" t="str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/>
      </c>
      <c r="H739" s="292"/>
      <c r="I739" s="296">
        <f>IF(C743&gt;0,$K$2,C741)</f>
        <v>31</v>
      </c>
      <c r="J739" s="297" t="s">
        <v>59</v>
      </c>
      <c r="K739" s="298">
        <f>K735/$K$2*I739</f>
        <v>30000</v>
      </c>
      <c r="L739" s="299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4">
        <f>Y738</f>
        <v>46000</v>
      </c>
      <c r="V739" s="38">
        <v>9000</v>
      </c>
      <c r="W739" s="64">
        <f t="shared" si="180"/>
        <v>55000</v>
      </c>
      <c r="X739" s="38">
        <v>10000</v>
      </c>
      <c r="Y739" s="64">
        <f t="shared" si="181"/>
        <v>45000</v>
      </c>
      <c r="Z739" s="40"/>
    </row>
    <row r="740" spans="1:27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>
        <v>98</v>
      </c>
      <c r="J740" s="297" t="s">
        <v>60</v>
      </c>
      <c r="K740" s="301">
        <f>K735/$K$2/8*I740</f>
        <v>11854.838709677419</v>
      </c>
      <c r="L740" s="302"/>
      <c r="N740" s="35"/>
      <c r="O740" s="36" t="s">
        <v>47</v>
      </c>
      <c r="P740" s="36"/>
      <c r="Q740" s="36"/>
      <c r="R740" s="36">
        <v>0</v>
      </c>
      <c r="S740" s="27"/>
      <c r="T740" s="36" t="s">
        <v>47</v>
      </c>
      <c r="U740" s="64">
        <f>Y739</f>
        <v>45000</v>
      </c>
      <c r="V740" s="38"/>
      <c r="W740" s="64">
        <f t="shared" si="180"/>
        <v>45000</v>
      </c>
      <c r="X740" s="38"/>
      <c r="Y740" s="64">
        <f t="shared" si="181"/>
        <v>45000</v>
      </c>
      <c r="Z740" s="40"/>
    </row>
    <row r="741" spans="1:27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90" t="s">
        <v>67</v>
      </c>
      <c r="J741" s="391"/>
      <c r="K741" s="301">
        <f>K739+K740</f>
        <v>41854.838709677417</v>
      </c>
      <c r="L741" s="302"/>
      <c r="N741" s="35"/>
      <c r="O741" s="36" t="s">
        <v>48</v>
      </c>
      <c r="P741" s="36"/>
      <c r="Q741" s="36"/>
      <c r="R741" s="36" t="str">
        <f t="shared" si="182"/>
        <v/>
      </c>
      <c r="S741" s="27"/>
      <c r="T741" s="36" t="s">
        <v>48</v>
      </c>
      <c r="U741" s="64">
        <f>Y740</f>
        <v>45000</v>
      </c>
      <c r="V741" s="38"/>
      <c r="W741" s="64">
        <f t="shared" si="180"/>
        <v>45000</v>
      </c>
      <c r="X741" s="38"/>
      <c r="Y741" s="64">
        <f t="shared" si="181"/>
        <v>45000</v>
      </c>
      <c r="Z741" s="40"/>
    </row>
    <row r="742" spans="1:27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90" t="s">
        <v>68</v>
      </c>
      <c r="J742" s="391"/>
      <c r="K742" s="295">
        <f>G742</f>
        <v>0</v>
      </c>
      <c r="L742" s="303"/>
      <c r="N742" s="35"/>
      <c r="O742" s="36" t="s">
        <v>49</v>
      </c>
      <c r="P742" s="36"/>
      <c r="Q742" s="36"/>
      <c r="R742" s="36">
        <v>0</v>
      </c>
      <c r="S742" s="27"/>
      <c r="T742" s="36" t="s">
        <v>49</v>
      </c>
      <c r="U742" s="64">
        <f>Y741</f>
        <v>45000</v>
      </c>
      <c r="V742" s="38"/>
      <c r="W742" s="64">
        <f t="shared" si="180"/>
        <v>45000</v>
      </c>
      <c r="X742" s="38"/>
      <c r="Y742" s="64">
        <f t="shared" si="181"/>
        <v>45000</v>
      </c>
      <c r="Z742" s="40"/>
    </row>
    <row r="743" spans="1:27" s="25" customFormat="1" ht="18" customHeight="1" x14ac:dyDescent="0.2">
      <c r="A743" s="279"/>
      <c r="B743" s="309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309" t="s">
        <v>201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96" t="s">
        <v>61</v>
      </c>
      <c r="J743" s="398"/>
      <c r="K743" s="234"/>
      <c r="L743" s="304"/>
      <c r="N743" s="35"/>
      <c r="O743" s="36" t="s">
        <v>54</v>
      </c>
      <c r="P743" s="36"/>
      <c r="Q743" s="36"/>
      <c r="R743" s="36">
        <v>0</v>
      </c>
      <c r="S743" s="27"/>
      <c r="T743" s="36" t="s">
        <v>54</v>
      </c>
      <c r="U743" s="64" t="str">
        <f>IF($J$1="September",Y742,"")</f>
        <v/>
      </c>
      <c r="V743" s="38"/>
      <c r="W743" s="64" t="str">
        <f t="shared" si="180"/>
        <v/>
      </c>
      <c r="X743" s="38"/>
      <c r="Y743" s="64" t="str">
        <f t="shared" si="181"/>
        <v/>
      </c>
      <c r="Z743" s="40"/>
    </row>
    <row r="744" spans="1:27" s="25" customFormat="1" ht="18" customHeight="1" x14ac:dyDescent="0.2">
      <c r="A744" s="279"/>
      <c r="B744" s="277"/>
      <c r="C744" s="277"/>
      <c r="D744" s="277"/>
      <c r="E744" s="277"/>
      <c r="F744" s="277"/>
      <c r="L744" s="291"/>
      <c r="N744" s="35"/>
      <c r="O744" s="36" t="s">
        <v>50</v>
      </c>
      <c r="P744" s="36"/>
      <c r="Q744" s="36"/>
      <c r="R744" s="36">
        <v>0</v>
      </c>
      <c r="S744" s="27"/>
      <c r="T744" s="36" t="s">
        <v>50</v>
      </c>
      <c r="U744" s="64" t="str">
        <f>IF($J$1="October",Y743,"")</f>
        <v/>
      </c>
      <c r="V744" s="38"/>
      <c r="W744" s="64" t="str">
        <f t="shared" si="180"/>
        <v/>
      </c>
      <c r="X744" s="38"/>
      <c r="Y744" s="64" t="str">
        <f t="shared" si="181"/>
        <v/>
      </c>
      <c r="Z744" s="40"/>
    </row>
    <row r="745" spans="1:27" s="25" customFormat="1" ht="18" customHeight="1" x14ac:dyDescent="0.3">
      <c r="A745" s="279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91"/>
      <c r="N745" s="35"/>
      <c r="O745" s="36" t="s">
        <v>55</v>
      </c>
      <c r="P745" s="36"/>
      <c r="Q745" s="36"/>
      <c r="R745" s="36">
        <v>0</v>
      </c>
      <c r="S745" s="27"/>
      <c r="T745" s="36" t="s">
        <v>55</v>
      </c>
      <c r="U745" s="64" t="str">
        <f>IF($J$1="October","",Y744)</f>
        <v/>
      </c>
      <c r="V745" s="38"/>
      <c r="W745" s="64" t="str">
        <f t="shared" si="180"/>
        <v/>
      </c>
      <c r="X745" s="38"/>
      <c r="Y745" s="64" t="str">
        <f t="shared" si="181"/>
        <v/>
      </c>
      <c r="Z745" s="40"/>
    </row>
    <row r="746" spans="1:27" s="25" customFormat="1" ht="18" customHeight="1" thickBot="1" x14ac:dyDescent="0.35">
      <c r="A746" s="305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7"/>
      <c r="N746" s="35"/>
      <c r="O746" s="36" t="s">
        <v>56</v>
      </c>
      <c r="P746" s="36"/>
      <c r="Q746" s="36"/>
      <c r="R746" s="36" t="str">
        <f t="shared" si="182"/>
        <v/>
      </c>
      <c r="S746" s="27"/>
      <c r="T746" s="36" t="s">
        <v>56</v>
      </c>
      <c r="U746" s="64" t="str">
        <f>IF($J$1="November","",Y745)</f>
        <v/>
      </c>
      <c r="V746" s="38"/>
      <c r="W746" s="64" t="str">
        <f t="shared" si="180"/>
        <v/>
      </c>
      <c r="X746" s="38"/>
      <c r="Y746" s="64" t="str">
        <f t="shared" si="181"/>
        <v/>
      </c>
      <c r="Z746" s="40"/>
    </row>
    <row r="747" spans="1:27" s="57" customFormat="1" ht="18" customHeight="1" thickBot="1" x14ac:dyDescent="0.25">
      <c r="A747" s="308"/>
      <c r="B747" s="308"/>
      <c r="C747" s="308"/>
      <c r="D747" s="308"/>
      <c r="E747" s="308"/>
      <c r="F747" s="308"/>
      <c r="G747" s="308"/>
      <c r="H747" s="308"/>
      <c r="I747" s="308"/>
      <c r="J747" s="308"/>
      <c r="K747" s="308"/>
      <c r="L747" s="30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7" s="25" customFormat="1" ht="18" customHeight="1" x14ac:dyDescent="0.2">
      <c r="A748" s="424" t="s">
        <v>38</v>
      </c>
      <c r="B748" s="425"/>
      <c r="C748" s="425"/>
      <c r="D748" s="425"/>
      <c r="E748" s="425"/>
      <c r="F748" s="425"/>
      <c r="G748" s="425"/>
      <c r="H748" s="425"/>
      <c r="I748" s="425"/>
      <c r="J748" s="425"/>
      <c r="K748" s="425"/>
      <c r="L748" s="426"/>
      <c r="M748" s="24"/>
      <c r="N748" s="28"/>
      <c r="O748" s="386" t="s">
        <v>40</v>
      </c>
      <c r="P748" s="387"/>
      <c r="Q748" s="387"/>
      <c r="R748" s="388"/>
      <c r="S748" s="29"/>
      <c r="T748" s="386" t="s">
        <v>41</v>
      </c>
      <c r="U748" s="387"/>
      <c r="V748" s="387"/>
      <c r="W748" s="387"/>
      <c r="X748" s="387"/>
      <c r="Y748" s="388"/>
      <c r="Z748" s="30"/>
      <c r="AA748" s="24"/>
    </row>
    <row r="749" spans="1:27" s="25" customFormat="1" ht="18" customHeight="1" x14ac:dyDescent="0.2">
      <c r="A749" s="279"/>
      <c r="B749" s="277"/>
      <c r="C749" s="392" t="s">
        <v>212</v>
      </c>
      <c r="D749" s="392"/>
      <c r="E749" s="392"/>
      <c r="F749" s="392"/>
      <c r="G749" s="280" t="str">
        <f>$J$1</f>
        <v>December</v>
      </c>
      <c r="H749" s="395">
        <f>$K$1</f>
        <v>2023</v>
      </c>
      <c r="I749" s="395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34"/>
      <c r="AA749" s="26"/>
    </row>
    <row r="750" spans="1:27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>
        <v>800</v>
      </c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34"/>
    </row>
    <row r="751" spans="1:27" s="25" customFormat="1" ht="18" customHeight="1" x14ac:dyDescent="0.2">
      <c r="A751" s="279"/>
      <c r="B751" s="277" t="s">
        <v>0</v>
      </c>
      <c r="C751" s="276">
        <v>14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 t="str">
        <f>IF(Q751="","",R750-Q751)</f>
        <v/>
      </c>
      <c r="S751" s="27"/>
      <c r="T751" s="36" t="s">
        <v>69</v>
      </c>
      <c r="U751" s="64"/>
      <c r="V751" s="38"/>
      <c r="W751" s="64" t="str">
        <f>IF(U751="","",U751+V751)</f>
        <v/>
      </c>
      <c r="X751" s="38"/>
      <c r="Y751" s="64" t="str">
        <f>IF(W751="","",W751-X751)</f>
        <v/>
      </c>
      <c r="Z751" s="40"/>
      <c r="AA751" s="24"/>
    </row>
    <row r="752" spans="1:27" s="25" customFormat="1" ht="18" customHeight="1" x14ac:dyDescent="0.2">
      <c r="A752" s="279"/>
      <c r="B752" s="289" t="s">
        <v>39</v>
      </c>
      <c r="C752" s="290"/>
      <c r="D752" s="277"/>
      <c r="E752" s="277"/>
      <c r="F752" s="389" t="s">
        <v>41</v>
      </c>
      <c r="G752" s="389"/>
      <c r="H752" s="277"/>
      <c r="I752" s="389" t="s">
        <v>42</v>
      </c>
      <c r="J752" s="389"/>
      <c r="K752" s="389"/>
      <c r="L752" s="291"/>
      <c r="N752" s="35"/>
      <c r="O752" s="36" t="s">
        <v>44</v>
      </c>
      <c r="P752" s="36"/>
      <c r="Q752" s="36"/>
      <c r="R752" s="36" t="str">
        <f t="shared" ref="R752:R761" si="183">IF(Q752="","",R751-Q752)</f>
        <v/>
      </c>
      <c r="S752" s="27"/>
      <c r="T752" s="36" t="s">
        <v>44</v>
      </c>
      <c r="U752" s="64"/>
      <c r="V752" s="38"/>
      <c r="W752" s="64" t="str">
        <f t="shared" ref="W752:W761" si="184">IF(U752="","",U752+V752)</f>
        <v/>
      </c>
      <c r="X752" s="38"/>
      <c r="Y752" s="64" t="str">
        <f t="shared" ref="Y752:Y761" si="185">IF(W752="","",W752-X752)</f>
        <v/>
      </c>
      <c r="Z752" s="40"/>
    </row>
    <row r="753" spans="1:26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si="183"/>
        <v/>
      </c>
      <c r="S753" s="27"/>
      <c r="T753" s="36" t="s">
        <v>45</v>
      </c>
      <c r="U753" s="64"/>
      <c r="V753" s="38"/>
      <c r="W753" s="64" t="str">
        <f t="shared" si="184"/>
        <v/>
      </c>
      <c r="X753" s="38"/>
      <c r="Y753" s="64" t="str">
        <f t="shared" si="185"/>
        <v/>
      </c>
      <c r="Z753" s="40"/>
    </row>
    <row r="754" spans="1:26" s="25" customFormat="1" ht="18" customHeight="1" x14ac:dyDescent="0.2">
      <c r="A754" s="279"/>
      <c r="B754" s="393" t="s">
        <v>40</v>
      </c>
      <c r="C754" s="394"/>
      <c r="D754" s="277"/>
      <c r="E754" s="277"/>
      <c r="F754" s="294" t="s">
        <v>62</v>
      </c>
      <c r="G754" s="295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292"/>
      <c r="I754" s="296">
        <v>31</v>
      </c>
      <c r="J754" s="297" t="s">
        <v>59</v>
      </c>
      <c r="K754" s="298">
        <f>K750*I754</f>
        <v>24800</v>
      </c>
      <c r="L754" s="299"/>
      <c r="N754" s="35"/>
      <c r="O754" s="36" t="s">
        <v>46</v>
      </c>
      <c r="P754" s="36"/>
      <c r="Q754" s="36"/>
      <c r="R754" s="36" t="str">
        <f t="shared" si="183"/>
        <v/>
      </c>
      <c r="S754" s="27"/>
      <c r="T754" s="36" t="s">
        <v>46</v>
      </c>
      <c r="U754" s="64"/>
      <c r="V754" s="38"/>
      <c r="W754" s="64" t="str">
        <f t="shared" si="184"/>
        <v/>
      </c>
      <c r="X754" s="38"/>
      <c r="Y754" s="64" t="str">
        <f t="shared" si="185"/>
        <v/>
      </c>
      <c r="Z754" s="40"/>
    </row>
    <row r="755" spans="1:26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296"/>
      <c r="J755" s="297" t="s">
        <v>60</v>
      </c>
      <c r="K755" s="301">
        <f>K750/8*I755</f>
        <v>0</v>
      </c>
      <c r="L755" s="302"/>
      <c r="N755" s="35"/>
      <c r="O755" s="36" t="s">
        <v>47</v>
      </c>
      <c r="P755" s="36"/>
      <c r="Q755" s="36"/>
      <c r="R755" s="36" t="str">
        <f t="shared" si="183"/>
        <v/>
      </c>
      <c r="S755" s="27"/>
      <c r="T755" s="36" t="s">
        <v>47</v>
      </c>
      <c r="U755" s="64"/>
      <c r="V755" s="38"/>
      <c r="W755" s="64" t="str">
        <f t="shared" si="184"/>
        <v/>
      </c>
      <c r="X755" s="38"/>
      <c r="Y755" s="64" t="str">
        <f t="shared" si="185"/>
        <v/>
      </c>
      <c r="Z755" s="40"/>
    </row>
    <row r="756" spans="1:26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90" t="s">
        <v>67</v>
      </c>
      <c r="J756" s="391"/>
      <c r="K756" s="301">
        <f>K754+K755</f>
        <v>24800</v>
      </c>
      <c r="L756" s="302"/>
      <c r="N756" s="35"/>
      <c r="O756" s="36" t="s">
        <v>48</v>
      </c>
      <c r="P756" s="36"/>
      <c r="Q756" s="36"/>
      <c r="R756" s="36" t="str">
        <f t="shared" si="183"/>
        <v/>
      </c>
      <c r="S756" s="27"/>
      <c r="T756" s="36" t="s">
        <v>48</v>
      </c>
      <c r="U756" s="64"/>
      <c r="V756" s="38"/>
      <c r="W756" s="64" t="str">
        <f t="shared" si="184"/>
        <v/>
      </c>
      <c r="X756" s="38"/>
      <c r="Y756" s="64" t="str">
        <f t="shared" si="185"/>
        <v/>
      </c>
      <c r="Z756" s="40"/>
    </row>
    <row r="757" spans="1:26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90" t="s">
        <v>68</v>
      </c>
      <c r="J757" s="391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3"/>
        <v/>
      </c>
      <c r="S757" s="27"/>
      <c r="T757" s="36" t="s">
        <v>49</v>
      </c>
      <c r="U757" s="64"/>
      <c r="V757" s="38"/>
      <c r="W757" s="64" t="str">
        <f t="shared" si="184"/>
        <v/>
      </c>
      <c r="X757" s="38"/>
      <c r="Y757" s="64" t="str">
        <f t="shared" si="185"/>
        <v/>
      </c>
      <c r="Z757" s="40"/>
    </row>
    <row r="758" spans="1:26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96" t="s">
        <v>61</v>
      </c>
      <c r="J758" s="398"/>
      <c r="K758" s="234"/>
      <c r="L758" s="304"/>
      <c r="N758" s="35"/>
      <c r="O758" s="36" t="s">
        <v>54</v>
      </c>
      <c r="P758" s="36"/>
      <c r="Q758" s="36"/>
      <c r="R758" s="36" t="str">
        <f t="shared" si="183"/>
        <v/>
      </c>
      <c r="S758" s="27"/>
      <c r="T758" s="36" t="s">
        <v>54</v>
      </c>
      <c r="U758" s="64"/>
      <c r="V758" s="38"/>
      <c r="W758" s="64" t="str">
        <f t="shared" si="184"/>
        <v/>
      </c>
      <c r="X758" s="38"/>
      <c r="Y758" s="64" t="str">
        <f t="shared" si="185"/>
        <v/>
      </c>
      <c r="Z758" s="40"/>
    </row>
    <row r="759" spans="1:26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3"/>
        <v/>
      </c>
      <c r="S759" s="27"/>
      <c r="T759" s="36" t="s">
        <v>50</v>
      </c>
      <c r="U759" s="64"/>
      <c r="V759" s="38"/>
      <c r="W759" s="64" t="str">
        <f t="shared" si="184"/>
        <v/>
      </c>
      <c r="X759" s="38"/>
      <c r="Y759" s="64" t="str">
        <f t="shared" si="185"/>
        <v/>
      </c>
      <c r="Z759" s="40"/>
    </row>
    <row r="760" spans="1:26" s="25" customFormat="1" ht="18" customHeight="1" x14ac:dyDescent="0.2">
      <c r="A760" s="279"/>
      <c r="B760" s="399" t="s">
        <v>82</v>
      </c>
      <c r="C760" s="399"/>
      <c r="D760" s="399"/>
      <c r="E760" s="399"/>
      <c r="F760" s="399"/>
      <c r="G760" s="399"/>
      <c r="H760" s="399"/>
      <c r="I760" s="399"/>
      <c r="J760" s="399"/>
      <c r="K760" s="399"/>
      <c r="L760" s="291"/>
      <c r="N760" s="35"/>
      <c r="O760" s="36" t="s">
        <v>55</v>
      </c>
      <c r="P760" s="36"/>
      <c r="Q760" s="36"/>
      <c r="R760" s="36" t="str">
        <f t="shared" si="183"/>
        <v/>
      </c>
      <c r="S760" s="27"/>
      <c r="T760" s="36" t="s">
        <v>55</v>
      </c>
      <c r="U760" s="64"/>
      <c r="V760" s="38"/>
      <c r="W760" s="64" t="str">
        <f t="shared" si="184"/>
        <v/>
      </c>
      <c r="X760" s="38"/>
      <c r="Y760" s="64" t="str">
        <f t="shared" si="185"/>
        <v/>
      </c>
      <c r="Z760" s="40"/>
    </row>
    <row r="761" spans="1:26" s="25" customFormat="1" ht="18" customHeight="1" x14ac:dyDescent="0.2">
      <c r="A761" s="279"/>
      <c r="B761" s="399"/>
      <c r="C761" s="399"/>
      <c r="D761" s="399"/>
      <c r="E761" s="399"/>
      <c r="F761" s="399"/>
      <c r="G761" s="399"/>
      <c r="H761" s="399"/>
      <c r="I761" s="399"/>
      <c r="J761" s="399"/>
      <c r="K761" s="399"/>
      <c r="L761" s="291"/>
      <c r="N761" s="35"/>
      <c r="O761" s="36" t="s">
        <v>56</v>
      </c>
      <c r="P761" s="36"/>
      <c r="Q761" s="36"/>
      <c r="R761" s="36" t="str">
        <f t="shared" si="183"/>
        <v/>
      </c>
      <c r="S761" s="27"/>
      <c r="T761" s="36" t="s">
        <v>56</v>
      </c>
      <c r="U761" s="64"/>
      <c r="V761" s="38"/>
      <c r="W761" s="64" t="str">
        <f t="shared" si="184"/>
        <v/>
      </c>
      <c r="X761" s="38"/>
      <c r="Y761" s="64" t="str">
        <f t="shared" si="185"/>
        <v/>
      </c>
      <c r="Z761" s="40"/>
    </row>
    <row r="762" spans="1:26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3"/>
    </row>
    <row r="763" spans="1:26" s="25" customFormat="1" ht="18" customHeight="1" x14ac:dyDescent="0.2">
      <c r="A763" s="412" t="s">
        <v>38</v>
      </c>
      <c r="B763" s="413"/>
      <c r="C763" s="413"/>
      <c r="D763" s="413"/>
      <c r="E763" s="413"/>
      <c r="F763" s="413"/>
      <c r="G763" s="413"/>
      <c r="H763" s="413"/>
      <c r="I763" s="413"/>
      <c r="J763" s="413"/>
      <c r="K763" s="413"/>
      <c r="L763" s="414"/>
      <c r="M763" s="24"/>
      <c r="N763" s="28"/>
      <c r="O763" s="386" t="s">
        <v>40</v>
      </c>
      <c r="P763" s="387"/>
      <c r="Q763" s="387"/>
      <c r="R763" s="388"/>
      <c r="S763" s="29"/>
      <c r="T763" s="386" t="s">
        <v>41</v>
      </c>
      <c r="U763" s="387"/>
      <c r="V763" s="387"/>
      <c r="W763" s="387"/>
      <c r="X763" s="387"/>
      <c r="Y763" s="388"/>
      <c r="Z763" s="27"/>
    </row>
    <row r="764" spans="1:26" s="25" customFormat="1" ht="18" customHeight="1" x14ac:dyDescent="0.2">
      <c r="A764" s="279"/>
      <c r="B764" s="277"/>
      <c r="C764" s="392" t="s">
        <v>212</v>
      </c>
      <c r="D764" s="392"/>
      <c r="E764" s="392"/>
      <c r="F764" s="392"/>
      <c r="G764" s="280" t="str">
        <f>$J$1</f>
        <v>December</v>
      </c>
      <c r="H764" s="395">
        <f>$K$1</f>
        <v>2023</v>
      </c>
      <c r="I764" s="395"/>
      <c r="J764" s="277"/>
      <c r="K764" s="281"/>
      <c r="L764" s="282"/>
      <c r="M764" s="26"/>
      <c r="N764" s="31"/>
      <c r="O764" s="32" t="s">
        <v>51</v>
      </c>
      <c r="P764" s="32" t="s">
        <v>7</v>
      </c>
      <c r="Q764" s="32" t="s">
        <v>6</v>
      </c>
      <c r="R764" s="32" t="s">
        <v>52</v>
      </c>
      <c r="S764" s="33"/>
      <c r="T764" s="32" t="s">
        <v>51</v>
      </c>
      <c r="U764" s="32" t="s">
        <v>53</v>
      </c>
      <c r="V764" s="32" t="s">
        <v>18</v>
      </c>
      <c r="W764" s="32" t="s">
        <v>17</v>
      </c>
      <c r="X764" s="32" t="s">
        <v>19</v>
      </c>
      <c r="Y764" s="32" t="s">
        <v>57</v>
      </c>
      <c r="Z764" s="27"/>
    </row>
    <row r="765" spans="1:26" s="25" customFormat="1" ht="18" customHeight="1" x14ac:dyDescent="0.2">
      <c r="A765" s="279"/>
      <c r="B765" s="277"/>
      <c r="C765" s="277"/>
      <c r="D765" s="283"/>
      <c r="E765" s="283"/>
      <c r="F765" s="283"/>
      <c r="G765" s="283"/>
      <c r="H765" s="283"/>
      <c r="I765" s="277"/>
      <c r="J765" s="284" t="s">
        <v>1</v>
      </c>
      <c r="K765" s="285"/>
      <c r="L765" s="286"/>
      <c r="N765" s="35"/>
      <c r="O765" s="36" t="s">
        <v>43</v>
      </c>
      <c r="P765" s="36"/>
      <c r="Q765" s="36"/>
      <c r="R765" s="36">
        <v>0</v>
      </c>
      <c r="S765" s="37"/>
      <c r="T765" s="36" t="s">
        <v>43</v>
      </c>
      <c r="U765" s="38"/>
      <c r="V765" s="38"/>
      <c r="W765" s="38">
        <f>V765+U765</f>
        <v>0</v>
      </c>
      <c r="X765" s="38"/>
      <c r="Y765" s="38">
        <f>W765-X765</f>
        <v>0</v>
      </c>
      <c r="Z765" s="27"/>
    </row>
    <row r="766" spans="1:26" s="25" customFormat="1" ht="18" customHeight="1" x14ac:dyDescent="0.2">
      <c r="A766" s="279"/>
      <c r="B766" s="277" t="s">
        <v>0</v>
      </c>
      <c r="C766" s="276">
        <v>13</v>
      </c>
      <c r="D766" s="277"/>
      <c r="E766" s="277"/>
      <c r="F766" s="277"/>
      <c r="G766" s="277"/>
      <c r="H766" s="287"/>
      <c r="I766" s="283"/>
      <c r="J766" s="277"/>
      <c r="K766" s="277"/>
      <c r="L766" s="288"/>
      <c r="M766" s="24"/>
      <c r="N766" s="39"/>
      <c r="O766" s="36" t="s">
        <v>69</v>
      </c>
      <c r="P766" s="36"/>
      <c r="Q766" s="36"/>
      <c r="R766" s="36">
        <v>0</v>
      </c>
      <c r="S766" s="27"/>
      <c r="T766" s="36" t="s">
        <v>69</v>
      </c>
      <c r="U766" s="64">
        <f>Y765</f>
        <v>0</v>
      </c>
      <c r="V766" s="38"/>
      <c r="W766" s="64">
        <f>IF(U766="","",U766+V766)</f>
        <v>0</v>
      </c>
      <c r="X766" s="38"/>
      <c r="Y766" s="64">
        <f>IF(W766="","",W766-X766)</f>
        <v>0</v>
      </c>
      <c r="Z766" s="27"/>
    </row>
    <row r="767" spans="1:26" s="25" customFormat="1" ht="18" customHeight="1" x14ac:dyDescent="0.2">
      <c r="A767" s="279"/>
      <c r="B767" s="289" t="s">
        <v>39</v>
      </c>
      <c r="C767" s="290"/>
      <c r="D767" s="277"/>
      <c r="E767" s="277"/>
      <c r="F767" s="389" t="s">
        <v>41</v>
      </c>
      <c r="G767" s="389"/>
      <c r="H767" s="277"/>
      <c r="I767" s="389" t="s">
        <v>42</v>
      </c>
      <c r="J767" s="389"/>
      <c r="K767" s="389"/>
      <c r="L767" s="291"/>
      <c r="N767" s="35"/>
      <c r="O767" s="36" t="s">
        <v>44</v>
      </c>
      <c r="P767" s="36"/>
      <c r="Q767" s="36"/>
      <c r="R767" s="36">
        <v>0</v>
      </c>
      <c r="S767" s="27"/>
      <c r="T767" s="36" t="s">
        <v>44</v>
      </c>
      <c r="U767" s="64">
        <f>IF($J$1="April",Y766,Y766)</f>
        <v>0</v>
      </c>
      <c r="V767" s="38"/>
      <c r="W767" s="64">
        <f t="shared" ref="W767:W776" si="186">IF(U767="","",U767+V767)</f>
        <v>0</v>
      </c>
      <c r="X767" s="38"/>
      <c r="Y767" s="64">
        <f t="shared" ref="Y767:Y776" si="187">IF(W767="","",W767-X767)</f>
        <v>0</v>
      </c>
      <c r="Z767" s="27"/>
    </row>
    <row r="768" spans="1:26" s="25" customFormat="1" ht="18" customHeight="1" x14ac:dyDescent="0.2">
      <c r="A768" s="279"/>
      <c r="B768" s="277"/>
      <c r="C768" s="277"/>
      <c r="D768" s="277"/>
      <c r="E768" s="277"/>
      <c r="F768" s="277"/>
      <c r="G768" s="277"/>
      <c r="H768" s="292"/>
      <c r="I768" s="277"/>
      <c r="J768" s="277"/>
      <c r="K768" s="277"/>
      <c r="L768" s="293"/>
      <c r="N768" s="35"/>
      <c r="O768" s="36" t="s">
        <v>45</v>
      </c>
      <c r="P768" s="36"/>
      <c r="Q768" s="36"/>
      <c r="R768" s="36" t="str">
        <f t="shared" ref="R768:R776" si="188">IF(Q768="","",R767-Q768)</f>
        <v/>
      </c>
      <c r="S768" s="27"/>
      <c r="T768" s="36" t="s">
        <v>45</v>
      </c>
      <c r="U768" s="64">
        <f>IF($J$1="April",Y767,Y767)</f>
        <v>0</v>
      </c>
      <c r="V768" s="38"/>
      <c r="W768" s="64">
        <f t="shared" si="186"/>
        <v>0</v>
      </c>
      <c r="X768" s="38"/>
      <c r="Y768" s="64">
        <f t="shared" si="187"/>
        <v>0</v>
      </c>
      <c r="Z768" s="27"/>
    </row>
    <row r="769" spans="1:27" s="25" customFormat="1" ht="18" customHeight="1" x14ac:dyDescent="0.2">
      <c r="A769" s="279"/>
      <c r="B769" s="393" t="s">
        <v>40</v>
      </c>
      <c r="C769" s="394"/>
      <c r="D769" s="277"/>
      <c r="E769" s="277"/>
      <c r="F769" s="294" t="s">
        <v>62</v>
      </c>
      <c r="G769" s="295" t="str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/>
      </c>
      <c r="H769" s="292"/>
      <c r="I769" s="296"/>
      <c r="J769" s="297" t="s">
        <v>59</v>
      </c>
      <c r="K769" s="298">
        <f>K765/$K$2*I769</f>
        <v>0</v>
      </c>
      <c r="L769" s="299"/>
      <c r="N769" s="35"/>
      <c r="O769" s="36" t="s">
        <v>46</v>
      </c>
      <c r="P769" s="36"/>
      <c r="Q769" s="36"/>
      <c r="R769" s="36" t="str">
        <f t="shared" si="188"/>
        <v/>
      </c>
      <c r="S769" s="27"/>
      <c r="T769" s="36" t="s">
        <v>46</v>
      </c>
      <c r="U769" s="64">
        <f>IF($J$1="May",Y768,Y768)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27"/>
    </row>
    <row r="770" spans="1:27" s="25" customFormat="1" ht="18" customHeight="1" x14ac:dyDescent="0.2">
      <c r="A770" s="279"/>
      <c r="B770" s="300"/>
      <c r="C770" s="300"/>
      <c r="D770" s="277"/>
      <c r="E770" s="277"/>
      <c r="F770" s="294" t="s">
        <v>18</v>
      </c>
      <c r="G770" s="295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292"/>
      <c r="I770" s="314"/>
      <c r="J770" s="297" t="s">
        <v>60</v>
      </c>
      <c r="K770" s="301">
        <f>K765/$K$2/8*I770</f>
        <v>0</v>
      </c>
      <c r="L770" s="302"/>
      <c r="N770" s="35"/>
      <c r="O770" s="36" t="s">
        <v>47</v>
      </c>
      <c r="P770" s="36"/>
      <c r="Q770" s="36"/>
      <c r="R770" s="36" t="str">
        <f t="shared" si="188"/>
        <v/>
      </c>
      <c r="S770" s="27"/>
      <c r="T770" s="36" t="s">
        <v>47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27"/>
    </row>
    <row r="771" spans="1:27" s="25" customFormat="1" ht="18" customHeight="1" x14ac:dyDescent="0.2">
      <c r="A771" s="279"/>
      <c r="B771" s="294" t="s">
        <v>7</v>
      </c>
      <c r="C771" s="300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D771" s="277"/>
      <c r="E771" s="277"/>
      <c r="F771" s="294" t="s">
        <v>63</v>
      </c>
      <c r="G771" s="295" t="str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/>
      </c>
      <c r="H771" s="292"/>
      <c r="I771" s="390" t="s">
        <v>67</v>
      </c>
      <c r="J771" s="391"/>
      <c r="K771" s="301">
        <f>K769+K770</f>
        <v>0</v>
      </c>
      <c r="L771" s="302"/>
      <c r="N771" s="35"/>
      <c r="O771" s="36" t="s">
        <v>48</v>
      </c>
      <c r="P771" s="36"/>
      <c r="Q771" s="36"/>
      <c r="R771" s="36" t="str">
        <f t="shared" si="188"/>
        <v/>
      </c>
      <c r="S771" s="27"/>
      <c r="T771" s="36" t="s">
        <v>48</v>
      </c>
      <c r="U771" s="64" t="str">
        <f>IF($J$1="July",Y770,"")</f>
        <v/>
      </c>
      <c r="V771" s="38"/>
      <c r="W771" s="64" t="str">
        <f t="shared" si="186"/>
        <v/>
      </c>
      <c r="X771" s="38"/>
      <c r="Y771" s="64" t="str">
        <f t="shared" si="187"/>
        <v/>
      </c>
      <c r="Z771" s="27"/>
    </row>
    <row r="772" spans="1:27" s="25" customFormat="1" ht="18" customHeight="1" x14ac:dyDescent="0.2">
      <c r="A772" s="279"/>
      <c r="B772" s="294" t="s">
        <v>6</v>
      </c>
      <c r="C772" s="300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D772" s="277"/>
      <c r="E772" s="277"/>
      <c r="F772" s="294" t="s">
        <v>19</v>
      </c>
      <c r="G772" s="295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292"/>
      <c r="I772" s="390" t="s">
        <v>68</v>
      </c>
      <c r="J772" s="391"/>
      <c r="K772" s="295">
        <f>G772</f>
        <v>0</v>
      </c>
      <c r="L772" s="303"/>
      <c r="N772" s="35"/>
      <c r="O772" s="36" t="s">
        <v>49</v>
      </c>
      <c r="P772" s="36"/>
      <c r="Q772" s="36"/>
      <c r="R772" s="36" t="str">
        <f t="shared" si="188"/>
        <v/>
      </c>
      <c r="S772" s="27"/>
      <c r="T772" s="36" t="s">
        <v>49</v>
      </c>
      <c r="U772" s="64" t="str">
        <f>IF($J$1="August",Y771,"")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27"/>
    </row>
    <row r="773" spans="1:27" s="25" customFormat="1" ht="18" customHeight="1" x14ac:dyDescent="0.2">
      <c r="A773" s="279"/>
      <c r="B773" s="312" t="s">
        <v>66</v>
      </c>
      <c r="C773" s="300" t="str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/>
      </c>
      <c r="D773" s="277"/>
      <c r="E773" s="277"/>
      <c r="F773" s="294" t="s">
        <v>65</v>
      </c>
      <c r="G773" s="295" t="str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/>
      </c>
      <c r="H773" s="277"/>
      <c r="I773" s="396" t="s">
        <v>61</v>
      </c>
      <c r="J773" s="398"/>
      <c r="K773" s="234">
        <f>K771-K772</f>
        <v>0</v>
      </c>
      <c r="L773" s="304"/>
      <c r="N773" s="35"/>
      <c r="O773" s="36" t="s">
        <v>54</v>
      </c>
      <c r="P773" s="36"/>
      <c r="Q773" s="36"/>
      <c r="R773" s="36" t="str">
        <f t="shared" si="188"/>
        <v/>
      </c>
      <c r="S773" s="27"/>
      <c r="T773" s="36" t="s">
        <v>54</v>
      </c>
      <c r="U773" s="64" t="str">
        <f>IF($J$1="Sept",Y772,"")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27"/>
    </row>
    <row r="774" spans="1:27" s="25" customFormat="1" ht="18" customHeight="1" x14ac:dyDescent="0.2">
      <c r="A774" s="279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91"/>
      <c r="N774" s="35"/>
      <c r="O774" s="36" t="s">
        <v>50</v>
      </c>
      <c r="P774" s="36"/>
      <c r="Q774" s="36"/>
      <c r="R774" s="36" t="str">
        <f t="shared" si="188"/>
        <v/>
      </c>
      <c r="S774" s="27"/>
      <c r="T774" s="36" t="s">
        <v>50</v>
      </c>
      <c r="U774" s="64" t="str">
        <f>IF($J$1="October",Y773,"")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27"/>
    </row>
    <row r="775" spans="1:27" s="25" customFormat="1" ht="18" customHeight="1" x14ac:dyDescent="0.2">
      <c r="A775" s="279"/>
      <c r="B775" s="399" t="s">
        <v>82</v>
      </c>
      <c r="C775" s="399"/>
      <c r="D775" s="399"/>
      <c r="E775" s="399"/>
      <c r="F775" s="399"/>
      <c r="G775" s="399"/>
      <c r="H775" s="399"/>
      <c r="I775" s="399"/>
      <c r="J775" s="399"/>
      <c r="K775" s="399"/>
      <c r="L775" s="291"/>
      <c r="N775" s="35"/>
      <c r="O775" s="36" t="s">
        <v>55</v>
      </c>
      <c r="P775" s="36"/>
      <c r="Q775" s="36"/>
      <c r="R775" s="36" t="str">
        <f t="shared" si="188"/>
        <v/>
      </c>
      <c r="S775" s="27"/>
      <c r="T775" s="36" t="s">
        <v>55</v>
      </c>
      <c r="U775" s="64" t="str">
        <f>IF($J$1="November",Y774,"")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27"/>
    </row>
    <row r="776" spans="1:27" s="25" customFormat="1" ht="18" customHeight="1" x14ac:dyDescent="0.2">
      <c r="A776" s="279"/>
      <c r="B776" s="399"/>
      <c r="C776" s="399"/>
      <c r="D776" s="399"/>
      <c r="E776" s="399"/>
      <c r="F776" s="399"/>
      <c r="G776" s="399"/>
      <c r="H776" s="399"/>
      <c r="I776" s="399"/>
      <c r="J776" s="399"/>
      <c r="K776" s="399"/>
      <c r="L776" s="291"/>
      <c r="N776" s="35"/>
      <c r="O776" s="36" t="s">
        <v>56</v>
      </c>
      <c r="P776" s="36"/>
      <c r="Q776" s="36"/>
      <c r="R776" s="36" t="str">
        <f t="shared" si="188"/>
        <v/>
      </c>
      <c r="S776" s="27"/>
      <c r="T776" s="36" t="s">
        <v>56</v>
      </c>
      <c r="U776" s="64" t="str">
        <f>IF($J$1="Dec",Y775,"")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27"/>
    </row>
    <row r="777" spans="1:27" s="25" customFormat="1" ht="18" customHeight="1" thickBot="1" x14ac:dyDescent="0.25">
      <c r="A777" s="305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07"/>
      <c r="N777" s="41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7"/>
    </row>
    <row r="778" spans="1:27" ht="18" customHeight="1" thickBot="1" x14ac:dyDescent="0.35"/>
    <row r="779" spans="1:27" s="25" customFormat="1" ht="18" customHeight="1" thickBot="1" x14ac:dyDescent="0.25">
      <c r="A779" s="400" t="s">
        <v>38</v>
      </c>
      <c r="B779" s="401"/>
      <c r="C779" s="401"/>
      <c r="D779" s="401"/>
      <c r="E779" s="401"/>
      <c r="F779" s="401"/>
      <c r="G779" s="401"/>
      <c r="H779" s="401"/>
      <c r="I779" s="401"/>
      <c r="J779" s="401"/>
      <c r="K779" s="401"/>
      <c r="L779" s="402"/>
      <c r="M779" s="24"/>
      <c r="N779" s="28"/>
      <c r="O779" s="386" t="s">
        <v>40</v>
      </c>
      <c r="P779" s="387"/>
      <c r="Q779" s="387"/>
      <c r="R779" s="388"/>
      <c r="S779" s="29"/>
      <c r="T779" s="386" t="s">
        <v>41</v>
      </c>
      <c r="U779" s="387"/>
      <c r="V779" s="387"/>
      <c r="W779" s="387"/>
      <c r="X779" s="387"/>
      <c r="Y779" s="388"/>
      <c r="Z779" s="30"/>
      <c r="AA779" s="24"/>
    </row>
    <row r="780" spans="1:27" s="25" customFormat="1" ht="18" customHeight="1" x14ac:dyDescent="0.2">
      <c r="A780" s="279"/>
      <c r="B780" s="277"/>
      <c r="C780" s="392" t="s">
        <v>212</v>
      </c>
      <c r="D780" s="392"/>
      <c r="E780" s="392"/>
      <c r="F780" s="392"/>
      <c r="G780" s="280" t="str">
        <f>$J$1</f>
        <v>December</v>
      </c>
      <c r="H780" s="395">
        <f>$K$1</f>
        <v>2023</v>
      </c>
      <c r="I780" s="395"/>
      <c r="J780" s="277"/>
      <c r="K780" s="281"/>
      <c r="L780" s="282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9"/>
      <c r="B781" s="277"/>
      <c r="C781" s="277"/>
      <c r="D781" s="283"/>
      <c r="E781" s="283"/>
      <c r="F781" s="283"/>
      <c r="G781" s="283"/>
      <c r="H781" s="283"/>
      <c r="I781" s="277"/>
      <c r="J781" s="284" t="s">
        <v>1</v>
      </c>
      <c r="K781" s="285"/>
      <c r="L781" s="286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9"/>
      <c r="B782" s="277" t="s">
        <v>0</v>
      </c>
      <c r="C782" s="276" t="s">
        <v>210</v>
      </c>
      <c r="D782" s="277"/>
      <c r="E782" s="277"/>
      <c r="F782" s="277"/>
      <c r="G782" s="277"/>
      <c r="H782" s="287"/>
      <c r="I782" s="283"/>
      <c r="J782" s="277"/>
      <c r="K782" s="277"/>
      <c r="L782" s="288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4">
        <f>Y781</f>
        <v>0</v>
      </c>
      <c r="V782" s="38"/>
      <c r="W782" s="64">
        <f>IF(U782="","",U782+V782)</f>
        <v>0</v>
      </c>
      <c r="X782" s="38"/>
      <c r="Y782" s="64">
        <f>IF(W782="","",W782-X782)</f>
        <v>0</v>
      </c>
      <c r="Z782" s="40"/>
      <c r="AA782" s="24"/>
    </row>
    <row r="783" spans="1:27" s="25" customFormat="1" ht="18" customHeight="1" x14ac:dyDescent="0.2">
      <c r="A783" s="279"/>
      <c r="B783" s="289" t="s">
        <v>39</v>
      </c>
      <c r="C783" s="290"/>
      <c r="D783" s="277"/>
      <c r="E783" s="277"/>
      <c r="F783" s="396" t="s">
        <v>41</v>
      </c>
      <c r="G783" s="398"/>
      <c r="H783" s="277"/>
      <c r="I783" s="396" t="s">
        <v>42</v>
      </c>
      <c r="J783" s="397"/>
      <c r="K783" s="398"/>
      <c r="L783" s="291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4">
        <f>IF($J$1="April",Y782,Y782)</f>
        <v>0</v>
      </c>
      <c r="V783" s="38"/>
      <c r="W783" s="64">
        <f t="shared" ref="W783:W792" si="189">IF(U783="","",U783+V783)</f>
        <v>0</v>
      </c>
      <c r="X783" s="38"/>
      <c r="Y783" s="64">
        <f t="shared" ref="Y783:Y792" si="190">IF(W783="","",W783-X783)</f>
        <v>0</v>
      </c>
      <c r="Z783" s="40"/>
    </row>
    <row r="784" spans="1:27" s="25" customFormat="1" ht="18" customHeight="1" x14ac:dyDescent="0.2">
      <c r="A784" s="279"/>
      <c r="B784" s="277"/>
      <c r="C784" s="277"/>
      <c r="D784" s="277"/>
      <c r="E784" s="277"/>
      <c r="F784" s="277"/>
      <c r="G784" s="277"/>
      <c r="H784" s="292"/>
      <c r="I784" s="277"/>
      <c r="J784" s="277"/>
      <c r="K784" s="277"/>
      <c r="L784" s="293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4">
        <f>IF($J$1="April",Y783,Y783)</f>
        <v>0</v>
      </c>
      <c r="V784" s="38"/>
      <c r="W784" s="64">
        <f t="shared" si="189"/>
        <v>0</v>
      </c>
      <c r="X784" s="38"/>
      <c r="Y784" s="64">
        <f t="shared" si="190"/>
        <v>0</v>
      </c>
      <c r="Z784" s="40"/>
    </row>
    <row r="785" spans="1:27" s="25" customFormat="1" ht="18" customHeight="1" x14ac:dyDescent="0.2">
      <c r="A785" s="279"/>
      <c r="B785" s="393" t="s">
        <v>40</v>
      </c>
      <c r="C785" s="394"/>
      <c r="D785" s="277"/>
      <c r="E785" s="277"/>
      <c r="F785" s="294" t="s">
        <v>62</v>
      </c>
      <c r="G785" s="295" t="str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/>
      </c>
      <c r="H785" s="292"/>
      <c r="I785" s="296"/>
      <c r="J785" s="297" t="s">
        <v>59</v>
      </c>
      <c r="K785" s="298">
        <f>K781/$K$2*I785</f>
        <v>0</v>
      </c>
      <c r="L785" s="299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4">
        <f>IF($J$1="May",Y784,Y784)</f>
        <v>0</v>
      </c>
      <c r="V785" s="38"/>
      <c r="W785" s="64">
        <f t="shared" si="189"/>
        <v>0</v>
      </c>
      <c r="X785" s="38"/>
      <c r="Y785" s="64">
        <f t="shared" si="190"/>
        <v>0</v>
      </c>
      <c r="Z785" s="40"/>
    </row>
    <row r="786" spans="1:27" s="25" customFormat="1" ht="18" customHeight="1" x14ac:dyDescent="0.2">
      <c r="A786" s="279"/>
      <c r="B786" s="300"/>
      <c r="C786" s="300"/>
      <c r="D786" s="277"/>
      <c r="E786" s="277"/>
      <c r="F786" s="294" t="s">
        <v>18</v>
      </c>
      <c r="G786" s="295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92"/>
      <c r="I786" s="296"/>
      <c r="J786" s="297" t="s">
        <v>60</v>
      </c>
      <c r="K786" s="301">
        <f>K781/$K$2/8*I786</f>
        <v>0</v>
      </c>
      <c r="L786" s="302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4">
        <f>IF($J$1="May",Y785,Y785)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294" t="s">
        <v>7</v>
      </c>
      <c r="C787" s="30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7"/>
      <c r="E787" s="277"/>
      <c r="F787" s="294" t="s">
        <v>63</v>
      </c>
      <c r="G787" s="295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292"/>
      <c r="I787" s="390" t="s">
        <v>67</v>
      </c>
      <c r="J787" s="391"/>
      <c r="K787" s="301">
        <f>K785+K786</f>
        <v>0</v>
      </c>
      <c r="L787" s="302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4" t="str">
        <f>IF($J$1="July",Y786,"")</f>
        <v/>
      </c>
      <c r="V787" s="38"/>
      <c r="W787" s="64" t="str">
        <f t="shared" si="189"/>
        <v/>
      </c>
      <c r="X787" s="38"/>
      <c r="Y787" s="64" t="str">
        <f t="shared" si="190"/>
        <v/>
      </c>
      <c r="Z787" s="40"/>
    </row>
    <row r="788" spans="1:27" s="25" customFormat="1" ht="18" customHeight="1" x14ac:dyDescent="0.2">
      <c r="A788" s="279"/>
      <c r="B788" s="294" t="s">
        <v>6</v>
      </c>
      <c r="C788" s="30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7"/>
      <c r="E788" s="277"/>
      <c r="F788" s="294" t="s">
        <v>19</v>
      </c>
      <c r="G788" s="295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92"/>
      <c r="I788" s="390" t="s">
        <v>68</v>
      </c>
      <c r="J788" s="391"/>
      <c r="K788" s="295">
        <f>G788</f>
        <v>0</v>
      </c>
      <c r="L788" s="303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4" t="str">
        <f>IF($J$1="August",Y787,"")</f>
        <v/>
      </c>
      <c r="V788" s="38"/>
      <c r="W788" s="64" t="str">
        <f t="shared" si="189"/>
        <v/>
      </c>
      <c r="X788" s="38"/>
      <c r="Y788" s="64" t="str">
        <f t="shared" si="190"/>
        <v/>
      </c>
      <c r="Z788" s="40"/>
    </row>
    <row r="789" spans="1:27" s="25" customFormat="1" ht="18" customHeight="1" x14ac:dyDescent="0.2">
      <c r="A789" s="279"/>
      <c r="B789" s="309" t="s">
        <v>66</v>
      </c>
      <c r="C789" s="30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7"/>
      <c r="E789" s="277"/>
      <c r="F789" s="309" t="s">
        <v>201</v>
      </c>
      <c r="G789" s="295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H789" s="277"/>
      <c r="I789" s="396" t="s">
        <v>61</v>
      </c>
      <c r="J789" s="398"/>
      <c r="K789" s="234">
        <f>K787-K788</f>
        <v>0</v>
      </c>
      <c r="L789" s="304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91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4" t="str">
        <f>IF($J$1="October",Y789,"")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3">
      <c r="A791" s="279"/>
      <c r="B791" s="275" t="s">
        <v>82</v>
      </c>
      <c r="C791" s="275"/>
      <c r="D791" s="275"/>
      <c r="E791" s="275"/>
      <c r="F791" s="275"/>
      <c r="G791" s="275"/>
      <c r="H791" s="275"/>
      <c r="I791" s="275"/>
      <c r="J791" s="275"/>
      <c r="K791" s="275"/>
      <c r="L791" s="291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4" t="str">
        <f>IF($J$1="November",Y790,"")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thickBot="1" x14ac:dyDescent="0.35">
      <c r="A792" s="305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7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4" t="str">
        <f>IF($J$1="Dec",Y791,"")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thickBot="1" x14ac:dyDescent="0.25">
      <c r="A793" s="305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07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09" t="s">
        <v>38</v>
      </c>
      <c r="B796" s="410"/>
      <c r="C796" s="410"/>
      <c r="D796" s="410"/>
      <c r="E796" s="410"/>
      <c r="F796" s="410"/>
      <c r="G796" s="410"/>
      <c r="H796" s="410"/>
      <c r="I796" s="410"/>
      <c r="J796" s="410"/>
      <c r="K796" s="410"/>
      <c r="L796" s="411"/>
      <c r="M796" s="24"/>
      <c r="N796" s="28"/>
      <c r="O796" s="386" t="s">
        <v>40</v>
      </c>
      <c r="P796" s="387"/>
      <c r="Q796" s="387"/>
      <c r="R796" s="388"/>
      <c r="S796" s="29"/>
      <c r="T796" s="386" t="s">
        <v>41</v>
      </c>
      <c r="U796" s="387"/>
      <c r="V796" s="387"/>
      <c r="W796" s="387"/>
      <c r="X796" s="387"/>
      <c r="Y796" s="388"/>
      <c r="Z796" s="30"/>
      <c r="AA796" s="24"/>
    </row>
    <row r="797" spans="1:27" s="25" customFormat="1" ht="18" customHeight="1" x14ac:dyDescent="0.2">
      <c r="A797" s="279"/>
      <c r="B797" s="277"/>
      <c r="C797" s="392" t="s">
        <v>212</v>
      </c>
      <c r="D797" s="392"/>
      <c r="E797" s="392"/>
      <c r="F797" s="392"/>
      <c r="G797" s="280" t="str">
        <f>$J$1</f>
        <v>December</v>
      </c>
      <c r="H797" s="395">
        <f>$K$1</f>
        <v>2023</v>
      </c>
      <c r="I797" s="395"/>
      <c r="J797" s="277"/>
      <c r="K797" s="281"/>
      <c r="L797" s="282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9"/>
      <c r="B798" s="277"/>
      <c r="C798" s="277"/>
      <c r="D798" s="283"/>
      <c r="E798" s="283"/>
      <c r="F798" s="283"/>
      <c r="G798" s="283"/>
      <c r="H798" s="283"/>
      <c r="I798" s="277"/>
      <c r="J798" s="284" t="s">
        <v>1</v>
      </c>
      <c r="K798" s="285"/>
      <c r="L798" s="286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9"/>
      <c r="B799" s="277" t="s">
        <v>0</v>
      </c>
      <c r="C799" s="276" t="s">
        <v>209</v>
      </c>
      <c r="D799" s="277"/>
      <c r="E799" s="277"/>
      <c r="F799" s="277"/>
      <c r="G799" s="277"/>
      <c r="H799" s="287"/>
      <c r="I799" s="283"/>
      <c r="J799" s="277"/>
      <c r="K799" s="277"/>
      <c r="L799" s="288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4">
        <f>Y798</f>
        <v>0</v>
      </c>
      <c r="V799" s="38"/>
      <c r="W799" s="64">
        <f>IF(U799="","",U799+V799)</f>
        <v>0</v>
      </c>
      <c r="X799" s="38"/>
      <c r="Y799" s="64">
        <f>IF(W799="","",W799-X799)</f>
        <v>0</v>
      </c>
      <c r="Z799" s="40"/>
      <c r="AA799" s="24"/>
    </row>
    <row r="800" spans="1:27" s="25" customFormat="1" ht="18" customHeight="1" x14ac:dyDescent="0.2">
      <c r="A800" s="279"/>
      <c r="B800" s="289" t="s">
        <v>39</v>
      </c>
      <c r="C800" s="290"/>
      <c r="D800" s="277"/>
      <c r="E800" s="277"/>
      <c r="F800" s="389" t="s">
        <v>41</v>
      </c>
      <c r="G800" s="389"/>
      <c r="H800" s="277"/>
      <c r="I800" s="389" t="s">
        <v>42</v>
      </c>
      <c r="J800" s="389"/>
      <c r="K800" s="389"/>
      <c r="L800" s="291"/>
      <c r="N800" s="35"/>
      <c r="O800" s="36" t="s">
        <v>44</v>
      </c>
      <c r="P800" s="36"/>
      <c r="Q800" s="36"/>
      <c r="R800" s="36" t="str">
        <f t="shared" ref="R800:R809" si="191">IF(Q800="","",R799-Q800)</f>
        <v/>
      </c>
      <c r="S800" s="27"/>
      <c r="T800" s="36" t="s">
        <v>44</v>
      </c>
      <c r="U800" s="64">
        <f>IF($J$1="April",Y799,Y799)</f>
        <v>0</v>
      </c>
      <c r="V800" s="38"/>
      <c r="W800" s="64">
        <f t="shared" ref="W800:W809" si="192">IF(U800="","",U800+V800)</f>
        <v>0</v>
      </c>
      <c r="X800" s="38"/>
      <c r="Y800" s="64">
        <f t="shared" ref="Y800:Y809" si="193">IF(W800="","",W800-X800)</f>
        <v>0</v>
      </c>
      <c r="Z800" s="40"/>
    </row>
    <row r="801" spans="1:27" s="25" customFormat="1" ht="18" customHeight="1" x14ac:dyDescent="0.2">
      <c r="A801" s="279"/>
      <c r="B801" s="277"/>
      <c r="C801" s="277"/>
      <c r="D801" s="277"/>
      <c r="E801" s="277"/>
      <c r="F801" s="277"/>
      <c r="G801" s="277"/>
      <c r="H801" s="292"/>
      <c r="I801" s="277"/>
      <c r="J801" s="277"/>
      <c r="K801" s="277"/>
      <c r="L801" s="293"/>
      <c r="N801" s="35"/>
      <c r="O801" s="36" t="s">
        <v>45</v>
      </c>
      <c r="P801" s="36"/>
      <c r="Q801" s="36"/>
      <c r="R801" s="36" t="str">
        <f t="shared" si="191"/>
        <v/>
      </c>
      <c r="S801" s="27"/>
      <c r="T801" s="36" t="s">
        <v>45</v>
      </c>
      <c r="U801" s="64">
        <f>IF($J$1="April",Y800,Y800)</f>
        <v>0</v>
      </c>
      <c r="V801" s="38"/>
      <c r="W801" s="64">
        <f t="shared" si="192"/>
        <v>0</v>
      </c>
      <c r="X801" s="38"/>
      <c r="Y801" s="64">
        <f t="shared" si="193"/>
        <v>0</v>
      </c>
      <c r="Z801" s="40"/>
    </row>
    <row r="802" spans="1:27" s="25" customFormat="1" ht="18" customHeight="1" x14ac:dyDescent="0.2">
      <c r="A802" s="279"/>
      <c r="B802" s="393" t="s">
        <v>40</v>
      </c>
      <c r="C802" s="394"/>
      <c r="D802" s="277"/>
      <c r="E802" s="277"/>
      <c r="F802" s="294" t="s">
        <v>62</v>
      </c>
      <c r="G802" s="295" t="str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/>
      </c>
      <c r="H802" s="292"/>
      <c r="I802" s="296"/>
      <c r="J802" s="297" t="s">
        <v>59</v>
      </c>
      <c r="K802" s="298">
        <f>K798/$K$2*I802</f>
        <v>0</v>
      </c>
      <c r="L802" s="299"/>
      <c r="N802" s="35"/>
      <c r="O802" s="36" t="s">
        <v>46</v>
      </c>
      <c r="P802" s="36"/>
      <c r="Q802" s="36"/>
      <c r="R802" s="36" t="str">
        <f t="shared" si="191"/>
        <v/>
      </c>
      <c r="S802" s="27"/>
      <c r="T802" s="36" t="s">
        <v>46</v>
      </c>
      <c r="U802" s="64">
        <f>IF($J$1="May",Y801,Y801)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00"/>
      <c r="C803" s="300"/>
      <c r="D803" s="277"/>
      <c r="E803" s="277"/>
      <c r="F803" s="294" t="s">
        <v>18</v>
      </c>
      <c r="G803" s="295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92"/>
      <c r="I803" s="296"/>
      <c r="J803" s="297" t="s">
        <v>60</v>
      </c>
      <c r="K803" s="301">
        <f>K798/$K$2/8*I803</f>
        <v>0</v>
      </c>
      <c r="L803" s="302"/>
      <c r="N803" s="35"/>
      <c r="O803" s="36" t="s">
        <v>47</v>
      </c>
      <c r="P803" s="36"/>
      <c r="Q803" s="36"/>
      <c r="R803" s="36" t="str">
        <f t="shared" si="191"/>
        <v/>
      </c>
      <c r="S803" s="27"/>
      <c r="T803" s="36" t="s">
        <v>47</v>
      </c>
      <c r="U803" s="64">
        <f>IF($J$1="May",Y802,Y802)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294" t="s">
        <v>7</v>
      </c>
      <c r="C804" s="30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7"/>
      <c r="E804" s="277"/>
      <c r="F804" s="294" t="s">
        <v>63</v>
      </c>
      <c r="G804" s="295" t="str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/>
      </c>
      <c r="H804" s="292"/>
      <c r="I804" s="390" t="s">
        <v>67</v>
      </c>
      <c r="J804" s="391"/>
      <c r="K804" s="301">
        <f>K802+K803</f>
        <v>0</v>
      </c>
      <c r="L804" s="302"/>
      <c r="N804" s="35"/>
      <c r="O804" s="36" t="s">
        <v>48</v>
      </c>
      <c r="P804" s="36"/>
      <c r="Q804" s="36"/>
      <c r="R804" s="36" t="str">
        <f t="shared" si="191"/>
        <v/>
      </c>
      <c r="S804" s="27"/>
      <c r="T804" s="36" t="s">
        <v>48</v>
      </c>
      <c r="U804" s="64" t="str">
        <f>IF($J$1="September",Y803,"")</f>
        <v/>
      </c>
      <c r="V804" s="38"/>
      <c r="W804" s="64" t="str">
        <f t="shared" si="192"/>
        <v/>
      </c>
      <c r="X804" s="38"/>
      <c r="Y804" s="64" t="str">
        <f t="shared" si="193"/>
        <v/>
      </c>
      <c r="Z804" s="40"/>
    </row>
    <row r="805" spans="1:27" s="25" customFormat="1" ht="18" customHeight="1" x14ac:dyDescent="0.2">
      <c r="A805" s="279"/>
      <c r="B805" s="294" t="s">
        <v>6</v>
      </c>
      <c r="C805" s="30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7"/>
      <c r="E805" s="277"/>
      <c r="F805" s="294" t="s">
        <v>19</v>
      </c>
      <c r="G805" s="295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92"/>
      <c r="I805" s="390" t="s">
        <v>68</v>
      </c>
      <c r="J805" s="391"/>
      <c r="K805" s="295">
        <f>G805</f>
        <v>0</v>
      </c>
      <c r="L805" s="303"/>
      <c r="N805" s="35"/>
      <c r="O805" s="36" t="s">
        <v>49</v>
      </c>
      <c r="P805" s="36"/>
      <c r="Q805" s="36"/>
      <c r="R805" s="36" t="str">
        <f t="shared" si="191"/>
        <v/>
      </c>
      <c r="S805" s="27"/>
      <c r="T805" s="36" t="s">
        <v>49</v>
      </c>
      <c r="U805" s="64" t="str">
        <f>IF($J$1="September",Y804,"")</f>
        <v/>
      </c>
      <c r="V805" s="38"/>
      <c r="W805" s="64" t="str">
        <f t="shared" si="192"/>
        <v/>
      </c>
      <c r="X805" s="38"/>
      <c r="Y805" s="64" t="str">
        <f t="shared" si="193"/>
        <v/>
      </c>
      <c r="Z805" s="40"/>
    </row>
    <row r="806" spans="1:27" s="25" customFormat="1" ht="18" customHeight="1" x14ac:dyDescent="0.2">
      <c r="A806" s="279"/>
      <c r="B806" s="312" t="s">
        <v>66</v>
      </c>
      <c r="C806" s="300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7"/>
      <c r="E806" s="277"/>
      <c r="F806" s="294" t="s">
        <v>65</v>
      </c>
      <c r="G806" s="295" t="str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/>
      </c>
      <c r="H806" s="277"/>
      <c r="I806" s="396" t="s">
        <v>61</v>
      </c>
      <c r="J806" s="398"/>
      <c r="K806" s="234">
        <f>K804-K805</f>
        <v>0</v>
      </c>
      <c r="L806" s="304"/>
      <c r="N806" s="35"/>
      <c r="O806" s="36" t="s">
        <v>54</v>
      </c>
      <c r="P806" s="36"/>
      <c r="Q806" s="36"/>
      <c r="R806" s="36" t="str">
        <f t="shared" si="191"/>
        <v/>
      </c>
      <c r="S806" s="27"/>
      <c r="T806" s="36" t="s">
        <v>54</v>
      </c>
      <c r="U806" s="64" t="str">
        <f>IF($J$1="Sept",Y805,"")</f>
        <v/>
      </c>
      <c r="V806" s="38"/>
      <c r="W806" s="64" t="str">
        <f t="shared" si="192"/>
        <v/>
      </c>
      <c r="X806" s="38"/>
      <c r="Y806" s="64" t="str">
        <f t="shared" si="193"/>
        <v/>
      </c>
      <c r="Z806" s="40"/>
    </row>
    <row r="807" spans="1:27" s="25" customFormat="1" ht="18" customHeight="1" x14ac:dyDescent="0.2">
      <c r="A807" s="279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91"/>
      <c r="N807" s="35"/>
      <c r="O807" s="36" t="s">
        <v>50</v>
      </c>
      <c r="P807" s="36"/>
      <c r="Q807" s="36"/>
      <c r="R807" s="36" t="str">
        <f t="shared" si="191"/>
        <v/>
      </c>
      <c r="S807" s="27"/>
      <c r="T807" s="36" t="s">
        <v>50</v>
      </c>
      <c r="U807" s="64" t="str">
        <f>IF($J$1="October",Y806,"")</f>
        <v/>
      </c>
      <c r="V807" s="38"/>
      <c r="W807" s="64" t="str">
        <f t="shared" si="192"/>
        <v/>
      </c>
      <c r="X807" s="38"/>
      <c r="Y807" s="64" t="str">
        <f t="shared" si="193"/>
        <v/>
      </c>
      <c r="Z807" s="40"/>
    </row>
    <row r="808" spans="1:27" s="25" customFormat="1" ht="18" customHeight="1" x14ac:dyDescent="0.2">
      <c r="A808" s="279"/>
      <c r="B808" s="399" t="s">
        <v>82</v>
      </c>
      <c r="C808" s="399"/>
      <c r="D808" s="399"/>
      <c r="E808" s="399"/>
      <c r="F808" s="399"/>
      <c r="G808" s="399"/>
      <c r="H808" s="399"/>
      <c r="I808" s="399"/>
      <c r="J808" s="399"/>
      <c r="K808" s="399"/>
      <c r="L808" s="291"/>
      <c r="N808" s="35"/>
      <c r="O808" s="36" t="s">
        <v>55</v>
      </c>
      <c r="P808" s="36"/>
      <c r="Q808" s="36"/>
      <c r="R808" s="36" t="str">
        <f t="shared" si="191"/>
        <v/>
      </c>
      <c r="S808" s="27"/>
      <c r="T808" s="36" t="s">
        <v>55</v>
      </c>
      <c r="U808" s="64" t="str">
        <f>IF($J$1="November",Y807,"")</f>
        <v/>
      </c>
      <c r="V808" s="38"/>
      <c r="W808" s="64" t="str">
        <f t="shared" si="192"/>
        <v/>
      </c>
      <c r="X808" s="38"/>
      <c r="Y808" s="64" t="str">
        <f t="shared" si="193"/>
        <v/>
      </c>
      <c r="Z808" s="40"/>
    </row>
    <row r="809" spans="1:27" s="25" customFormat="1" ht="18" customHeight="1" x14ac:dyDescent="0.2">
      <c r="A809" s="279"/>
      <c r="B809" s="399"/>
      <c r="C809" s="399"/>
      <c r="D809" s="399"/>
      <c r="E809" s="399"/>
      <c r="F809" s="399"/>
      <c r="G809" s="399"/>
      <c r="H809" s="399"/>
      <c r="I809" s="399"/>
      <c r="J809" s="399"/>
      <c r="K809" s="399"/>
      <c r="L809" s="291"/>
      <c r="N809" s="35"/>
      <c r="O809" s="36" t="s">
        <v>56</v>
      </c>
      <c r="P809" s="36"/>
      <c r="Q809" s="36"/>
      <c r="R809" s="36" t="str">
        <f t="shared" si="191"/>
        <v/>
      </c>
      <c r="S809" s="27"/>
      <c r="T809" s="36" t="s">
        <v>56</v>
      </c>
      <c r="U809" s="64" t="str">
        <f>IF($J$1="Dec",Y808,"")</f>
        <v/>
      </c>
      <c r="V809" s="38"/>
      <c r="W809" s="64" t="str">
        <f t="shared" si="192"/>
        <v/>
      </c>
      <c r="X809" s="38"/>
      <c r="Y809" s="64" t="str">
        <f t="shared" si="193"/>
        <v/>
      </c>
      <c r="Z809" s="40"/>
    </row>
    <row r="810" spans="1:27" s="25" customFormat="1" ht="18" customHeight="1" thickBot="1" x14ac:dyDescent="0.25">
      <c r="A810" s="305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07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8" t="s">
        <v>38</v>
      </c>
      <c r="B812" s="419"/>
      <c r="C812" s="419"/>
      <c r="D812" s="419"/>
      <c r="E812" s="419"/>
      <c r="F812" s="419"/>
      <c r="G812" s="419"/>
      <c r="H812" s="419"/>
      <c r="I812" s="419"/>
      <c r="J812" s="419"/>
      <c r="K812" s="419"/>
      <c r="L812" s="420"/>
      <c r="M812" s="24"/>
      <c r="N812" s="28"/>
      <c r="O812" s="386" t="s">
        <v>40</v>
      </c>
      <c r="P812" s="387"/>
      <c r="Q812" s="387"/>
      <c r="R812" s="388"/>
      <c r="S812" s="29"/>
      <c r="T812" s="386" t="s">
        <v>41</v>
      </c>
      <c r="U812" s="387"/>
      <c r="V812" s="387"/>
      <c r="W812" s="387"/>
      <c r="X812" s="387"/>
      <c r="Y812" s="388"/>
      <c r="Z812" s="30"/>
      <c r="AA812" s="24"/>
    </row>
    <row r="813" spans="1:27" s="25" customFormat="1" ht="18" customHeight="1" x14ac:dyDescent="0.2">
      <c r="A813" s="279"/>
      <c r="B813" s="277"/>
      <c r="C813" s="392" t="s">
        <v>212</v>
      </c>
      <c r="D813" s="392"/>
      <c r="E813" s="392"/>
      <c r="F813" s="392"/>
      <c r="G813" s="280" t="str">
        <f>$J$1</f>
        <v>December</v>
      </c>
      <c r="H813" s="395">
        <f>$K$1</f>
        <v>2023</v>
      </c>
      <c r="I813" s="395"/>
      <c r="J813" s="277"/>
      <c r="K813" s="281"/>
      <c r="L813" s="282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9"/>
      <c r="B814" s="277"/>
      <c r="C814" s="277"/>
      <c r="D814" s="283"/>
      <c r="E814" s="283"/>
      <c r="F814" s="283"/>
      <c r="G814" s="283"/>
      <c r="H814" s="283"/>
      <c r="I814" s="277"/>
      <c r="J814" s="284" t="s">
        <v>1</v>
      </c>
      <c r="K814" s="285"/>
      <c r="L814" s="286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9"/>
      <c r="B815" s="277" t="s">
        <v>0</v>
      </c>
      <c r="C815" s="276" t="s">
        <v>208</v>
      </c>
      <c r="D815" s="277"/>
      <c r="E815" s="277"/>
      <c r="F815" s="277"/>
      <c r="G815" s="277"/>
      <c r="H815" s="287"/>
      <c r="I815" s="283"/>
      <c r="J815" s="277"/>
      <c r="K815" s="277"/>
      <c r="L815" s="288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4">
        <f>IF($J$1="January","",Y814)</f>
        <v>0</v>
      </c>
      <c r="V815" s="38"/>
      <c r="W815" s="64">
        <f>IF(U815="","",U815+V815)</f>
        <v>0</v>
      </c>
      <c r="X815" s="38"/>
      <c r="Y815" s="64">
        <f>IF(W815="","",W815-X815)</f>
        <v>0</v>
      </c>
      <c r="Z815" s="40"/>
      <c r="AA815" s="24"/>
    </row>
    <row r="816" spans="1:27" s="25" customFormat="1" ht="18" customHeight="1" x14ac:dyDescent="0.2">
      <c r="A816" s="279"/>
      <c r="B816" s="289" t="s">
        <v>39</v>
      </c>
      <c r="C816" s="290"/>
      <c r="D816" s="277"/>
      <c r="E816" s="277"/>
      <c r="F816" s="389" t="s">
        <v>41</v>
      </c>
      <c r="G816" s="389"/>
      <c r="H816" s="277"/>
      <c r="I816" s="389" t="s">
        <v>42</v>
      </c>
      <c r="J816" s="389"/>
      <c r="K816" s="389"/>
      <c r="L816" s="291"/>
      <c r="N816" s="35"/>
      <c r="O816" s="36" t="s">
        <v>44</v>
      </c>
      <c r="P816" s="36">
        <v>31</v>
      </c>
      <c r="Q816" s="36">
        <v>0</v>
      </c>
      <c r="R816" s="36">
        <f t="shared" ref="R816" si="194">IF(Q816="","",R815-Q816)</f>
        <v>12</v>
      </c>
      <c r="S816" s="27"/>
      <c r="T816" s="36" t="s">
        <v>44</v>
      </c>
      <c r="U816" s="64">
        <f>IF($J$1="February","",Y815)</f>
        <v>0</v>
      </c>
      <c r="V816" s="38"/>
      <c r="W816" s="64">
        <f t="shared" ref="W816:W825" si="195">IF(U816="","",U816+V816)</f>
        <v>0</v>
      </c>
      <c r="X816" s="38"/>
      <c r="Y816" s="64">
        <f t="shared" ref="Y816:Y825" si="196">IF(W816="","",W816-X816)</f>
        <v>0</v>
      </c>
      <c r="Z816" s="40"/>
    </row>
    <row r="817" spans="1:27" s="25" customFormat="1" ht="18" customHeight="1" x14ac:dyDescent="0.2">
      <c r="A817" s="279"/>
      <c r="B817" s="277"/>
      <c r="C817" s="277"/>
      <c r="D817" s="277"/>
      <c r="E817" s="277"/>
      <c r="F817" s="277"/>
      <c r="G817" s="277"/>
      <c r="H817" s="292"/>
      <c r="I817" s="277"/>
      <c r="J817" s="277"/>
      <c r="K817" s="277"/>
      <c r="L817" s="293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4">
        <f>IF($J$1="March","",Y816)</f>
        <v>0</v>
      </c>
      <c r="V817" s="38"/>
      <c r="W817" s="64">
        <f t="shared" si="195"/>
        <v>0</v>
      </c>
      <c r="X817" s="38"/>
      <c r="Y817" s="64">
        <f t="shared" si="196"/>
        <v>0</v>
      </c>
      <c r="Z817" s="40"/>
    </row>
    <row r="818" spans="1:27" s="25" customFormat="1" ht="18" customHeight="1" x14ac:dyDescent="0.2">
      <c r="A818" s="279"/>
      <c r="B818" s="393" t="s">
        <v>40</v>
      </c>
      <c r="C818" s="394"/>
      <c r="D818" s="277"/>
      <c r="E818" s="277"/>
      <c r="F818" s="294" t="s">
        <v>62</v>
      </c>
      <c r="G818" s="29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92"/>
      <c r="I818" s="296">
        <f>IF(C822&gt;0,$K$2,C820)</f>
        <v>0</v>
      </c>
      <c r="J818" s="297" t="s">
        <v>59</v>
      </c>
      <c r="K818" s="298">
        <f>K814/$K$2*I818</f>
        <v>0</v>
      </c>
      <c r="L818" s="299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4">
        <f>IF($J$1="April","",Y817)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7" s="25" customFormat="1" ht="18" customHeight="1" x14ac:dyDescent="0.2">
      <c r="A819" s="279"/>
      <c r="B819" s="300"/>
      <c r="C819" s="300"/>
      <c r="D819" s="277"/>
      <c r="E819" s="277"/>
      <c r="F819" s="294" t="s">
        <v>18</v>
      </c>
      <c r="G819" s="29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92"/>
      <c r="I819" s="314"/>
      <c r="J819" s="297" t="s">
        <v>60</v>
      </c>
      <c r="K819" s="301">
        <f>K814/$K$2/8*I819</f>
        <v>0</v>
      </c>
      <c r="L819" s="302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4">
        <f>IF($J$1="May","",Y818)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7" s="25" customFormat="1" ht="18" customHeight="1" x14ac:dyDescent="0.2">
      <c r="A820" s="279"/>
      <c r="B820" s="294" t="s">
        <v>7</v>
      </c>
      <c r="C820" s="300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7"/>
      <c r="E820" s="277"/>
      <c r="F820" s="294" t="s">
        <v>63</v>
      </c>
      <c r="G820" s="29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92"/>
      <c r="I820" s="390" t="s">
        <v>67</v>
      </c>
      <c r="J820" s="391"/>
      <c r="K820" s="301">
        <f>K818+K819</f>
        <v>0</v>
      </c>
      <c r="L820" s="302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4">
        <f>IF($J$1="June","",Y819)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7" s="25" customFormat="1" ht="18" customHeight="1" x14ac:dyDescent="0.2">
      <c r="A821" s="279"/>
      <c r="B821" s="294" t="s">
        <v>6</v>
      </c>
      <c r="C821" s="300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7"/>
      <c r="E821" s="277"/>
      <c r="F821" s="294" t="s">
        <v>19</v>
      </c>
      <c r="G821" s="29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92"/>
      <c r="I821" s="390" t="s">
        <v>68</v>
      </c>
      <c r="J821" s="391"/>
      <c r="K821" s="295">
        <f>G821</f>
        <v>0</v>
      </c>
      <c r="L821" s="303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4">
        <f>IF($J$1="July","",Y820)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7" s="25" customFormat="1" ht="18" customHeight="1" x14ac:dyDescent="0.2">
      <c r="A822" s="279"/>
      <c r="B822" s="312" t="s">
        <v>66</v>
      </c>
      <c r="C822" s="300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7"/>
      <c r="E822" s="277"/>
      <c r="F822" s="294" t="s">
        <v>65</v>
      </c>
      <c r="G822" s="29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7"/>
      <c r="I822" s="396" t="s">
        <v>61</v>
      </c>
      <c r="J822" s="398"/>
      <c r="K822" s="234"/>
      <c r="L822" s="304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4">
        <f>IF($J$1="August","",Y821)</f>
        <v>0</v>
      </c>
      <c r="V822" s="38"/>
      <c r="W822" s="64">
        <f t="shared" si="195"/>
        <v>0</v>
      </c>
      <c r="X822" s="38"/>
      <c r="Y822" s="64">
        <f t="shared" si="196"/>
        <v>0</v>
      </c>
      <c r="Z822" s="40"/>
    </row>
    <row r="823" spans="1:27" s="25" customFormat="1" ht="18" customHeight="1" x14ac:dyDescent="0.2">
      <c r="A823" s="279"/>
      <c r="B823" s="277"/>
      <c r="C823" s="277"/>
      <c r="D823" s="277"/>
      <c r="E823" s="277"/>
      <c r="F823" s="277"/>
      <c r="G823" s="277"/>
      <c r="H823" s="277"/>
      <c r="I823" s="277"/>
      <c r="J823" s="311"/>
      <c r="K823" s="311"/>
      <c r="L823" s="291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4">
        <f>IF($J$1="September","",Y822)</f>
        <v>0</v>
      </c>
      <c r="V823" s="38"/>
      <c r="W823" s="64">
        <f t="shared" si="195"/>
        <v>0</v>
      </c>
      <c r="X823" s="38"/>
      <c r="Y823" s="64">
        <f t="shared" si="196"/>
        <v>0</v>
      </c>
      <c r="Z823" s="40"/>
    </row>
    <row r="824" spans="1:27" s="25" customFormat="1" ht="18" customHeight="1" x14ac:dyDescent="0.2">
      <c r="A824" s="279"/>
      <c r="B824" s="399" t="s">
        <v>82</v>
      </c>
      <c r="C824" s="399"/>
      <c r="D824" s="399"/>
      <c r="E824" s="399"/>
      <c r="F824" s="399"/>
      <c r="G824" s="399"/>
      <c r="H824" s="399"/>
      <c r="I824" s="399"/>
      <c r="J824" s="399"/>
      <c r="K824" s="399"/>
      <c r="L824" s="291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4">
        <f>IF($J$1="October","",Y823)</f>
        <v>0</v>
      </c>
      <c r="V824" s="38"/>
      <c r="W824" s="64">
        <f t="shared" si="195"/>
        <v>0</v>
      </c>
      <c r="X824" s="38"/>
      <c r="Y824" s="64">
        <f t="shared" si="196"/>
        <v>0</v>
      </c>
      <c r="Z824" s="40"/>
    </row>
    <row r="825" spans="1:27" s="25" customFormat="1" ht="18" customHeight="1" x14ac:dyDescent="0.2">
      <c r="A825" s="279"/>
      <c r="B825" s="399"/>
      <c r="C825" s="399"/>
      <c r="D825" s="399"/>
      <c r="E825" s="399"/>
      <c r="F825" s="399"/>
      <c r="G825" s="399"/>
      <c r="H825" s="399"/>
      <c r="I825" s="399"/>
      <c r="J825" s="399"/>
      <c r="K825" s="399"/>
      <c r="L825" s="291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4">
        <f>IF($J$1="November","",Y824)</f>
        <v>0</v>
      </c>
      <c r="V825" s="38"/>
      <c r="W825" s="64">
        <f t="shared" si="195"/>
        <v>0</v>
      </c>
      <c r="X825" s="38"/>
      <c r="Y825" s="64">
        <f t="shared" si="196"/>
        <v>0</v>
      </c>
      <c r="Z825" s="40"/>
    </row>
    <row r="826" spans="1:27" s="25" customFormat="1" ht="18" customHeight="1" thickBot="1" x14ac:dyDescent="0.25">
      <c r="A826" s="305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07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1" t="s">
        <v>38</v>
      </c>
      <c r="B828" s="422"/>
      <c r="C828" s="422"/>
      <c r="D828" s="422"/>
      <c r="E828" s="422"/>
      <c r="F828" s="422"/>
      <c r="G828" s="422"/>
      <c r="H828" s="422"/>
      <c r="I828" s="422"/>
      <c r="J828" s="422"/>
      <c r="K828" s="422"/>
      <c r="L828" s="423"/>
      <c r="M828" s="24"/>
      <c r="N828" s="28"/>
      <c r="O828" s="386" t="s">
        <v>40</v>
      </c>
      <c r="P828" s="387"/>
      <c r="Q828" s="387"/>
      <c r="R828" s="388"/>
      <c r="S828" s="29"/>
      <c r="T828" s="386" t="s">
        <v>41</v>
      </c>
      <c r="U828" s="387"/>
      <c r="V828" s="387"/>
      <c r="W828" s="387"/>
      <c r="X828" s="387"/>
      <c r="Y828" s="388"/>
      <c r="Z828" s="30"/>
      <c r="AA828" s="24"/>
    </row>
    <row r="829" spans="1:27" s="25" customFormat="1" ht="18" customHeight="1" x14ac:dyDescent="0.2">
      <c r="A829" s="279"/>
      <c r="B829" s="277"/>
      <c r="C829" s="392" t="s">
        <v>212</v>
      </c>
      <c r="D829" s="392"/>
      <c r="E829" s="392"/>
      <c r="F829" s="392"/>
      <c r="G829" s="280" t="str">
        <f>$J$1</f>
        <v>December</v>
      </c>
      <c r="H829" s="395">
        <f>$K$1</f>
        <v>2023</v>
      </c>
      <c r="I829" s="395"/>
      <c r="J829" s="277"/>
      <c r="K829" s="281"/>
      <c r="L829" s="282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9"/>
      <c r="B830" s="277"/>
      <c r="C830" s="277"/>
      <c r="D830" s="283"/>
      <c r="E830" s="283"/>
      <c r="F830" s="283"/>
      <c r="G830" s="283"/>
      <c r="H830" s="283"/>
      <c r="I830" s="277"/>
      <c r="J830" s="284" t="s">
        <v>1</v>
      </c>
      <c r="K830" s="285"/>
      <c r="L830" s="286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9"/>
      <c r="B831" s="277" t="s">
        <v>0</v>
      </c>
      <c r="C831" s="276" t="s">
        <v>207</v>
      </c>
      <c r="D831" s="277"/>
      <c r="E831" s="277"/>
      <c r="F831" s="277"/>
      <c r="G831" s="277"/>
      <c r="H831" s="287"/>
      <c r="I831" s="283"/>
      <c r="J831" s="277"/>
      <c r="K831" s="277"/>
      <c r="L831" s="288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4">
        <f>Y830</f>
        <v>0</v>
      </c>
      <c r="V831" s="38"/>
      <c r="W831" s="64">
        <f>IF(U831="","",U831+V831)</f>
        <v>0</v>
      </c>
      <c r="X831" s="38"/>
      <c r="Y831" s="64">
        <f>IF(W831="","",W831-X831)</f>
        <v>0</v>
      </c>
      <c r="Z831" s="40"/>
      <c r="AA831" s="24"/>
    </row>
    <row r="832" spans="1:27" s="25" customFormat="1" ht="18" customHeight="1" x14ac:dyDescent="0.2">
      <c r="A832" s="279"/>
      <c r="B832" s="289" t="s">
        <v>39</v>
      </c>
      <c r="C832" s="315"/>
      <c r="D832" s="277"/>
      <c r="E832" s="277"/>
      <c r="F832" s="389" t="s">
        <v>41</v>
      </c>
      <c r="G832" s="389"/>
      <c r="H832" s="277"/>
      <c r="I832" s="389" t="s">
        <v>42</v>
      </c>
      <c r="J832" s="389"/>
      <c r="K832" s="389"/>
      <c r="L832" s="291"/>
      <c r="N832" s="35"/>
      <c r="O832" s="36" t="s">
        <v>44</v>
      </c>
      <c r="P832" s="36"/>
      <c r="Q832" s="36"/>
      <c r="R832" s="36" t="str">
        <f t="shared" ref="R832:R841" si="197">IF(Q832="","",R831-Q832)</f>
        <v/>
      </c>
      <c r="S832" s="27"/>
      <c r="T832" s="36" t="s">
        <v>44</v>
      </c>
      <c r="U832" s="64">
        <f>IF($J$1="April",Y831,Y831)</f>
        <v>0</v>
      </c>
      <c r="V832" s="38"/>
      <c r="W832" s="64">
        <f t="shared" ref="W832:W841" si="198">IF(U832="","",U832+V832)</f>
        <v>0</v>
      </c>
      <c r="X832" s="38"/>
      <c r="Y832" s="64">
        <f t="shared" ref="Y832:Y841" si="199">IF(W832="","",W832-X832)</f>
        <v>0</v>
      </c>
      <c r="Z832" s="40"/>
    </row>
    <row r="833" spans="1:26" s="25" customFormat="1" ht="18" customHeight="1" x14ac:dyDescent="0.2">
      <c r="A833" s="279"/>
      <c r="B833" s="277"/>
      <c r="C833" s="277"/>
      <c r="D833" s="277"/>
      <c r="E833" s="277"/>
      <c r="F833" s="277"/>
      <c r="G833" s="277"/>
      <c r="H833" s="292"/>
      <c r="I833" s="277"/>
      <c r="J833" s="277"/>
      <c r="K833" s="277"/>
      <c r="L833" s="293"/>
      <c r="N833" s="35"/>
      <c r="O833" s="36" t="s">
        <v>45</v>
      </c>
      <c r="P833" s="36"/>
      <c r="Q833" s="36"/>
      <c r="R833" s="36" t="str">
        <f t="shared" si="197"/>
        <v/>
      </c>
      <c r="S833" s="27"/>
      <c r="T833" s="36" t="s">
        <v>45</v>
      </c>
      <c r="U833" s="64">
        <f>IF($J$1="April",Y832,Y832)</f>
        <v>0</v>
      </c>
      <c r="V833" s="38"/>
      <c r="W833" s="64">
        <f t="shared" si="198"/>
        <v>0</v>
      </c>
      <c r="X833" s="38"/>
      <c r="Y833" s="64">
        <f t="shared" si="199"/>
        <v>0</v>
      </c>
      <c r="Z833" s="40"/>
    </row>
    <row r="834" spans="1:26" s="25" customFormat="1" ht="18" customHeight="1" x14ac:dyDescent="0.2">
      <c r="A834" s="279"/>
      <c r="B834" s="393" t="s">
        <v>40</v>
      </c>
      <c r="C834" s="394"/>
      <c r="D834" s="277"/>
      <c r="E834" s="277"/>
      <c r="F834" s="294" t="s">
        <v>62</v>
      </c>
      <c r="G834" s="295" t="str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/>
      </c>
      <c r="H834" s="292"/>
      <c r="I834" s="296"/>
      <c r="J834" s="297" t="s">
        <v>59</v>
      </c>
      <c r="K834" s="298">
        <f>K830/$K$2*I834</f>
        <v>0</v>
      </c>
      <c r="L834" s="299"/>
      <c r="N834" s="35"/>
      <c r="O834" s="36" t="s">
        <v>46</v>
      </c>
      <c r="P834" s="36"/>
      <c r="Q834" s="36"/>
      <c r="R834" s="36" t="str">
        <f t="shared" si="197"/>
        <v/>
      </c>
      <c r="S834" s="27"/>
      <c r="T834" s="36" t="s">
        <v>46</v>
      </c>
      <c r="U834" s="64">
        <f>IF($J$1="May",Y833,Y833)</f>
        <v>0</v>
      </c>
      <c r="V834" s="38"/>
      <c r="W834" s="64">
        <f t="shared" si="198"/>
        <v>0</v>
      </c>
      <c r="X834" s="38"/>
      <c r="Y834" s="64">
        <f t="shared" si="199"/>
        <v>0</v>
      </c>
      <c r="Z834" s="40"/>
    </row>
    <row r="835" spans="1:26" s="25" customFormat="1" ht="18" customHeight="1" x14ac:dyDescent="0.2">
      <c r="A835" s="279"/>
      <c r="B835" s="300"/>
      <c r="C835" s="300"/>
      <c r="D835" s="277"/>
      <c r="E835" s="277"/>
      <c r="F835" s="294" t="s">
        <v>18</v>
      </c>
      <c r="G835" s="295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92"/>
      <c r="I835" s="296"/>
      <c r="J835" s="297" t="s">
        <v>60</v>
      </c>
      <c r="K835" s="301"/>
      <c r="L835" s="302"/>
      <c r="N835" s="35"/>
      <c r="O835" s="36" t="s">
        <v>47</v>
      </c>
      <c r="P835" s="36"/>
      <c r="Q835" s="36"/>
      <c r="R835" s="36" t="str">
        <f t="shared" si="197"/>
        <v/>
      </c>
      <c r="S835" s="27"/>
      <c r="T835" s="36" t="s">
        <v>47</v>
      </c>
      <c r="U835" s="64">
        <f>IF($J$1="May",Y834,Y834)</f>
        <v>0</v>
      </c>
      <c r="V835" s="38"/>
      <c r="W835" s="64">
        <f t="shared" si="198"/>
        <v>0</v>
      </c>
      <c r="X835" s="38"/>
      <c r="Y835" s="64">
        <f t="shared" si="199"/>
        <v>0</v>
      </c>
      <c r="Z835" s="40"/>
    </row>
    <row r="836" spans="1:26" s="25" customFormat="1" ht="18" customHeight="1" x14ac:dyDescent="0.2">
      <c r="A836" s="279"/>
      <c r="B836" s="294" t="s">
        <v>7</v>
      </c>
      <c r="C836" s="30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7"/>
      <c r="E836" s="277"/>
      <c r="F836" s="294" t="s">
        <v>63</v>
      </c>
      <c r="G836" s="295" t="str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/>
      </c>
      <c r="H836" s="292"/>
      <c r="I836" s="390" t="s">
        <v>67</v>
      </c>
      <c r="J836" s="391"/>
      <c r="K836" s="301">
        <f>K834+K835</f>
        <v>0</v>
      </c>
      <c r="L836" s="302"/>
      <c r="N836" s="35"/>
      <c r="O836" s="36" t="s">
        <v>48</v>
      </c>
      <c r="P836" s="36"/>
      <c r="Q836" s="36"/>
      <c r="R836" s="36" t="str">
        <f t="shared" si="197"/>
        <v/>
      </c>
      <c r="S836" s="27"/>
      <c r="T836" s="36" t="s">
        <v>48</v>
      </c>
      <c r="U836" s="64">
        <f>IF($J$1="May",Y835,Y835)</f>
        <v>0</v>
      </c>
      <c r="V836" s="38"/>
      <c r="W836" s="64">
        <f t="shared" si="198"/>
        <v>0</v>
      </c>
      <c r="X836" s="38"/>
      <c r="Y836" s="64">
        <f t="shared" si="199"/>
        <v>0</v>
      </c>
      <c r="Z836" s="40"/>
    </row>
    <row r="837" spans="1:26" s="25" customFormat="1" ht="18" customHeight="1" x14ac:dyDescent="0.2">
      <c r="A837" s="279"/>
      <c r="B837" s="294" t="s">
        <v>6</v>
      </c>
      <c r="C837" s="30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7"/>
      <c r="E837" s="277"/>
      <c r="F837" s="294" t="s">
        <v>19</v>
      </c>
      <c r="G837" s="295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92"/>
      <c r="I837" s="390" t="s">
        <v>68</v>
      </c>
      <c r="J837" s="391"/>
      <c r="K837" s="295">
        <f>G837</f>
        <v>0</v>
      </c>
      <c r="L837" s="303"/>
      <c r="N837" s="35"/>
      <c r="O837" s="36" t="s">
        <v>49</v>
      </c>
      <c r="P837" s="36"/>
      <c r="Q837" s="36"/>
      <c r="R837" s="36" t="str">
        <f t="shared" si="197"/>
        <v/>
      </c>
      <c r="S837" s="27"/>
      <c r="T837" s="36" t="s">
        <v>49</v>
      </c>
      <c r="U837" s="64" t="str">
        <f>IF($J$1="September",Y836,"")</f>
        <v/>
      </c>
      <c r="V837" s="38"/>
      <c r="W837" s="64" t="str">
        <f t="shared" si="198"/>
        <v/>
      </c>
      <c r="X837" s="38"/>
      <c r="Y837" s="64" t="str">
        <f t="shared" si="199"/>
        <v/>
      </c>
      <c r="Z837" s="40"/>
    </row>
    <row r="838" spans="1:26" s="25" customFormat="1" ht="18" customHeight="1" x14ac:dyDescent="0.2">
      <c r="A838" s="279"/>
      <c r="B838" s="312" t="s">
        <v>66</v>
      </c>
      <c r="C838" s="300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7"/>
      <c r="E838" s="277"/>
      <c r="F838" s="294" t="s">
        <v>65</v>
      </c>
      <c r="G838" s="295" t="str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/>
      </c>
      <c r="H838" s="277"/>
      <c r="I838" s="396" t="s">
        <v>61</v>
      </c>
      <c r="J838" s="398"/>
      <c r="K838" s="234">
        <f>K836-K837</f>
        <v>0</v>
      </c>
      <c r="L838" s="304"/>
      <c r="N838" s="35"/>
      <c r="O838" s="36" t="s">
        <v>54</v>
      </c>
      <c r="P838" s="36"/>
      <c r="Q838" s="36"/>
      <c r="R838" s="36" t="str">
        <f t="shared" si="197"/>
        <v/>
      </c>
      <c r="S838" s="27"/>
      <c r="T838" s="36" t="s">
        <v>54</v>
      </c>
      <c r="U838" s="64" t="str">
        <f>IF($J$1="September",Y837,"")</f>
        <v/>
      </c>
      <c r="V838" s="38"/>
      <c r="W838" s="64" t="str">
        <f t="shared" si="198"/>
        <v/>
      </c>
      <c r="X838" s="38"/>
      <c r="Y838" s="64" t="str">
        <f t="shared" si="199"/>
        <v/>
      </c>
      <c r="Z838" s="40"/>
    </row>
    <row r="839" spans="1:26" s="25" customFormat="1" ht="18" customHeight="1" x14ac:dyDescent="0.2">
      <c r="A839" s="279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91"/>
      <c r="N839" s="35"/>
      <c r="O839" s="36" t="s">
        <v>50</v>
      </c>
      <c r="P839" s="36"/>
      <c r="Q839" s="36"/>
      <c r="R839" s="36" t="str">
        <f t="shared" si="197"/>
        <v/>
      </c>
      <c r="S839" s="27"/>
      <c r="T839" s="36" t="s">
        <v>50</v>
      </c>
      <c r="U839" s="64" t="str">
        <f>IF($J$1="October",Y838,"")</f>
        <v/>
      </c>
      <c r="V839" s="38"/>
      <c r="W839" s="64" t="str">
        <f t="shared" si="198"/>
        <v/>
      </c>
      <c r="X839" s="38"/>
      <c r="Y839" s="64" t="str">
        <f t="shared" si="199"/>
        <v/>
      </c>
      <c r="Z839" s="40"/>
    </row>
    <row r="840" spans="1:26" s="25" customFormat="1" ht="18" customHeight="1" x14ac:dyDescent="0.2">
      <c r="A840" s="279"/>
      <c r="B840" s="399" t="s">
        <v>82</v>
      </c>
      <c r="C840" s="399"/>
      <c r="D840" s="399"/>
      <c r="E840" s="399"/>
      <c r="F840" s="399"/>
      <c r="G840" s="399"/>
      <c r="H840" s="399"/>
      <c r="I840" s="399"/>
      <c r="J840" s="399"/>
      <c r="K840" s="399"/>
      <c r="L840" s="291"/>
      <c r="N840" s="35"/>
      <c r="O840" s="36" t="s">
        <v>55</v>
      </c>
      <c r="P840" s="36"/>
      <c r="Q840" s="36"/>
      <c r="R840" s="36" t="str">
        <f t="shared" si="197"/>
        <v/>
      </c>
      <c r="S840" s="27"/>
      <c r="T840" s="36" t="s">
        <v>55</v>
      </c>
      <c r="U840" s="64" t="str">
        <f>IF($J$1="November",Y839,"")</f>
        <v/>
      </c>
      <c r="V840" s="38"/>
      <c r="W840" s="64" t="str">
        <f t="shared" si="198"/>
        <v/>
      </c>
      <c r="X840" s="38"/>
      <c r="Y840" s="64" t="str">
        <f t="shared" si="199"/>
        <v/>
      </c>
      <c r="Z840" s="40"/>
    </row>
    <row r="841" spans="1:26" s="25" customFormat="1" ht="18" customHeight="1" x14ac:dyDescent="0.2">
      <c r="A841" s="279"/>
      <c r="B841" s="399"/>
      <c r="C841" s="399"/>
      <c r="D841" s="399"/>
      <c r="E841" s="399"/>
      <c r="F841" s="399"/>
      <c r="G841" s="399"/>
      <c r="H841" s="399"/>
      <c r="I841" s="399"/>
      <c r="J841" s="399"/>
      <c r="K841" s="399"/>
      <c r="L841" s="291"/>
      <c r="N841" s="35"/>
      <c r="O841" s="36" t="s">
        <v>56</v>
      </c>
      <c r="P841" s="36"/>
      <c r="Q841" s="36"/>
      <c r="R841" s="36" t="str">
        <f t="shared" si="197"/>
        <v/>
      </c>
      <c r="S841" s="27"/>
      <c r="T841" s="36" t="s">
        <v>56</v>
      </c>
      <c r="U841" s="64" t="str">
        <f>IF($J$1="Dec",Y840,"")</f>
        <v/>
      </c>
      <c r="V841" s="38"/>
      <c r="W841" s="64" t="str">
        <f t="shared" si="198"/>
        <v/>
      </c>
      <c r="X841" s="38"/>
      <c r="Y841" s="64" t="str">
        <f t="shared" si="199"/>
        <v/>
      </c>
      <c r="Z841" s="40"/>
    </row>
    <row r="842" spans="1:26" s="25" customFormat="1" ht="18" customHeight="1" thickBot="1" x14ac:dyDescent="0.25">
      <c r="A842" s="305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07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7" customFormat="1" ht="18" customHeight="1" x14ac:dyDescent="0.2">
      <c r="A844" s="308"/>
      <c r="B844" s="308"/>
      <c r="C844" s="308"/>
      <c r="D844" s="308"/>
      <c r="E844" s="308"/>
      <c r="F844" s="308"/>
      <c r="G844" s="308"/>
      <c r="H844" s="308"/>
      <c r="I844" s="308"/>
      <c r="J844" s="308"/>
      <c r="K844" s="308"/>
      <c r="L844" s="30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s="25" customFormat="1" ht="18" customHeight="1" x14ac:dyDescent="0.2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7" customFormat="1" ht="18" customHeight="1" x14ac:dyDescent="0.2">
      <c r="A846" s="308"/>
      <c r="B846" s="308"/>
      <c r="C846" s="308"/>
      <c r="D846" s="308"/>
      <c r="E846" s="308"/>
      <c r="F846" s="308"/>
      <c r="G846" s="308"/>
      <c r="H846" s="308"/>
      <c r="I846" s="308"/>
      <c r="J846" s="308"/>
      <c r="K846" s="308"/>
      <c r="L846" s="30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I47:J47"/>
    <mergeCell ref="I56:K56"/>
    <mergeCell ref="B58:C5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B824:K825"/>
    <mergeCell ref="I541:J541"/>
    <mergeCell ref="O502:R502"/>
    <mergeCell ref="T796:Y796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733:Y733"/>
    <mergeCell ref="T532:Y532"/>
    <mergeCell ref="I820:J820"/>
    <mergeCell ref="H609:I609"/>
    <mergeCell ref="O796:R796"/>
    <mergeCell ref="I772:J772"/>
    <mergeCell ref="A671:L671"/>
    <mergeCell ref="O748:R748"/>
    <mergeCell ref="C548:F548"/>
    <mergeCell ref="O577:R577"/>
    <mergeCell ref="I557:J557"/>
    <mergeCell ref="I587:J587"/>
    <mergeCell ref="I800:K800"/>
    <mergeCell ref="F816:G816"/>
    <mergeCell ref="C578:F578"/>
    <mergeCell ref="B723:C723"/>
    <mergeCell ref="I758:J758"/>
    <mergeCell ref="H640:I640"/>
    <mergeCell ref="I816:K816"/>
    <mergeCell ref="I741:J741"/>
    <mergeCell ref="F690:G690"/>
    <mergeCell ref="I450:J450"/>
    <mergeCell ref="H428:I428"/>
    <mergeCell ref="F371:G371"/>
    <mergeCell ref="I371:K371"/>
    <mergeCell ref="O763:R763"/>
    <mergeCell ref="B635:K636"/>
    <mergeCell ref="I617:J617"/>
    <mergeCell ref="I726:J726"/>
    <mergeCell ref="O639:R639"/>
    <mergeCell ref="C656:F656"/>
    <mergeCell ref="I495:J495"/>
    <mergeCell ref="I496:J496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F146:G146"/>
    <mergeCell ref="I146:K146"/>
    <mergeCell ref="O127:R127"/>
    <mergeCell ref="I120:J120"/>
    <mergeCell ref="I121:J121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T748:Y748"/>
    <mergeCell ref="T547:Y547"/>
    <mergeCell ref="T779:Y779"/>
    <mergeCell ref="O779:R779"/>
    <mergeCell ref="I757:J757"/>
    <mergeCell ref="O717:R717"/>
    <mergeCell ref="T608:Y608"/>
    <mergeCell ref="I725:J725"/>
    <mergeCell ref="I743:J743"/>
    <mergeCell ref="O593:R593"/>
    <mergeCell ref="I632:J632"/>
    <mergeCell ref="B667:K668"/>
    <mergeCell ref="T763:Y763"/>
    <mergeCell ref="O562:R562"/>
    <mergeCell ref="O608:R608"/>
    <mergeCell ref="T655:Y655"/>
    <mergeCell ref="T623:Y623"/>
    <mergeCell ref="C624:F624"/>
    <mergeCell ref="H624:I624"/>
    <mergeCell ref="I612:K612"/>
    <mergeCell ref="A779:L779"/>
    <mergeCell ref="I570:J570"/>
    <mergeCell ref="I566:K566"/>
    <mergeCell ref="O686:R686"/>
    <mergeCell ref="O828:R828"/>
    <mergeCell ref="I804:J804"/>
    <mergeCell ref="F767:G767"/>
    <mergeCell ref="H780:I780"/>
    <mergeCell ref="H702:I702"/>
    <mergeCell ref="F705:G705"/>
    <mergeCell ref="I627:K627"/>
    <mergeCell ref="B523:C523"/>
    <mergeCell ref="I525:J525"/>
    <mergeCell ref="B589:K590"/>
    <mergeCell ref="C640:F640"/>
    <mergeCell ref="F737:G737"/>
    <mergeCell ref="A639:L639"/>
    <mergeCell ref="B583:C583"/>
    <mergeCell ref="I705:K705"/>
    <mergeCell ref="A577:L577"/>
    <mergeCell ref="C718:F718"/>
    <mergeCell ref="I585:J585"/>
    <mergeCell ref="A748:L748"/>
    <mergeCell ref="H749:I749"/>
    <mergeCell ref="C749:F749"/>
    <mergeCell ref="A608:L608"/>
    <mergeCell ref="I586:J586"/>
    <mergeCell ref="B775:K776"/>
    <mergeCell ref="I837:J837"/>
    <mergeCell ref="I806:J806"/>
    <mergeCell ref="I836:J836"/>
    <mergeCell ref="I422:J422"/>
    <mergeCell ref="H443:I443"/>
    <mergeCell ref="O547:R547"/>
    <mergeCell ref="O623:R623"/>
    <mergeCell ref="O532:R532"/>
    <mergeCell ref="O812:R812"/>
    <mergeCell ref="O655:R655"/>
    <mergeCell ref="O427:R427"/>
    <mergeCell ref="O733:R733"/>
    <mergeCell ref="A623:L623"/>
    <mergeCell ref="I602:J602"/>
    <mergeCell ref="H764:I764"/>
    <mergeCell ref="B785:C785"/>
    <mergeCell ref="B760:K761"/>
    <mergeCell ref="I787:J787"/>
    <mergeCell ref="I789:J789"/>
    <mergeCell ref="C533:F533"/>
    <mergeCell ref="H533:I533"/>
    <mergeCell ref="A701:L701"/>
    <mergeCell ref="B707:C707"/>
    <mergeCell ref="A828:L828"/>
    <mergeCell ref="I838:J838"/>
    <mergeCell ref="I832:K832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694:J694"/>
    <mergeCell ref="H218:I218"/>
    <mergeCell ref="F221:G221"/>
    <mergeCell ref="I221:K221"/>
    <mergeCell ref="I92:J92"/>
    <mergeCell ref="F176:G176"/>
    <mergeCell ref="I225:J225"/>
    <mergeCell ref="A686:L686"/>
    <mergeCell ref="F800:G800"/>
    <mergeCell ref="F783:G783"/>
    <mergeCell ref="B754:C754"/>
    <mergeCell ref="I742:J742"/>
    <mergeCell ref="A232:L232"/>
    <mergeCell ref="I242:J242"/>
    <mergeCell ref="A247:L247"/>
    <mergeCell ref="C687:F687"/>
    <mergeCell ref="H687:I687"/>
    <mergeCell ref="A562:L562"/>
    <mergeCell ref="I572:J572"/>
    <mergeCell ref="F581:G581"/>
    <mergeCell ref="I581:K581"/>
    <mergeCell ref="B178:C178"/>
    <mergeCell ref="A112:L112"/>
    <mergeCell ref="C128:F128"/>
    <mergeCell ref="H813:I813"/>
    <mergeCell ref="I783:K783"/>
    <mergeCell ref="C764:F764"/>
    <mergeCell ref="A812:L812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695:J695"/>
    <mergeCell ref="I696:J696"/>
    <mergeCell ref="I480:J480"/>
    <mergeCell ref="I451:J451"/>
    <mergeCell ref="F521:G521"/>
    <mergeCell ref="I281:K281"/>
    <mergeCell ref="B283:C283"/>
    <mergeCell ref="F506:G506"/>
    <mergeCell ref="I506:K506"/>
    <mergeCell ref="I482:J482"/>
    <mergeCell ref="I690:K690"/>
    <mergeCell ref="B692:C69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802:C802"/>
    <mergeCell ref="B769:C769"/>
    <mergeCell ref="I771:J771"/>
    <mergeCell ref="F721:G721"/>
    <mergeCell ref="I752:K752"/>
    <mergeCell ref="F752:G752"/>
    <mergeCell ref="I788:J788"/>
    <mergeCell ref="B729:K730"/>
    <mergeCell ref="A763:L763"/>
    <mergeCell ref="I767:K767"/>
    <mergeCell ref="A733:L733"/>
    <mergeCell ref="O382:R382"/>
    <mergeCell ref="C338:F338"/>
    <mergeCell ref="F281:G281"/>
    <mergeCell ref="B834:C834"/>
    <mergeCell ref="B478:C478"/>
    <mergeCell ref="C797:F797"/>
    <mergeCell ref="H797:I797"/>
    <mergeCell ref="I709:J709"/>
    <mergeCell ref="C780:F780"/>
    <mergeCell ref="A547:L547"/>
    <mergeCell ref="I773:J773"/>
    <mergeCell ref="I737:K737"/>
    <mergeCell ref="C734:F734"/>
    <mergeCell ref="H734:I734"/>
    <mergeCell ref="A717:L717"/>
    <mergeCell ref="I633:J633"/>
    <mergeCell ref="I631:J631"/>
    <mergeCell ref="F612:G612"/>
    <mergeCell ref="B661:C661"/>
    <mergeCell ref="H594:I594"/>
    <mergeCell ref="I822:J822"/>
    <mergeCell ref="C813:F813"/>
    <mergeCell ref="B739:C739"/>
    <mergeCell ref="H829:I829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52:R352"/>
    <mergeCell ref="A352:L35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I512:J512"/>
    <mergeCell ref="C518:F518"/>
    <mergeCell ref="I497:J497"/>
    <mergeCell ref="A472:L472"/>
    <mergeCell ref="B418:C418"/>
    <mergeCell ref="I271:J271"/>
    <mergeCell ref="O442:R442"/>
    <mergeCell ref="I467:J467"/>
    <mergeCell ref="T382:Y382"/>
    <mergeCell ref="I376:J376"/>
    <mergeCell ref="O292:R292"/>
    <mergeCell ref="O337:R337"/>
    <mergeCell ref="H308:I308"/>
    <mergeCell ref="C323:F323"/>
    <mergeCell ref="H323:I323"/>
    <mergeCell ref="T686:Y686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H113:I113"/>
    <mergeCell ref="C173:F173"/>
    <mergeCell ref="H173:I173"/>
    <mergeCell ref="I182:J182"/>
    <mergeCell ref="I191:K191"/>
    <mergeCell ref="C203:F203"/>
    <mergeCell ref="H458:I458"/>
    <mergeCell ref="I272:J272"/>
    <mergeCell ref="I466:J466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I255:J255"/>
    <mergeCell ref="I256:J256"/>
    <mergeCell ref="I257:J257"/>
    <mergeCell ref="C278:F278"/>
    <mergeCell ref="F266:G266"/>
    <mergeCell ref="I416:K416"/>
    <mergeCell ref="I390:J390"/>
    <mergeCell ref="I391:J391"/>
    <mergeCell ref="I392:J392"/>
    <mergeCell ref="I452:J452"/>
    <mergeCell ref="B433:C433"/>
    <mergeCell ref="F461:G461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F627:G627"/>
    <mergeCell ref="I603:J603"/>
    <mergeCell ref="I601:J601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F832:G832"/>
    <mergeCell ref="B808:K809"/>
    <mergeCell ref="I648:J648"/>
    <mergeCell ref="B713:K714"/>
    <mergeCell ref="C702:F702"/>
    <mergeCell ref="I664:J664"/>
    <mergeCell ref="I647:J647"/>
    <mergeCell ref="C829:F829"/>
    <mergeCell ref="I821:J821"/>
    <mergeCell ref="C675:E675"/>
    <mergeCell ref="I679:J679"/>
    <mergeCell ref="I680:J680"/>
    <mergeCell ref="F675:G675"/>
    <mergeCell ref="I756:J756"/>
    <mergeCell ref="I675:K675"/>
    <mergeCell ref="H672:I672"/>
    <mergeCell ref="I727:J727"/>
    <mergeCell ref="B651:K652"/>
    <mergeCell ref="I681:J681"/>
    <mergeCell ref="B677:C677"/>
    <mergeCell ref="C672:F672"/>
    <mergeCell ref="B818:C818"/>
    <mergeCell ref="I805:J805"/>
    <mergeCell ref="A796:L796"/>
    <mergeCell ref="B840:K841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T577:Y577"/>
    <mergeCell ref="I721:K721"/>
    <mergeCell ref="O701:R701"/>
    <mergeCell ref="T701:Y701"/>
    <mergeCell ref="I511:J511"/>
    <mergeCell ref="T717:Y717"/>
    <mergeCell ref="C503:F503"/>
    <mergeCell ref="B508:C508"/>
    <mergeCell ref="I540:J540"/>
    <mergeCell ref="C594:F594"/>
    <mergeCell ref="B568:C568"/>
    <mergeCell ref="H718:I718"/>
    <mergeCell ref="I597:K597"/>
    <mergeCell ref="F597:G597"/>
    <mergeCell ref="B599:C599"/>
    <mergeCell ref="I710:J710"/>
    <mergeCell ref="I711:J711"/>
    <mergeCell ref="T671:Y671"/>
    <mergeCell ref="O671:R671"/>
    <mergeCell ref="T639:Y639"/>
    <mergeCell ref="F643:G643"/>
    <mergeCell ref="I643:K643"/>
    <mergeCell ref="H578:I578"/>
    <mergeCell ref="B629:C629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15" max="11" man="1"/>
    <brk id="746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7" t="s">
        <v>136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135034.27419354839</v>
      </c>
      <c r="Q6" s="116">
        <v>37258.06451612903</v>
      </c>
      <c r="R6" s="116">
        <f t="shared" si="0"/>
        <v>-97776.209677419363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287354.83870967745</v>
      </c>
      <c r="Q8" s="116">
        <v>201483.87096774194</v>
      </c>
      <c r="R8" s="116">
        <f t="shared" si="0"/>
        <v>-85870.967741935514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Sheets'!Q78</f>
        <v>405584.67741935485</v>
      </c>
      <c r="Q12" s="116">
        <v>254832.25806451612</v>
      </c>
      <c r="R12" s="116">
        <f t="shared" si="0"/>
        <v>-150752.41935483873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D48" sqref="D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7" t="s">
        <v>174</v>
      </c>
      <c r="B1" s="427"/>
      <c r="C1" s="427"/>
      <c r="D1" s="427"/>
      <c r="E1" s="427"/>
    </row>
    <row r="2" spans="1:5" ht="18" x14ac:dyDescent="0.2">
      <c r="A2" s="255" t="s">
        <v>184</v>
      </c>
      <c r="B2" s="254"/>
      <c r="C2" s="256" t="s">
        <v>182</v>
      </c>
      <c r="D2" s="256" t="s">
        <v>183</v>
      </c>
      <c r="E2" s="256" t="s">
        <v>2</v>
      </c>
    </row>
    <row r="3" spans="1:5" ht="15.75" customHeight="1" x14ac:dyDescent="0.25">
      <c r="A3" s="113" t="s">
        <v>125</v>
      </c>
      <c r="B3" s="430" t="s">
        <v>193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31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192</v>
      </c>
      <c r="B5" s="431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168</v>
      </c>
      <c r="B6" s="432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175</v>
      </c>
      <c r="B7" s="442" t="s">
        <v>181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176</v>
      </c>
      <c r="B8" s="443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43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177</v>
      </c>
      <c r="B10" s="443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178</v>
      </c>
      <c r="B11" s="443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179</v>
      </c>
      <c r="B12" s="443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180</v>
      </c>
      <c r="B13" s="443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43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186</v>
      </c>
      <c r="B15" s="429" t="s">
        <v>185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187</v>
      </c>
      <c r="B16" s="429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188</v>
      </c>
      <c r="B17" s="429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189</v>
      </c>
      <c r="B18" s="429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33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190</v>
      </c>
      <c r="B20" s="433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33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196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41" t="s">
        <v>203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41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192</v>
      </c>
      <c r="B25" s="441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168</v>
      </c>
      <c r="B26" s="441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176</v>
      </c>
      <c r="B27" s="438" t="s">
        <v>214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9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9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40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218</v>
      </c>
      <c r="B31" s="435" t="s">
        <v>216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36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217</v>
      </c>
      <c r="B33" s="436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219</v>
      </c>
      <c r="B34" s="436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220</v>
      </c>
      <c r="B35" s="436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36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197</v>
      </c>
      <c r="B37" s="436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187</v>
      </c>
      <c r="B38" s="436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188</v>
      </c>
      <c r="B39" s="436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189</v>
      </c>
      <c r="B40" s="437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176</v>
      </c>
      <c r="B41" s="428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173</v>
      </c>
      <c r="B42" s="434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225</v>
      </c>
      <c r="B43" s="428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226</v>
      </c>
      <c r="B44" s="428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28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227</v>
      </c>
      <c r="B46" s="428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190</v>
      </c>
      <c r="B47" s="428"/>
      <c r="C47" s="270">
        <v>22000</v>
      </c>
      <c r="D47" s="270">
        <v>5000</v>
      </c>
      <c r="E47" s="270">
        <f t="shared" si="3"/>
        <v>27000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2024-01-06T10:23:48Z</cp:lastPrinted>
  <dcterms:created xsi:type="dcterms:W3CDTF">2007-01-04T05:01:09Z</dcterms:created>
  <dcterms:modified xsi:type="dcterms:W3CDTF">2024-01-09T12:58:12Z</dcterms:modified>
</cp:coreProperties>
</file>