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2F45BDAF-0065-43A0-89E4-876FA0B5B05E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Sheets'!$A$3:$X$107</definedName>
    <definedName name="_xlnm.Print_Area" localSheetId="1">'Salary Record'!$A$112:$L$125</definedName>
    <definedName name="_xlnm.Print_Area" localSheetId="0">'Salary Sheets'!$A$1:$Q$80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74" i="8" l="1"/>
  <c r="K459" i="8"/>
  <c r="K444" i="8"/>
  <c r="K429" i="8"/>
  <c r="E40" i="13"/>
  <c r="E39" i="13"/>
  <c r="E38" i="13"/>
  <c r="E37" i="13"/>
  <c r="K219" i="8" l="1"/>
  <c r="K309" i="8"/>
  <c r="K279" i="8"/>
  <c r="K294" i="8"/>
  <c r="K99" i="8"/>
  <c r="K54" i="8"/>
  <c r="E36" i="13"/>
  <c r="E35" i="13"/>
  <c r="E34" i="13"/>
  <c r="E32" i="13"/>
  <c r="E33" i="13"/>
  <c r="E31" i="13"/>
  <c r="R65" i="8" l="1"/>
  <c r="C62" i="8" s="1"/>
  <c r="R379" i="8" l="1"/>
  <c r="E30" i="13"/>
  <c r="U743" i="8" l="1"/>
  <c r="K189" i="8" l="1"/>
  <c r="E29" i="13"/>
  <c r="K84" i="8" l="1"/>
  <c r="E28" i="13" l="1"/>
  <c r="E27" i="13"/>
  <c r="K399" i="8"/>
  <c r="H70" i="1" l="1"/>
  <c r="B70" i="1"/>
  <c r="K662" i="8"/>
  <c r="W641" i="8" l="1"/>
  <c r="Y641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K534" i="8" l="1"/>
  <c r="K519" i="8"/>
  <c r="K504" i="8"/>
  <c r="K489" i="8"/>
  <c r="E26" i="13"/>
  <c r="E25" i="13"/>
  <c r="E24" i="13"/>
  <c r="E23" i="13"/>
  <c r="B63" i="1" l="1"/>
  <c r="R105" i="8"/>
  <c r="G16" i="8"/>
  <c r="K16" i="8" s="1"/>
  <c r="C16" i="8"/>
  <c r="C15" i="8"/>
  <c r="K14" i="8"/>
  <c r="G14" i="8"/>
  <c r="I13" i="8"/>
  <c r="K13" i="8" s="1"/>
  <c r="C618" i="8"/>
  <c r="C542" i="8"/>
  <c r="C527" i="8"/>
  <c r="C512" i="8"/>
  <c r="C497" i="8"/>
  <c r="C482" i="8"/>
  <c r="C452" i="8"/>
  <c r="C377" i="8"/>
  <c r="C287" i="8"/>
  <c r="U257" i="8"/>
  <c r="W257" i="8" s="1"/>
  <c r="Y257" i="8" s="1"/>
  <c r="U258" i="8" s="1"/>
  <c r="W258" i="8" s="1"/>
  <c r="Y258" i="8" s="1"/>
  <c r="U697" i="8"/>
  <c r="W697" i="8" s="1"/>
  <c r="Y697" i="8" s="1"/>
  <c r="U698" i="8" s="1"/>
  <c r="W698" i="8" s="1"/>
  <c r="Y698" i="8" s="1"/>
  <c r="W696" i="8"/>
  <c r="Y696" i="8" s="1"/>
  <c r="R698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K31" i="8" l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10" i="8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W625" i="8" l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33" i="8"/>
  <c r="W633" i="8" s="1"/>
  <c r="Y633" i="8" s="1"/>
  <c r="U634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60" i="1"/>
  <c r="E112" i="1"/>
  <c r="E113" i="1" s="1"/>
  <c r="K735" i="8"/>
  <c r="W14" i="8" l="1"/>
  <c r="K204" i="8"/>
  <c r="K564" i="8"/>
  <c r="Y14" i="8" l="1"/>
  <c r="R690" i="8"/>
  <c r="R692" i="8"/>
  <c r="R693" i="8" s="1"/>
  <c r="R694" i="8" s="1"/>
  <c r="R462" i="8"/>
  <c r="R463" i="8" s="1"/>
  <c r="R464" i="8" s="1"/>
  <c r="R465" i="8" s="1"/>
  <c r="R466" i="8" s="1"/>
  <c r="R469" i="8"/>
  <c r="R460" i="8"/>
  <c r="R220" i="8"/>
  <c r="R221" i="8" s="1"/>
  <c r="R222" i="8" s="1"/>
  <c r="R223" i="8" s="1"/>
  <c r="R224" i="8" s="1"/>
  <c r="R225" i="8" s="1"/>
  <c r="R268" i="8"/>
  <c r="C272" i="8"/>
  <c r="R267" i="8"/>
  <c r="C696" i="8" l="1"/>
  <c r="R226" i="8"/>
  <c r="C227" i="8" s="1"/>
  <c r="C467" i="8"/>
  <c r="U15" i="8"/>
  <c r="W279" i="8"/>
  <c r="R647" i="8"/>
  <c r="R649" i="8" s="1"/>
  <c r="R652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57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399" i="8"/>
  <c r="R400" i="8" s="1"/>
  <c r="R401" i="8" s="1"/>
  <c r="R402" i="8" s="1"/>
  <c r="R403" i="8" s="1"/>
  <c r="R404" i="8" s="1"/>
  <c r="R405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05" i="8"/>
  <c r="R265" i="8"/>
  <c r="R266" i="8" s="1"/>
  <c r="R189" i="8"/>
  <c r="R190" i="8" s="1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65" i="8"/>
  <c r="R566" i="8" s="1"/>
  <c r="R567" i="8" s="1"/>
  <c r="R568" i="8" s="1"/>
  <c r="R569" i="8" s="1"/>
  <c r="R570" i="8" s="1"/>
  <c r="R571" i="8" s="1"/>
  <c r="R572" i="8" s="1"/>
  <c r="R573" i="8" s="1"/>
  <c r="R574" i="8" s="1"/>
  <c r="R575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53" i="8"/>
  <c r="R554" i="8" s="1"/>
  <c r="R555" i="8" s="1"/>
  <c r="R550" i="8"/>
  <c r="R551" i="8" s="1"/>
  <c r="R54" i="8"/>
  <c r="Y17" i="8" l="1"/>
  <c r="R331" i="8"/>
  <c r="R391" i="8"/>
  <c r="C197" i="8"/>
  <c r="R196" i="8"/>
  <c r="R361" i="8"/>
  <c r="C557" i="8"/>
  <c r="R151" i="8"/>
  <c r="R91" i="8"/>
  <c r="C182" i="8"/>
  <c r="C572" i="8"/>
  <c r="C137" i="8"/>
  <c r="R121" i="8"/>
  <c r="R122" i="8" s="1"/>
  <c r="R123" i="8" s="1"/>
  <c r="R124" i="8" s="1"/>
  <c r="R125" i="8" s="1"/>
  <c r="C122" i="8" s="1"/>
  <c r="R166" i="8"/>
  <c r="R406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07" i="8"/>
  <c r="R408" i="8" s="1"/>
  <c r="R409" i="8" s="1"/>
  <c r="R410" i="8" s="1"/>
  <c r="C407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54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596" i="8"/>
  <c r="R597" i="8" s="1"/>
  <c r="R598" i="8" s="1"/>
  <c r="R599" i="8" s="1"/>
  <c r="R600" i="8" s="1"/>
  <c r="R633" i="8"/>
  <c r="R634" i="8" s="1"/>
  <c r="R55" i="8"/>
  <c r="R56" i="8" s="1"/>
  <c r="R57" i="8" s="1"/>
  <c r="R58" i="8" s="1"/>
  <c r="R59" i="8" s="1"/>
  <c r="R60" i="8" s="1"/>
  <c r="R61" i="8" s="1"/>
  <c r="R62" i="8" s="1"/>
  <c r="R63" i="8" s="1"/>
  <c r="C603" i="8" l="1"/>
  <c r="K374" i="8" l="1"/>
  <c r="J50" i="1" s="1"/>
  <c r="W555" i="8" l="1"/>
  <c r="K74" i="8" l="1"/>
  <c r="B31" i="1" l="1"/>
  <c r="C107" i="1" l="1"/>
  <c r="R536" i="8" l="1"/>
  <c r="W474" i="8" l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519" i="8"/>
  <c r="Y519" i="8" s="1"/>
  <c r="W444" i="8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9" i="8" s="1"/>
  <c r="W449" i="8" s="1"/>
  <c r="Y449" i="8" s="1"/>
  <c r="U450" i="8" s="1"/>
  <c r="W450" i="8" s="1"/>
  <c r="Y450" i="8" s="1"/>
  <c r="W264" i="8"/>
  <c r="Y264" i="8" s="1"/>
  <c r="U265" i="8" s="1"/>
  <c r="W414" i="8"/>
  <c r="Y414" i="8" s="1"/>
  <c r="W69" i="8"/>
  <c r="Y69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67" i="8"/>
  <c r="W667" i="8" s="1"/>
  <c r="Y667" i="8" s="1"/>
  <c r="U668" i="8" s="1"/>
  <c r="W668" i="8" s="1"/>
  <c r="Y668" i="8" s="1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U694" i="8" s="1"/>
  <c r="W694" i="8" s="1"/>
  <c r="Y694" i="8" s="1"/>
  <c r="U695" i="8" s="1"/>
  <c r="W174" i="8"/>
  <c r="Y174" i="8" s="1"/>
  <c r="W175" i="8" s="1"/>
  <c r="Y175" i="8" s="1"/>
  <c r="W176" i="8" s="1"/>
  <c r="Y176" i="8" s="1"/>
  <c r="W564" i="8"/>
  <c r="Y564" i="8" s="1"/>
  <c r="W309" i="8"/>
  <c r="Y309" i="8" s="1"/>
  <c r="W399" i="8"/>
  <c r="Y399" i="8" s="1"/>
  <c r="W400" i="8" s="1"/>
  <c r="Y400" i="8" s="1"/>
  <c r="U401" i="8" s="1"/>
  <c r="W401" i="8" s="1"/>
  <c r="Y401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95" i="8"/>
  <c r="Y595" i="8" s="1"/>
  <c r="W534" i="8"/>
  <c r="Y534" i="8" s="1"/>
  <c r="W535" i="8" s="1"/>
  <c r="Y535" i="8" s="1"/>
  <c r="U536" i="8" s="1"/>
  <c r="W536" i="8" s="1"/>
  <c r="Y536" i="8" s="1"/>
  <c r="U537" i="8" s="1"/>
  <c r="W537" i="8" s="1"/>
  <c r="Y537" i="8" s="1"/>
  <c r="W579" i="8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35" i="8"/>
  <c r="Y735" i="8" s="1"/>
  <c r="W736" i="8" s="1"/>
  <c r="Y736" i="8" s="1"/>
  <c r="W737" i="8" s="1"/>
  <c r="Y737" i="8" s="1"/>
  <c r="W738" i="8" s="1"/>
  <c r="Y738" i="8" s="1"/>
  <c r="W384" i="8"/>
  <c r="Y384" i="8" s="1"/>
  <c r="W459" i="8"/>
  <c r="Y459" i="8" s="1"/>
  <c r="W324" i="8"/>
  <c r="Y324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51" i="8"/>
  <c r="W451" i="8" s="1"/>
  <c r="Y451" i="8" s="1"/>
  <c r="U511" i="8"/>
  <c r="W511" i="8" s="1"/>
  <c r="Y511" i="8" s="1"/>
  <c r="W695" i="8"/>
  <c r="Y695" i="8" s="1"/>
  <c r="U481" i="8"/>
  <c r="W481" i="8" s="1"/>
  <c r="Y481" i="8" s="1"/>
  <c r="U538" i="8"/>
  <c r="W538" i="8" s="1"/>
  <c r="Y538" i="8" s="1"/>
  <c r="W739" i="8"/>
  <c r="Y739" i="8" s="1"/>
  <c r="W415" i="8"/>
  <c r="Y415" i="8" s="1"/>
  <c r="U402" i="8"/>
  <c r="W402" i="8" s="1"/>
  <c r="Y402" i="8" s="1"/>
  <c r="U403" i="8" s="1"/>
  <c r="W310" i="8"/>
  <c r="Y310" i="8" s="1"/>
  <c r="U520" i="8"/>
  <c r="W520" i="8" s="1"/>
  <c r="Y520" i="8" s="1"/>
  <c r="W699" i="8"/>
  <c r="Y699" i="8" s="1"/>
  <c r="W484" i="8"/>
  <c r="Y484" i="8" s="1"/>
  <c r="W485" i="8" s="1"/>
  <c r="Y485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60" i="8"/>
  <c r="Y460" i="8" s="1"/>
  <c r="W385" i="8"/>
  <c r="Y385" i="8" s="1"/>
  <c r="W596" i="8"/>
  <c r="Y596" i="8" s="1"/>
  <c r="W85" i="8"/>
  <c r="Y85" i="8" s="1"/>
  <c r="U86" i="8" s="1"/>
  <c r="W565" i="8"/>
  <c r="Y565" i="8" s="1"/>
  <c r="D107" i="1"/>
  <c r="G696" i="8" l="1"/>
  <c r="U512" i="8"/>
  <c r="W512" i="8" s="1"/>
  <c r="Y512" i="8" s="1"/>
  <c r="U513" i="8" s="1"/>
  <c r="W513" i="8" s="1"/>
  <c r="Y513" i="8" s="1"/>
  <c r="U452" i="8"/>
  <c r="W452" i="8" s="1"/>
  <c r="Y452" i="8" s="1"/>
  <c r="U453" i="8" s="1"/>
  <c r="U482" i="8"/>
  <c r="W482" i="8" s="1"/>
  <c r="Y482" i="8" s="1"/>
  <c r="W77" i="8"/>
  <c r="Y77" i="8" s="1"/>
  <c r="U78" i="8" s="1"/>
  <c r="U346" i="8"/>
  <c r="W346" i="8" s="1"/>
  <c r="Y346" i="8" s="1"/>
  <c r="U347" i="8" s="1"/>
  <c r="W740" i="8"/>
  <c r="Y740" i="8" s="1"/>
  <c r="U539" i="8"/>
  <c r="W539" i="8" s="1"/>
  <c r="Y539" i="8" s="1"/>
  <c r="U540" i="8" s="1"/>
  <c r="U416" i="8"/>
  <c r="W416" i="8" s="1"/>
  <c r="Y416" i="8" s="1"/>
  <c r="W403" i="8"/>
  <c r="Y403" i="8" s="1"/>
  <c r="W311" i="8"/>
  <c r="Y311" i="8" s="1"/>
  <c r="U521" i="8"/>
  <c r="W521" i="8" s="1"/>
  <c r="Y521" i="8" s="1"/>
  <c r="U522" i="8" s="1"/>
  <c r="W522" i="8" s="1"/>
  <c r="Y522" i="8" s="1"/>
  <c r="U523" i="8" s="1"/>
  <c r="W523" i="8" s="1"/>
  <c r="Y523" i="8" s="1"/>
  <c r="U524" i="8" s="1"/>
  <c r="U597" i="8"/>
  <c r="W597" i="8" s="1"/>
  <c r="Y597" i="8" s="1"/>
  <c r="U598" i="8" s="1"/>
  <c r="W330" i="8"/>
  <c r="Y330" i="8" s="1"/>
  <c r="W178" i="8"/>
  <c r="Y178" i="8" s="1"/>
  <c r="W461" i="8"/>
  <c r="Y461" i="8" s="1"/>
  <c r="W266" i="8"/>
  <c r="Y266" i="8" s="1"/>
  <c r="U267" i="8" s="1"/>
  <c r="W86" i="8"/>
  <c r="Y86" i="8" s="1"/>
  <c r="U87" i="8" s="1"/>
  <c r="W386" i="8"/>
  <c r="Y386" i="8" s="1"/>
  <c r="U616" i="8"/>
  <c r="W616" i="8" s="1"/>
  <c r="Y616" i="8" s="1"/>
  <c r="U617" i="8" s="1"/>
  <c r="W617" i="8" s="1"/>
  <c r="Y617" i="8" s="1"/>
  <c r="U618" i="8" s="1"/>
  <c r="W618" i="8" s="1"/>
  <c r="Y618" i="8" s="1"/>
  <c r="W566" i="8"/>
  <c r="Y566" i="8" s="1"/>
  <c r="U619" i="8" l="1"/>
  <c r="W619" i="8" s="1"/>
  <c r="Y619" i="8" s="1"/>
  <c r="U620" i="8" s="1"/>
  <c r="U514" i="8"/>
  <c r="W514" i="8" s="1"/>
  <c r="Y514" i="8" s="1"/>
  <c r="U515" i="8" s="1"/>
  <c r="W515" i="8" s="1"/>
  <c r="Y515" i="8" s="1"/>
  <c r="W453" i="8"/>
  <c r="Y453" i="8" s="1"/>
  <c r="U454" i="8" s="1"/>
  <c r="U483" i="8"/>
  <c r="W483" i="8" s="1"/>
  <c r="Y483" i="8" s="1"/>
  <c r="G482" i="8" s="1"/>
  <c r="W78" i="8"/>
  <c r="Y78" i="8" s="1"/>
  <c r="W347" i="8"/>
  <c r="Y347" i="8" s="1"/>
  <c r="U348" i="8" s="1"/>
  <c r="W331" i="8"/>
  <c r="Y331" i="8" s="1"/>
  <c r="W540" i="8"/>
  <c r="Y540" i="8" s="1"/>
  <c r="U541" i="8" s="1"/>
  <c r="W741" i="8"/>
  <c r="Y741" i="8" s="1"/>
  <c r="U404" i="8"/>
  <c r="W404" i="8" s="1"/>
  <c r="Y404" i="8" s="1"/>
  <c r="W179" i="8"/>
  <c r="Y179" i="8" s="1"/>
  <c r="U417" i="8"/>
  <c r="W417" i="8" s="1"/>
  <c r="Y417" i="8" s="1"/>
  <c r="W598" i="8"/>
  <c r="Y598" i="8" s="1"/>
  <c r="U599" i="8" s="1"/>
  <c r="W312" i="8"/>
  <c r="Y312" i="8" s="1"/>
  <c r="W267" i="8"/>
  <c r="Y267" i="8" s="1"/>
  <c r="W268" i="8" s="1"/>
  <c r="Y268" i="8" s="1"/>
  <c r="U269" i="8" s="1"/>
  <c r="W524" i="8"/>
  <c r="Y524" i="8" s="1"/>
  <c r="U525" i="8" s="1"/>
  <c r="W87" i="8"/>
  <c r="Y87" i="8" s="1"/>
  <c r="U88" i="8" s="1"/>
  <c r="W387" i="8"/>
  <c r="Y387" i="8" s="1"/>
  <c r="W462" i="8"/>
  <c r="Y462" i="8" s="1"/>
  <c r="W567" i="8"/>
  <c r="Y567" i="8" s="1"/>
  <c r="U79" i="8" l="1"/>
  <c r="W79" i="8" s="1"/>
  <c r="Y79" i="8" s="1"/>
  <c r="U80" i="8" s="1"/>
  <c r="W454" i="8"/>
  <c r="Y454" i="8" s="1"/>
  <c r="W455" i="8" s="1"/>
  <c r="Y455" i="8" s="1"/>
  <c r="G512" i="8"/>
  <c r="W348" i="8"/>
  <c r="Y348" i="8" s="1"/>
  <c r="W332" i="8"/>
  <c r="Y332" i="8" s="1"/>
  <c r="W742" i="8"/>
  <c r="Y742" i="8" s="1"/>
  <c r="W541" i="8"/>
  <c r="Y541" i="8" s="1"/>
  <c r="U542" i="8" s="1"/>
  <c r="W180" i="8"/>
  <c r="Y180" i="8" s="1"/>
  <c r="W649" i="8"/>
  <c r="Y649" i="8" s="1"/>
  <c r="U650" i="8" s="1"/>
  <c r="U405" i="8"/>
  <c r="W405" i="8" s="1"/>
  <c r="Y405" i="8" s="1"/>
  <c r="U406" i="8" s="1"/>
  <c r="U418" i="8"/>
  <c r="W418" i="8" s="1"/>
  <c r="Y418" i="8" s="1"/>
  <c r="W313" i="8"/>
  <c r="Y313" i="8" s="1"/>
  <c r="W599" i="8"/>
  <c r="Y599" i="8" s="1"/>
  <c r="U600" i="8" s="1"/>
  <c r="W600" i="8" s="1"/>
  <c r="Y600" i="8" s="1"/>
  <c r="U601" i="8" s="1"/>
  <c r="W601" i="8" s="1"/>
  <c r="Y601" i="8" s="1"/>
  <c r="U602" i="8" s="1"/>
  <c r="W360" i="8"/>
  <c r="Y360" i="8" s="1"/>
  <c r="W525" i="8"/>
  <c r="Y525" i="8" s="1"/>
  <c r="U526" i="8" s="1"/>
  <c r="W388" i="8"/>
  <c r="Y388" i="8" s="1"/>
  <c r="W463" i="8"/>
  <c r="Y463" i="8" s="1"/>
  <c r="W568" i="8"/>
  <c r="Y568" i="8" s="1"/>
  <c r="W88" i="8"/>
  <c r="Y88" i="8" s="1"/>
  <c r="U89" i="8" s="1"/>
  <c r="W269" i="8"/>
  <c r="Y269" i="8" s="1"/>
  <c r="U270" i="8" s="1"/>
  <c r="W80" i="8" l="1"/>
  <c r="Y80" i="8" s="1"/>
  <c r="G77" i="8"/>
  <c r="G452" i="8"/>
  <c r="U349" i="8"/>
  <c r="W349" i="8" s="1"/>
  <c r="Y349" i="8" s="1"/>
  <c r="W350" i="8" s="1"/>
  <c r="Y350" i="8" s="1"/>
  <c r="W333" i="8"/>
  <c r="Y333" i="8" s="1"/>
  <c r="W542" i="8"/>
  <c r="Y542" i="8" s="1"/>
  <c r="U543" i="8" s="1"/>
  <c r="W743" i="8"/>
  <c r="Y743" i="8" s="1"/>
  <c r="U744" i="8" s="1"/>
  <c r="W406" i="8"/>
  <c r="Y406" i="8" s="1"/>
  <c r="U407" i="8" s="1"/>
  <c r="W361" i="8"/>
  <c r="Y361" i="8" s="1"/>
  <c r="W602" i="8"/>
  <c r="Y602" i="8" s="1"/>
  <c r="U603" i="8" s="1"/>
  <c r="W181" i="8"/>
  <c r="Y181" i="8" s="1"/>
  <c r="W314" i="8"/>
  <c r="Y314" i="8" s="1"/>
  <c r="U419" i="8"/>
  <c r="W419" i="8" s="1"/>
  <c r="Y419" i="8" s="1"/>
  <c r="W650" i="8"/>
  <c r="Y650" i="8" s="1"/>
  <c r="U651" i="8" s="1"/>
  <c r="W526" i="8"/>
  <c r="Y526" i="8" s="1"/>
  <c r="U527" i="8" s="1"/>
  <c r="W464" i="8"/>
  <c r="Y464" i="8" s="1"/>
  <c r="W389" i="8"/>
  <c r="Y389" i="8" s="1"/>
  <c r="W89" i="8"/>
  <c r="Y89" i="8" s="1"/>
  <c r="U90" i="8" s="1"/>
  <c r="W569" i="8"/>
  <c r="Y569" i="8" s="1"/>
  <c r="W270" i="8"/>
  <c r="Y270" i="8" s="1"/>
  <c r="U271" i="8" s="1"/>
  <c r="G347" i="8" l="1"/>
  <c r="W334" i="8"/>
  <c r="Y334" i="8" s="1"/>
  <c r="W182" i="8"/>
  <c r="Y182" i="8" s="1"/>
  <c r="W543" i="8"/>
  <c r="Y543" i="8" s="1"/>
  <c r="W744" i="8"/>
  <c r="Y744" i="8" s="1"/>
  <c r="W527" i="8"/>
  <c r="Y527" i="8" s="1"/>
  <c r="U528" i="8" s="1"/>
  <c r="W407" i="8"/>
  <c r="Y407" i="8" s="1"/>
  <c r="U408" i="8" s="1"/>
  <c r="W603" i="8"/>
  <c r="Y603" i="8" s="1"/>
  <c r="U604" i="8" s="1"/>
  <c r="U362" i="8"/>
  <c r="W362" i="8" s="1"/>
  <c r="Y362" i="8" s="1"/>
  <c r="W271" i="8"/>
  <c r="Y271" i="8" s="1"/>
  <c r="U272" i="8" s="1"/>
  <c r="U420" i="8"/>
  <c r="W420" i="8" s="1"/>
  <c r="Y420" i="8" s="1"/>
  <c r="U421" i="8" s="1"/>
  <c r="W315" i="8"/>
  <c r="Y315" i="8" s="1"/>
  <c r="W651" i="8"/>
  <c r="Y651" i="8" s="1"/>
  <c r="U652" i="8" s="1"/>
  <c r="W465" i="8"/>
  <c r="Y465" i="8" s="1"/>
  <c r="W90" i="8"/>
  <c r="Y90" i="8" s="1"/>
  <c r="U91" i="8" s="1"/>
  <c r="W570" i="8"/>
  <c r="Y570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44" i="8"/>
  <c r="W544" i="8" s="1"/>
  <c r="Y544" i="8" s="1"/>
  <c r="U745" i="8"/>
  <c r="W745" i="8" s="1"/>
  <c r="Y745" i="8" s="1"/>
  <c r="U746" i="8" s="1"/>
  <c r="W746" i="8" s="1"/>
  <c r="Y746" i="8" s="1"/>
  <c r="W604" i="8"/>
  <c r="Y604" i="8" s="1"/>
  <c r="W408" i="8"/>
  <c r="Y408" i="8" s="1"/>
  <c r="W528" i="8"/>
  <c r="Y528" i="8" s="1"/>
  <c r="W272" i="8"/>
  <c r="Y272" i="8" s="1"/>
  <c r="U273" i="8" s="1"/>
  <c r="W421" i="8"/>
  <c r="Y421" i="8" s="1"/>
  <c r="U422" i="8" s="1"/>
  <c r="W466" i="8"/>
  <c r="Y466" i="8" s="1"/>
  <c r="W316" i="8"/>
  <c r="Y316" i="8" s="1"/>
  <c r="W652" i="8"/>
  <c r="Y652" i="8" s="1"/>
  <c r="W469" i="8"/>
  <c r="Y469" i="8" s="1"/>
  <c r="W470" i="8" s="1"/>
  <c r="Y470" i="8" s="1"/>
  <c r="W391" i="8"/>
  <c r="Y391" i="8" s="1"/>
  <c r="W91" i="8"/>
  <c r="Y91" i="8" s="1"/>
  <c r="U92" i="8" s="1"/>
  <c r="W92" i="8" s="1"/>
  <c r="W571" i="8"/>
  <c r="Y571" i="8" s="1"/>
  <c r="W620" i="8"/>
  <c r="Y620" i="8" s="1"/>
  <c r="H42" i="1"/>
  <c r="E42" i="1"/>
  <c r="B42" i="1"/>
  <c r="U545" i="8" l="1"/>
  <c r="W545" i="8" s="1"/>
  <c r="Y545" i="8" s="1"/>
  <c r="G542" i="8" s="1"/>
  <c r="W185" i="8"/>
  <c r="Y185" i="8" s="1"/>
  <c r="G182" i="8" s="1"/>
  <c r="G743" i="8"/>
  <c r="U605" i="8"/>
  <c r="W605" i="8" s="1"/>
  <c r="Y605" i="8" s="1"/>
  <c r="U529" i="8"/>
  <c r="W529" i="8" s="1"/>
  <c r="Y529" i="8" s="1"/>
  <c r="U530" i="8" s="1"/>
  <c r="U409" i="8"/>
  <c r="W409" i="8" s="1"/>
  <c r="Y409" i="8" s="1"/>
  <c r="G362" i="8"/>
  <c r="W273" i="8"/>
  <c r="Y273" i="8" s="1"/>
  <c r="Y92" i="8"/>
  <c r="W317" i="8"/>
  <c r="Y317" i="8" s="1"/>
  <c r="W392" i="8"/>
  <c r="Y392" i="8" s="1"/>
  <c r="U467" i="8"/>
  <c r="W467" i="8" s="1"/>
  <c r="Y467" i="8" s="1"/>
  <c r="U468" i="8" s="1"/>
  <c r="W468" i="8" s="1"/>
  <c r="Y468" i="8" s="1"/>
  <c r="G467" i="8" s="1"/>
  <c r="W572" i="8"/>
  <c r="Y572" i="8" s="1"/>
  <c r="W422" i="8"/>
  <c r="Y422" i="8" s="1"/>
  <c r="U423" i="8" s="1"/>
  <c r="W621" i="8"/>
  <c r="Y621" i="8" s="1"/>
  <c r="G618" i="8" s="1"/>
  <c r="U606" i="8" l="1"/>
  <c r="W606" i="8" s="1"/>
  <c r="Y606" i="8" s="1"/>
  <c r="G603" i="8" s="1"/>
  <c r="U410" i="8"/>
  <c r="W410" i="8" s="1"/>
  <c r="Y410" i="8" s="1"/>
  <c r="G407" i="8" s="1"/>
  <c r="U274" i="8"/>
  <c r="W274" i="8" s="1"/>
  <c r="Y274" i="8" s="1"/>
  <c r="U275" i="8" s="1"/>
  <c r="W530" i="8"/>
  <c r="Y530" i="8" s="1"/>
  <c r="G527" i="8" s="1"/>
  <c r="U93" i="8"/>
  <c r="W93" i="8" s="1"/>
  <c r="Y93" i="8" s="1"/>
  <c r="U94" i="8" s="1"/>
  <c r="W318" i="8"/>
  <c r="Y318" i="8" s="1"/>
  <c r="W423" i="8"/>
  <c r="Y423" i="8" s="1"/>
  <c r="W393" i="8"/>
  <c r="Y393" i="8" s="1"/>
  <c r="W573" i="8"/>
  <c r="Y573" i="8" s="1"/>
  <c r="W574" i="8" l="1"/>
  <c r="Y574" i="8" s="1"/>
  <c r="U424" i="8"/>
  <c r="W424" i="8" s="1"/>
  <c r="Y424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25" i="8"/>
  <c r="W425" i="8" s="1"/>
  <c r="Y425" i="8" s="1"/>
  <c r="G422" i="8" s="1"/>
  <c r="W395" i="8"/>
  <c r="Y395" i="8" s="1"/>
  <c r="G392" i="8" s="1"/>
  <c r="W95" i="8"/>
  <c r="Y95" i="8" s="1"/>
  <c r="G92" i="8" s="1"/>
  <c r="W575" i="8"/>
  <c r="Y575" i="8" s="1"/>
  <c r="G572" i="8" s="1"/>
  <c r="K329" i="8" l="1"/>
  <c r="B55" i="1" l="1"/>
  <c r="W299" i="8" l="1"/>
  <c r="R235" i="8" l="1"/>
  <c r="K693" i="8" l="1"/>
  <c r="B49" i="1" l="1"/>
  <c r="R309" i="8" l="1"/>
  <c r="R310" i="8" s="1"/>
  <c r="R311" i="8" l="1"/>
  <c r="R312" i="8" s="1"/>
  <c r="R313" i="8" s="1"/>
  <c r="R314" i="8" s="1"/>
  <c r="R315" i="8" s="1"/>
  <c r="B73" i="1"/>
  <c r="R316" i="8" l="1"/>
  <c r="G481" i="8"/>
  <c r="K481" i="8" s="1"/>
  <c r="C481" i="8"/>
  <c r="C480" i="8"/>
  <c r="F23" i="1" s="1"/>
  <c r="K479" i="8"/>
  <c r="J23" i="1" s="1"/>
  <c r="G479" i="8"/>
  <c r="M23" i="1" s="1"/>
  <c r="H473" i="8"/>
  <c r="G473" i="8"/>
  <c r="G526" i="8"/>
  <c r="C526" i="8"/>
  <c r="C525" i="8"/>
  <c r="F30" i="1" s="1"/>
  <c r="K524" i="8"/>
  <c r="J30" i="1" s="1"/>
  <c r="G524" i="8"/>
  <c r="M30" i="1" s="1"/>
  <c r="H518" i="8"/>
  <c r="G518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I223" i="8" s="1"/>
  <c r="C225" i="8"/>
  <c r="F65" i="1" s="1"/>
  <c r="K224" i="8"/>
  <c r="J65" i="1" s="1"/>
  <c r="G224" i="8"/>
  <c r="M65" i="1" s="1"/>
  <c r="W219" i="8"/>
  <c r="Y219" i="8" s="1"/>
  <c r="W220" i="8" s="1"/>
  <c r="Y220" i="8" s="1"/>
  <c r="U221" i="8" s="1"/>
  <c r="H218" i="8"/>
  <c r="G218" i="8"/>
  <c r="G451" i="8"/>
  <c r="C451" i="8"/>
  <c r="C450" i="8"/>
  <c r="F24" i="1" s="1"/>
  <c r="K449" i="8"/>
  <c r="J24" i="1" s="1"/>
  <c r="G449" i="8"/>
  <c r="M24" i="1" s="1"/>
  <c r="H443" i="8"/>
  <c r="G443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59" i="1" s="1"/>
  <c r="K269" i="8"/>
  <c r="J59" i="1" s="1"/>
  <c r="G269" i="8"/>
  <c r="M59" i="1" s="1"/>
  <c r="H263" i="8"/>
  <c r="G263" i="8"/>
  <c r="G648" i="8"/>
  <c r="C648" i="8"/>
  <c r="G42" i="1" s="1"/>
  <c r="C647" i="8"/>
  <c r="K646" i="8"/>
  <c r="G646" i="8"/>
  <c r="M42" i="1" s="1"/>
  <c r="H640" i="8"/>
  <c r="G640" i="8"/>
  <c r="G421" i="8"/>
  <c r="K421" i="8" s="1"/>
  <c r="C421" i="8"/>
  <c r="C420" i="8"/>
  <c r="K419" i="8"/>
  <c r="J75" i="1" s="1"/>
  <c r="G419" i="8"/>
  <c r="M75" i="1" s="1"/>
  <c r="R415" i="8"/>
  <c r="R416" i="8" s="1"/>
  <c r="R417" i="8" s="1"/>
  <c r="H413" i="8"/>
  <c r="G413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64" i="8"/>
  <c r="C664" i="8"/>
  <c r="G43" i="1" s="1"/>
  <c r="C663" i="8"/>
  <c r="J43" i="1"/>
  <c r="G662" i="8"/>
  <c r="M43" i="1" s="1"/>
  <c r="C665" i="8"/>
  <c r="H656" i="8"/>
  <c r="G656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K788" i="8" s="1"/>
  <c r="C788" i="8"/>
  <c r="C787" i="8"/>
  <c r="K786" i="8"/>
  <c r="G786" i="8"/>
  <c r="R783" i="8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776" i="8"/>
  <c r="W776" i="8" s="1"/>
  <c r="Y776" i="8" s="1"/>
  <c r="R776" i="8"/>
  <c r="R775" i="8"/>
  <c r="R774" i="8"/>
  <c r="U773" i="8"/>
  <c r="W773" i="8" s="1"/>
  <c r="Y773" i="8" s="1"/>
  <c r="U774" i="8" s="1"/>
  <c r="W774" i="8" s="1"/>
  <c r="Y774" i="8" s="1"/>
  <c r="U775" i="8" s="1"/>
  <c r="R773" i="8"/>
  <c r="R772" i="8"/>
  <c r="G772" i="8"/>
  <c r="K772" i="8" s="1"/>
  <c r="C772" i="8"/>
  <c r="R771" i="8"/>
  <c r="C771" i="8"/>
  <c r="R770" i="8"/>
  <c r="K770" i="8"/>
  <c r="G770" i="8"/>
  <c r="R769" i="8"/>
  <c r="K769" i="8"/>
  <c r="R768" i="8"/>
  <c r="W765" i="8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4" i="8"/>
  <c r="G764" i="8"/>
  <c r="G695" i="8"/>
  <c r="K695" i="8" s="1"/>
  <c r="C695" i="8"/>
  <c r="G71" i="1" s="1"/>
  <c r="C694" i="8"/>
  <c r="F71" i="1" s="1"/>
  <c r="G693" i="8"/>
  <c r="M71" i="1" s="1"/>
  <c r="H687" i="8"/>
  <c r="G687" i="8"/>
  <c r="G181" i="8"/>
  <c r="K181" i="8" s="1"/>
  <c r="C181" i="8"/>
  <c r="C180" i="8"/>
  <c r="K179" i="8"/>
  <c r="J40" i="1" s="1"/>
  <c r="G179" i="8"/>
  <c r="M40" i="1" s="1"/>
  <c r="H173" i="8"/>
  <c r="G173" i="8"/>
  <c r="R761" i="8"/>
  <c r="R760" i="8"/>
  <c r="R759" i="8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2" i="8"/>
  <c r="Y752" i="8" s="1"/>
  <c r="W753" i="8" s="1"/>
  <c r="Y753" i="8" s="1"/>
  <c r="W754" i="8" s="1"/>
  <c r="Y754" i="8" s="1"/>
  <c r="W755" i="8" s="1"/>
  <c r="Y755" i="8" s="1"/>
  <c r="W756" i="8" s="1"/>
  <c r="Y756" i="8" s="1"/>
  <c r="W757" i="8" s="1"/>
  <c r="Y757" i="8" s="1"/>
  <c r="W758" i="8" s="1"/>
  <c r="Y758" i="8" s="1"/>
  <c r="W759" i="8" s="1"/>
  <c r="Y759" i="8" s="1"/>
  <c r="R752" i="8"/>
  <c r="W751" i="8"/>
  <c r="Y751" i="8" s="1"/>
  <c r="R751" i="8"/>
  <c r="W750" i="8"/>
  <c r="Y750" i="8" s="1"/>
  <c r="H749" i="8"/>
  <c r="G749" i="8"/>
  <c r="U730" i="8"/>
  <c r="W730" i="8" s="1"/>
  <c r="Y730" i="8" s="1"/>
  <c r="R730" i="8"/>
  <c r="R729" i="8"/>
  <c r="R728" i="8"/>
  <c r="U727" i="8"/>
  <c r="W727" i="8" s="1"/>
  <c r="Y727" i="8" s="1"/>
  <c r="U728" i="8" s="1"/>
  <c r="W728" i="8" s="1"/>
  <c r="Y728" i="8" s="1"/>
  <c r="U729" i="8" s="1"/>
  <c r="R727" i="8"/>
  <c r="R726" i="8"/>
  <c r="G726" i="8"/>
  <c r="K726" i="8" s="1"/>
  <c r="C726" i="8"/>
  <c r="R725" i="8"/>
  <c r="C725" i="8"/>
  <c r="R724" i="8"/>
  <c r="K724" i="8"/>
  <c r="G724" i="8"/>
  <c r="R723" i="8"/>
  <c r="K723" i="8"/>
  <c r="R722" i="8"/>
  <c r="R721" i="8"/>
  <c r="R720" i="8"/>
  <c r="W719" i="8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26" i="8" s="1"/>
  <c r="W726" i="8" s="1"/>
  <c r="Y726" i="8" s="1"/>
  <c r="H718" i="8"/>
  <c r="G718" i="8"/>
  <c r="R711" i="8"/>
  <c r="G710" i="8"/>
  <c r="C710" i="8"/>
  <c r="G70" i="1" s="1"/>
  <c r="C709" i="8"/>
  <c r="F70" i="1" s="1"/>
  <c r="R708" i="8"/>
  <c r="K708" i="8"/>
  <c r="J70" i="1" s="1"/>
  <c r="G708" i="8"/>
  <c r="M70" i="1" s="1"/>
  <c r="R705" i="8"/>
  <c r="R704" i="8"/>
  <c r="W703" i="8"/>
  <c r="Y703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H702" i="8"/>
  <c r="G702" i="8"/>
  <c r="G571" i="8"/>
  <c r="K571" i="8" s="1"/>
  <c r="C571" i="8"/>
  <c r="C570" i="8"/>
  <c r="F39" i="1" s="1"/>
  <c r="K569" i="8"/>
  <c r="J39" i="1" s="1"/>
  <c r="G569" i="8"/>
  <c r="M39" i="1" s="1"/>
  <c r="H563" i="8"/>
  <c r="G563" i="8"/>
  <c r="G316" i="8"/>
  <c r="K316" i="8" s="1"/>
  <c r="C316" i="8"/>
  <c r="G57" i="1" s="1"/>
  <c r="C315" i="8"/>
  <c r="K314" i="8"/>
  <c r="J57" i="1" s="1"/>
  <c r="G314" i="8"/>
  <c r="M57" i="1" s="1"/>
  <c r="H308" i="8"/>
  <c r="G308" i="8"/>
  <c r="G406" i="8"/>
  <c r="O74" i="1" s="1"/>
  <c r="C406" i="8"/>
  <c r="C405" i="8"/>
  <c r="K404" i="8"/>
  <c r="J74" i="1" s="1"/>
  <c r="G404" i="8"/>
  <c r="M74" i="1" s="1"/>
  <c r="H398" i="8"/>
  <c r="G398" i="8"/>
  <c r="G88" i="1"/>
  <c r="F88" i="1"/>
  <c r="J88" i="1"/>
  <c r="M88" i="1"/>
  <c r="G511" i="8"/>
  <c r="K511" i="8" s="1"/>
  <c r="C511" i="8"/>
  <c r="C510" i="8"/>
  <c r="F32" i="1" s="1"/>
  <c r="K509" i="8"/>
  <c r="J32" i="1" s="1"/>
  <c r="G509" i="8"/>
  <c r="M32" i="1" s="1"/>
  <c r="H503" i="8"/>
  <c r="G503" i="8"/>
  <c r="G680" i="8"/>
  <c r="K680" i="8" s="1"/>
  <c r="C680" i="8"/>
  <c r="G55" i="1" s="1"/>
  <c r="C679" i="8"/>
  <c r="R678" i="8"/>
  <c r="K678" i="8"/>
  <c r="J55" i="1" s="1"/>
  <c r="G678" i="8"/>
  <c r="M55" i="1" s="1"/>
  <c r="R677" i="8"/>
  <c r="R676" i="8"/>
  <c r="R675" i="8"/>
  <c r="R674" i="8"/>
  <c r="W673" i="8"/>
  <c r="Y673" i="8" s="1"/>
  <c r="U674" i="8" s="1"/>
  <c r="W674" i="8" s="1"/>
  <c r="Y674" i="8" s="1"/>
  <c r="U675" i="8" s="1"/>
  <c r="W675" i="8" s="1"/>
  <c r="Y675" i="8" s="1"/>
  <c r="H672" i="8"/>
  <c r="G672" i="8"/>
  <c r="G602" i="8"/>
  <c r="K602" i="8" s="1"/>
  <c r="C602" i="8"/>
  <c r="C601" i="8"/>
  <c r="F60" i="1" s="1"/>
  <c r="K600" i="8"/>
  <c r="J60" i="1" s="1"/>
  <c r="G600" i="8"/>
  <c r="M60" i="1" s="1"/>
  <c r="H594" i="8"/>
  <c r="G594" i="8"/>
  <c r="G541" i="8"/>
  <c r="K541" i="8" s="1"/>
  <c r="C541" i="8"/>
  <c r="C540" i="8"/>
  <c r="F33" i="1" s="1"/>
  <c r="K539" i="8"/>
  <c r="J33" i="1" s="1"/>
  <c r="G539" i="8"/>
  <c r="M33" i="1" s="1"/>
  <c r="H533" i="8"/>
  <c r="G533" i="8"/>
  <c r="G586" i="8"/>
  <c r="K586" i="8" s="1"/>
  <c r="C586" i="8"/>
  <c r="G64" i="1" s="1"/>
  <c r="C585" i="8"/>
  <c r="F64" i="1" s="1"/>
  <c r="K584" i="8"/>
  <c r="J64" i="1" s="1"/>
  <c r="G584" i="8"/>
  <c r="M64" i="1" s="1"/>
  <c r="H578" i="8"/>
  <c r="G578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0" i="1" s="1"/>
  <c r="C820" i="8"/>
  <c r="F90" i="1" s="1"/>
  <c r="K819" i="8"/>
  <c r="J90" i="1" s="1"/>
  <c r="G819" i="8"/>
  <c r="M90" i="1" s="1"/>
  <c r="R814" i="8"/>
  <c r="R815" i="8" s="1"/>
  <c r="R816" i="8" s="1"/>
  <c r="H813" i="8"/>
  <c r="G813" i="8"/>
  <c r="R746" i="8"/>
  <c r="G742" i="8"/>
  <c r="K742" i="8" s="1"/>
  <c r="C742" i="8"/>
  <c r="G86" i="1" s="1"/>
  <c r="R741" i="8"/>
  <c r="C741" i="8"/>
  <c r="F86" i="1" s="1"/>
  <c r="K740" i="8"/>
  <c r="J86" i="1" s="1"/>
  <c r="G740" i="8"/>
  <c r="M86" i="1" s="1"/>
  <c r="H734" i="8"/>
  <c r="G734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6" i="1"/>
  <c r="G284" i="8"/>
  <c r="M56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66" i="8"/>
  <c r="C466" i="8"/>
  <c r="C465" i="8"/>
  <c r="F25" i="1" s="1"/>
  <c r="K464" i="8"/>
  <c r="J25" i="1" s="1"/>
  <c r="G464" i="8"/>
  <c r="M25" i="1" s="1"/>
  <c r="H458" i="8"/>
  <c r="G458" i="8"/>
  <c r="G331" i="8"/>
  <c r="K331" i="8" s="1"/>
  <c r="C331" i="8"/>
  <c r="C330" i="8"/>
  <c r="F51" i="1" s="1"/>
  <c r="J51" i="1"/>
  <c r="G329" i="8"/>
  <c r="M51" i="1" s="1"/>
  <c r="H323" i="8"/>
  <c r="G323" i="8"/>
  <c r="G617" i="8"/>
  <c r="K617" i="8" s="1"/>
  <c r="C617" i="8"/>
  <c r="C616" i="8"/>
  <c r="F41" i="1" s="1"/>
  <c r="K615" i="8"/>
  <c r="J41" i="1" s="1"/>
  <c r="G615" i="8"/>
  <c r="M41" i="1" s="1"/>
  <c r="H609" i="8"/>
  <c r="G609" i="8"/>
  <c r="G91" i="8"/>
  <c r="K91" i="8" s="1"/>
  <c r="C91" i="8"/>
  <c r="G69" i="1" s="1"/>
  <c r="C90" i="8"/>
  <c r="I88" i="8" s="1"/>
  <c r="K89" i="8"/>
  <c r="J69" i="1" s="1"/>
  <c r="G89" i="8"/>
  <c r="M69" i="1" s="1"/>
  <c r="H83" i="8"/>
  <c r="G83" i="8"/>
  <c r="G196" i="8"/>
  <c r="K196" i="8" s="1"/>
  <c r="C196" i="8"/>
  <c r="C195" i="8"/>
  <c r="F76" i="1" s="1"/>
  <c r="K194" i="8"/>
  <c r="J76" i="1" s="1"/>
  <c r="G194" i="8"/>
  <c r="M76" i="1" s="1"/>
  <c r="Y189" i="8"/>
  <c r="H188" i="8"/>
  <c r="G188" i="8"/>
  <c r="G496" i="8"/>
  <c r="K496" i="8" s="1"/>
  <c r="C496" i="8"/>
  <c r="C495" i="8"/>
  <c r="F31" i="1" s="1"/>
  <c r="K494" i="8"/>
  <c r="J31" i="1" s="1"/>
  <c r="G494" i="8"/>
  <c r="M31" i="1" s="1"/>
  <c r="W489" i="8"/>
  <c r="Y489" i="8" s="1"/>
  <c r="H488" i="8"/>
  <c r="G488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39" i="8"/>
  <c r="G436" i="8"/>
  <c r="K436" i="8" s="1"/>
  <c r="C436" i="8"/>
  <c r="C435" i="8"/>
  <c r="F26" i="1" s="1"/>
  <c r="K434" i="8"/>
  <c r="J26" i="1" s="1"/>
  <c r="G434" i="8"/>
  <c r="M26" i="1" s="1"/>
  <c r="R430" i="8"/>
  <c r="W429" i="8"/>
  <c r="Y429" i="8" s="1"/>
  <c r="U430" i="8" s="1"/>
  <c r="W430" i="8" s="1"/>
  <c r="Y430" i="8" s="1"/>
  <c r="H428" i="8"/>
  <c r="G428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W295" i="8" s="1"/>
  <c r="Y295" i="8" s="1"/>
  <c r="W296" i="8" s="1"/>
  <c r="Y296" i="8" s="1"/>
  <c r="R294" i="8"/>
  <c r="R295" i="8" s="1"/>
  <c r="R296" i="8" s="1"/>
  <c r="R297" i="8" s="1"/>
  <c r="R298" i="8" s="1"/>
  <c r="R299" i="8" s="1"/>
  <c r="R300" i="8" s="1"/>
  <c r="H293" i="8"/>
  <c r="G293" i="8"/>
  <c r="G87" i="1"/>
  <c r="F87" i="1"/>
  <c r="J87" i="1"/>
  <c r="M87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1" i="1" s="1"/>
  <c r="K254" i="8"/>
  <c r="J61" i="1" s="1"/>
  <c r="G254" i="8"/>
  <c r="M61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R237" i="8"/>
  <c r="R238" i="8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33" i="8"/>
  <c r="G632" i="8"/>
  <c r="K632" i="8" s="1"/>
  <c r="C632" i="8"/>
  <c r="G63" i="1" s="1"/>
  <c r="C631" i="8"/>
  <c r="K630" i="8"/>
  <c r="J63" i="1" s="1"/>
  <c r="G630" i="8"/>
  <c r="M63" i="1" s="1"/>
  <c r="H624" i="8"/>
  <c r="G624" i="8"/>
  <c r="G151" i="8"/>
  <c r="K151" i="8" s="1"/>
  <c r="C151" i="8"/>
  <c r="G77" i="1" s="1"/>
  <c r="C150" i="8"/>
  <c r="K149" i="8"/>
  <c r="J77" i="1" s="1"/>
  <c r="G149" i="8"/>
  <c r="M77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2" i="1" s="1"/>
  <c r="C120" i="8"/>
  <c r="I118" i="8" s="1"/>
  <c r="K119" i="8"/>
  <c r="J72" i="1" s="1"/>
  <c r="G119" i="8"/>
  <c r="M72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56" i="8"/>
  <c r="K556" i="8" s="1"/>
  <c r="C556" i="8"/>
  <c r="C555" i="8"/>
  <c r="F73" i="1" s="1"/>
  <c r="J73" i="1"/>
  <c r="G554" i="8"/>
  <c r="M73" i="1" s="1"/>
  <c r="H548" i="8"/>
  <c r="G548" i="8"/>
  <c r="O18" i="1"/>
  <c r="G18" i="1"/>
  <c r="F18" i="1"/>
  <c r="M18" i="1"/>
  <c r="G16" i="1"/>
  <c r="F16" i="1"/>
  <c r="P16" i="1"/>
  <c r="H59" i="1"/>
  <c r="E59" i="1"/>
  <c r="B59" i="1"/>
  <c r="H74" i="1"/>
  <c r="E74" i="1"/>
  <c r="B74" i="1"/>
  <c r="H61" i="1"/>
  <c r="E61" i="1"/>
  <c r="B61" i="1"/>
  <c r="H90" i="1"/>
  <c r="E90" i="1"/>
  <c r="J71" i="1"/>
  <c r="H71" i="1"/>
  <c r="E71" i="1"/>
  <c r="B71" i="1"/>
  <c r="H69" i="1"/>
  <c r="E69" i="1"/>
  <c r="H33" i="1"/>
  <c r="E33" i="1"/>
  <c r="B33" i="1"/>
  <c r="H57" i="1"/>
  <c r="E57" i="1"/>
  <c r="H49" i="1"/>
  <c r="E49" i="1"/>
  <c r="H76" i="1"/>
  <c r="E76" i="1"/>
  <c r="H87" i="1"/>
  <c r="E87" i="1"/>
  <c r="E25" i="1"/>
  <c r="B25" i="1"/>
  <c r="H41" i="1"/>
  <c r="E41" i="1"/>
  <c r="H47" i="1"/>
  <c r="E47" i="1"/>
  <c r="H60" i="1"/>
  <c r="E60" i="1"/>
  <c r="H56" i="1"/>
  <c r="E56" i="1"/>
  <c r="B56" i="1"/>
  <c r="H86" i="1"/>
  <c r="E86" i="1"/>
  <c r="B86" i="1"/>
  <c r="H51" i="1"/>
  <c r="E51" i="1"/>
  <c r="B51" i="1"/>
  <c r="H48" i="1"/>
  <c r="E48" i="1"/>
  <c r="B48" i="1"/>
  <c r="H88" i="1"/>
  <c r="E88" i="1"/>
  <c r="H55" i="1"/>
  <c r="E55" i="1"/>
  <c r="H44" i="1"/>
  <c r="E44" i="1"/>
  <c r="B44" i="1"/>
  <c r="H31" i="1"/>
  <c r="E31" i="1"/>
  <c r="H63" i="1"/>
  <c r="E63" i="1"/>
  <c r="H43" i="1"/>
  <c r="E43" i="1"/>
  <c r="B43" i="1"/>
  <c r="H58" i="1"/>
  <c r="E58" i="1"/>
  <c r="H77" i="1"/>
  <c r="E77" i="1"/>
  <c r="H75" i="1"/>
  <c r="E75" i="1"/>
  <c r="B75" i="1"/>
  <c r="H39" i="1"/>
  <c r="E39" i="1"/>
  <c r="H38" i="1"/>
  <c r="E38" i="1"/>
  <c r="H72" i="1"/>
  <c r="E72" i="1"/>
  <c r="B72" i="1"/>
  <c r="H37" i="1"/>
  <c r="E37" i="1"/>
  <c r="H30" i="1"/>
  <c r="E30" i="1"/>
  <c r="B30" i="1"/>
  <c r="H50" i="1"/>
  <c r="E50" i="1"/>
  <c r="B50" i="1"/>
  <c r="H65" i="1"/>
  <c r="E65" i="1"/>
  <c r="B65" i="1"/>
  <c r="H24" i="1"/>
  <c r="E24" i="1"/>
  <c r="B24" i="1"/>
  <c r="H23" i="1"/>
  <c r="E23" i="1"/>
  <c r="B23" i="1"/>
  <c r="H64" i="1"/>
  <c r="E64" i="1"/>
  <c r="B64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3" i="1"/>
  <c r="E73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F40" i="1" l="1"/>
  <c r="I178" i="8"/>
  <c r="K178" i="8" s="1"/>
  <c r="I193" i="8"/>
  <c r="C743" i="8"/>
  <c r="F15" i="1"/>
  <c r="I58" i="8"/>
  <c r="C47" i="8"/>
  <c r="M80" i="1"/>
  <c r="F58" i="1"/>
  <c r="E66" i="1"/>
  <c r="C789" i="8"/>
  <c r="R440" i="8"/>
  <c r="C437" i="8" s="1"/>
  <c r="I433" i="8" s="1"/>
  <c r="J66" i="1"/>
  <c r="C681" i="8"/>
  <c r="I677" i="8" s="1"/>
  <c r="K677" i="8" s="1"/>
  <c r="K679" i="8" s="1"/>
  <c r="K681" i="8" s="1"/>
  <c r="G73" i="1"/>
  <c r="I553" i="8"/>
  <c r="I73" i="1" s="1"/>
  <c r="G56" i="1"/>
  <c r="K283" i="8"/>
  <c r="K285" i="8" s="1"/>
  <c r="K287" i="8" s="1"/>
  <c r="G60" i="1"/>
  <c r="I599" i="8"/>
  <c r="G39" i="1"/>
  <c r="I568" i="8"/>
  <c r="I661" i="8"/>
  <c r="K661" i="8" s="1"/>
  <c r="G61" i="1"/>
  <c r="I253" i="8"/>
  <c r="K253" i="8" s="1"/>
  <c r="K255" i="8" s="1"/>
  <c r="K257" i="8" s="1"/>
  <c r="G31" i="1"/>
  <c r="I493" i="8"/>
  <c r="K493" i="8" s="1"/>
  <c r="K495" i="8" s="1"/>
  <c r="K497" i="8" s="1"/>
  <c r="G33" i="1"/>
  <c r="I538" i="8"/>
  <c r="K538" i="8" s="1"/>
  <c r="K540" i="8" s="1"/>
  <c r="K542" i="8" s="1"/>
  <c r="G59" i="1"/>
  <c r="I268" i="8"/>
  <c r="K268" i="8" s="1"/>
  <c r="K270" i="8" s="1"/>
  <c r="K272" i="8" s="1"/>
  <c r="G30" i="1"/>
  <c r="I523" i="8"/>
  <c r="K523" i="8" s="1"/>
  <c r="K525" i="8" s="1"/>
  <c r="G32" i="1"/>
  <c r="I508" i="8"/>
  <c r="G65" i="1"/>
  <c r="G76" i="1"/>
  <c r="G41" i="1"/>
  <c r="I614" i="8"/>
  <c r="G40" i="1"/>
  <c r="G23" i="1"/>
  <c r="I478" i="8"/>
  <c r="I23" i="1" s="1"/>
  <c r="G25" i="1"/>
  <c r="I463" i="8"/>
  <c r="G24" i="1"/>
  <c r="I448" i="8"/>
  <c r="G26" i="1"/>
  <c r="G47" i="1"/>
  <c r="I388" i="8"/>
  <c r="G50" i="1"/>
  <c r="I373" i="8"/>
  <c r="G49" i="1"/>
  <c r="I358" i="8"/>
  <c r="K358" i="8" s="1"/>
  <c r="K360" i="8" s="1"/>
  <c r="G51" i="1"/>
  <c r="I328" i="8"/>
  <c r="G75" i="1"/>
  <c r="G48" i="1"/>
  <c r="I343" i="8"/>
  <c r="G74" i="1"/>
  <c r="I403" i="8"/>
  <c r="G44" i="1"/>
  <c r="I208" i="8"/>
  <c r="K208" i="8" s="1"/>
  <c r="K210" i="8" s="1"/>
  <c r="K61" i="8"/>
  <c r="O15" i="1"/>
  <c r="J34" i="1"/>
  <c r="R317" i="8"/>
  <c r="R318" i="8" s="1"/>
  <c r="K710" i="8"/>
  <c r="O70" i="1"/>
  <c r="F42" i="1"/>
  <c r="O42" i="1"/>
  <c r="K648" i="8"/>
  <c r="F55" i="1"/>
  <c r="I629" i="8"/>
  <c r="K629" i="8" s="1"/>
  <c r="K631" i="8" s="1"/>
  <c r="K633" i="8" s="1"/>
  <c r="R301" i="8"/>
  <c r="C422" i="8"/>
  <c r="I418" i="8" s="1"/>
  <c r="U788" i="8"/>
  <c r="W788" i="8" s="1"/>
  <c r="Y788" i="8" s="1"/>
  <c r="F75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490" i="8"/>
  <c r="Y490" i="8" s="1"/>
  <c r="W281" i="8"/>
  <c r="Y281" i="8" s="1"/>
  <c r="F69" i="1"/>
  <c r="F56" i="1"/>
  <c r="J78" i="1"/>
  <c r="E52" i="1"/>
  <c r="J42" i="1"/>
  <c r="U1" i="8"/>
  <c r="C711" i="8"/>
  <c r="I707" i="8" s="1"/>
  <c r="C649" i="8"/>
  <c r="I645" i="8" s="1"/>
  <c r="I43" i="8"/>
  <c r="C758" i="8"/>
  <c r="C838" i="8"/>
  <c r="K133" i="8"/>
  <c r="K135" i="8" s="1"/>
  <c r="W40" i="8"/>
  <c r="Y40" i="8" s="1"/>
  <c r="U41" i="8" s="1"/>
  <c r="C773" i="8"/>
  <c r="C727" i="8"/>
  <c r="F63" i="1"/>
  <c r="F38" i="1"/>
  <c r="F74" i="1"/>
  <c r="F49" i="1"/>
  <c r="F43" i="1"/>
  <c r="C587" i="8"/>
  <c r="I583" i="8" s="1"/>
  <c r="K583" i="8" s="1"/>
  <c r="K585" i="8" s="1"/>
  <c r="U431" i="8"/>
  <c r="W431" i="8" s="1"/>
  <c r="Y431" i="8" s="1"/>
  <c r="K756" i="8"/>
  <c r="W190" i="8"/>
  <c r="Y190" i="8" s="1"/>
  <c r="U191" i="8" s="1"/>
  <c r="N16" i="1"/>
  <c r="W55" i="8"/>
  <c r="Y55" i="8" s="1"/>
  <c r="U56" i="8" s="1"/>
  <c r="W160" i="8"/>
  <c r="Y160" i="8" s="1"/>
  <c r="W115" i="8"/>
  <c r="Y115" i="8" s="1"/>
  <c r="W205" i="8"/>
  <c r="Y205" i="8" s="1"/>
  <c r="U676" i="8"/>
  <c r="W676" i="8" s="1"/>
  <c r="Y676" i="8" s="1"/>
  <c r="I692" i="8"/>
  <c r="K692" i="8" s="1"/>
  <c r="O86" i="1"/>
  <c r="F77" i="1"/>
  <c r="Y299" i="8"/>
  <c r="C806" i="8"/>
  <c r="L88" i="1"/>
  <c r="C822" i="8"/>
  <c r="I818" i="8" s="1"/>
  <c r="O88" i="1"/>
  <c r="P88" i="1"/>
  <c r="O64" i="1"/>
  <c r="O48" i="1"/>
  <c r="W221" i="8"/>
  <c r="Y221" i="8" s="1"/>
  <c r="U222" i="8" s="1"/>
  <c r="G570" i="8"/>
  <c r="N39" i="1" s="1"/>
  <c r="F72" i="1"/>
  <c r="K771" i="8"/>
  <c r="K773" i="8" s="1"/>
  <c r="O39" i="1"/>
  <c r="K785" i="8"/>
  <c r="K787" i="8" s="1"/>
  <c r="K789" i="8" s="1"/>
  <c r="O71" i="1"/>
  <c r="O57" i="1"/>
  <c r="O56" i="1"/>
  <c r="O33" i="1"/>
  <c r="O40" i="1"/>
  <c r="O65" i="1"/>
  <c r="K226" i="8"/>
  <c r="K526" i="8"/>
  <c r="O30" i="1"/>
  <c r="O38" i="1"/>
  <c r="K451" i="8"/>
  <c r="O24" i="1"/>
  <c r="O32" i="1"/>
  <c r="K106" i="8"/>
  <c r="O17" i="1"/>
  <c r="K466" i="8"/>
  <c r="O25" i="1"/>
  <c r="O62" i="1"/>
  <c r="O23" i="1"/>
  <c r="O72" i="1"/>
  <c r="O55" i="1"/>
  <c r="O61" i="1"/>
  <c r="F57" i="1"/>
  <c r="O31" i="1"/>
  <c r="O19" i="1"/>
  <c r="O41" i="1"/>
  <c r="O60" i="1"/>
  <c r="O77" i="1"/>
  <c r="K725" i="8"/>
  <c r="K727" i="8" s="1"/>
  <c r="K664" i="8"/>
  <c r="O43" i="1"/>
  <c r="K376" i="8"/>
  <c r="O50" i="1"/>
  <c r="O87" i="1"/>
  <c r="P39" i="1"/>
  <c r="O90" i="1"/>
  <c r="G508" i="8"/>
  <c r="L32" i="1" s="1"/>
  <c r="O69" i="1"/>
  <c r="O26" i="1"/>
  <c r="O58" i="1"/>
  <c r="O51" i="1"/>
  <c r="K802" i="8"/>
  <c r="K804" i="8" s="1"/>
  <c r="O76" i="1"/>
  <c r="K406" i="8"/>
  <c r="O37" i="1"/>
  <c r="O14" i="1"/>
  <c r="J48" i="1"/>
  <c r="J52" i="1" s="1"/>
  <c r="K361" i="8"/>
  <c r="K391" i="8"/>
  <c r="O63" i="1"/>
  <c r="O59" i="1"/>
  <c r="O75" i="1"/>
  <c r="G754" i="8"/>
  <c r="W760" i="8"/>
  <c r="Y760" i="8" s="1"/>
  <c r="K838" i="8"/>
  <c r="G834" i="8"/>
  <c r="W840" i="8"/>
  <c r="W683" i="8"/>
  <c r="O73" i="1"/>
  <c r="G88" i="8"/>
  <c r="L69" i="1" s="1"/>
  <c r="G769" i="8"/>
  <c r="W775" i="8"/>
  <c r="G328" i="8"/>
  <c r="L51" i="1" s="1"/>
  <c r="K211" i="8"/>
  <c r="Y707" i="8"/>
  <c r="G178" i="8"/>
  <c r="L40" i="1" s="1"/>
  <c r="G802" i="8"/>
  <c r="W808" i="8"/>
  <c r="G739" i="8"/>
  <c r="L86" i="1" s="1"/>
  <c r="G568" i="8"/>
  <c r="L39" i="1" s="1"/>
  <c r="N88" i="1"/>
  <c r="G478" i="8"/>
  <c r="L23" i="1" s="1"/>
  <c r="W729" i="8"/>
  <c r="G723" i="8"/>
  <c r="G343" i="8"/>
  <c r="L48" i="1" s="1"/>
  <c r="G645" i="8"/>
  <c r="L42" i="1" s="1"/>
  <c r="G692" i="8"/>
  <c r="L71" i="1" s="1"/>
  <c r="K64" i="1" l="1"/>
  <c r="K587" i="8"/>
  <c r="Q64" i="1" s="1"/>
  <c r="R319" i="8"/>
  <c r="R320" i="8" s="1"/>
  <c r="C317" i="8" s="1"/>
  <c r="I313" i="8" s="1"/>
  <c r="K313" i="8" s="1"/>
  <c r="K315" i="8" s="1"/>
  <c r="K707" i="8"/>
  <c r="E70" i="1" s="1"/>
  <c r="E78" i="1" s="1"/>
  <c r="R302" i="8"/>
  <c r="R303" i="8" s="1"/>
  <c r="U789" i="8"/>
  <c r="K212" i="8"/>
  <c r="R241" i="8"/>
  <c r="R244" i="8" s="1"/>
  <c r="R245" i="8" s="1"/>
  <c r="K527" i="8"/>
  <c r="K362" i="8"/>
  <c r="K38" i="1"/>
  <c r="K137" i="8"/>
  <c r="W300" i="8"/>
  <c r="Y300" i="8" s="1"/>
  <c r="U301" i="8" s="1"/>
  <c r="W301" i="8" s="1"/>
  <c r="K59" i="1"/>
  <c r="W298" i="8"/>
  <c r="Y298" i="8" s="1"/>
  <c r="W101" i="8"/>
  <c r="Y101" i="8" s="1"/>
  <c r="I739" i="8"/>
  <c r="K739" i="8" s="1"/>
  <c r="K741" i="8" s="1"/>
  <c r="I42" i="1"/>
  <c r="K103" i="8"/>
  <c r="K105" i="8" s="1"/>
  <c r="K107" i="8" s="1"/>
  <c r="K433" i="8"/>
  <c r="K435" i="8" s="1"/>
  <c r="K437" i="8" s="1"/>
  <c r="W491" i="8"/>
  <c r="Y491" i="8" s="1"/>
  <c r="W282" i="8"/>
  <c r="Y282" i="8" s="1"/>
  <c r="J45" i="1"/>
  <c r="K43" i="8"/>
  <c r="K45" i="8" s="1"/>
  <c r="K47" i="8" s="1"/>
  <c r="K508" i="8"/>
  <c r="K510" i="8" s="1"/>
  <c r="K512" i="8" s="1"/>
  <c r="K373" i="8"/>
  <c r="K375" i="8" s="1"/>
  <c r="K377" i="8" s="1"/>
  <c r="K223" i="8"/>
  <c r="K225" i="8" s="1"/>
  <c r="K227" i="8" s="1"/>
  <c r="K56" i="1"/>
  <c r="K599" i="8"/>
  <c r="K601" i="8" s="1"/>
  <c r="K603" i="8" s="1"/>
  <c r="K343" i="8"/>
  <c r="K345" i="8" s="1"/>
  <c r="K347" i="8" s="1"/>
  <c r="O80" i="1"/>
  <c r="K118" i="8"/>
  <c r="K120" i="8" s="1"/>
  <c r="K122" i="8" s="1"/>
  <c r="K663" i="8"/>
  <c r="K44" i="1"/>
  <c r="W41" i="8"/>
  <c r="Y41" i="8" s="1"/>
  <c r="U42" i="8" s="1"/>
  <c r="I163" i="8"/>
  <c r="K163" i="8" s="1"/>
  <c r="K165" i="8" s="1"/>
  <c r="K167" i="8" s="1"/>
  <c r="K33" i="1"/>
  <c r="I74" i="1"/>
  <c r="K694" i="8"/>
  <c r="K696" i="8" s="1"/>
  <c r="K614" i="8"/>
  <c r="K616" i="8" s="1"/>
  <c r="U432" i="8"/>
  <c r="I18" i="1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8" i="1"/>
  <c r="I75" i="1"/>
  <c r="K14" i="1"/>
  <c r="Q14" i="1"/>
  <c r="K193" i="8"/>
  <c r="K195" i="8" s="1"/>
  <c r="K197" i="8" s="1"/>
  <c r="K328" i="8"/>
  <c r="K330" i="8" s="1"/>
  <c r="K332" i="8" s="1"/>
  <c r="I51" i="1"/>
  <c r="U677" i="8"/>
  <c r="W677" i="8" s="1"/>
  <c r="Y677" i="8" s="1"/>
  <c r="W240" i="8"/>
  <c r="Y240" i="8" s="1"/>
  <c r="K818" i="8"/>
  <c r="K820" i="8" s="1"/>
  <c r="K148" i="8"/>
  <c r="K150" i="8" s="1"/>
  <c r="G587" i="8"/>
  <c r="P64" i="1" s="1"/>
  <c r="K180" i="8"/>
  <c r="K182" i="8" s="1"/>
  <c r="I30" i="1"/>
  <c r="I49" i="1"/>
  <c r="I14" i="1"/>
  <c r="I19" i="1"/>
  <c r="K553" i="8"/>
  <c r="K555" i="8" s="1"/>
  <c r="K557" i="8" s="1"/>
  <c r="W222" i="8"/>
  <c r="K478" i="8"/>
  <c r="K480" i="8" s="1"/>
  <c r="K482" i="8" s="1"/>
  <c r="I60" i="1"/>
  <c r="I61" i="1"/>
  <c r="I72" i="1"/>
  <c r="I38" i="1"/>
  <c r="I59" i="1"/>
  <c r="I63" i="1"/>
  <c r="I31" i="1"/>
  <c r="I44" i="1"/>
  <c r="I55" i="1"/>
  <c r="I56" i="1"/>
  <c r="I77" i="1"/>
  <c r="I26" i="1"/>
  <c r="I48" i="1"/>
  <c r="I64" i="1"/>
  <c r="I33" i="1"/>
  <c r="I24" i="1"/>
  <c r="K448" i="8"/>
  <c r="K450" i="8" s="1"/>
  <c r="K452" i="8" s="1"/>
  <c r="I71" i="1"/>
  <c r="K403" i="8"/>
  <c r="K405" i="8" s="1"/>
  <c r="W761" i="8"/>
  <c r="I43" i="1"/>
  <c r="K806" i="8"/>
  <c r="P32" i="1"/>
  <c r="G510" i="8"/>
  <c r="N32" i="1" s="1"/>
  <c r="K49" i="1"/>
  <c r="I87" i="1"/>
  <c r="Q31" i="1"/>
  <c r="K31" i="1"/>
  <c r="K55" i="1"/>
  <c r="K63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80" i="8"/>
  <c r="N23" i="1" s="1"/>
  <c r="P51" i="1"/>
  <c r="G330" i="8"/>
  <c r="N51" i="1" s="1"/>
  <c r="G771" i="8"/>
  <c r="Y775" i="8"/>
  <c r="G773" i="8" s="1"/>
  <c r="G649" i="8"/>
  <c r="P42" i="1" s="1"/>
  <c r="G647" i="8"/>
  <c r="N42" i="1" s="1"/>
  <c r="P86" i="1"/>
  <c r="G741" i="8"/>
  <c r="N86" i="1" s="1"/>
  <c r="Q61" i="1"/>
  <c r="K61" i="1"/>
  <c r="U708" i="8"/>
  <c r="Y729" i="8"/>
  <c r="G727" i="8" s="1"/>
  <c r="G725" i="8"/>
  <c r="Y683" i="8"/>
  <c r="I57" i="1" l="1"/>
  <c r="R304" i="8"/>
  <c r="K317" i="8"/>
  <c r="Q57" i="1" s="1"/>
  <c r="K57" i="1"/>
  <c r="K709" i="8"/>
  <c r="K70" i="1" s="1"/>
  <c r="I70" i="1"/>
  <c r="W789" i="8"/>
  <c r="C242" i="8"/>
  <c r="I238" i="8" s="1"/>
  <c r="AB132" i="8"/>
  <c r="Y301" i="8"/>
  <c r="U302" i="8" s="1"/>
  <c r="K618" i="8"/>
  <c r="Q41" i="1" s="1"/>
  <c r="K74" i="1"/>
  <c r="K407" i="8"/>
  <c r="K152" i="8"/>
  <c r="Q77" i="1" s="1"/>
  <c r="W102" i="8"/>
  <c r="Y102" i="8" s="1"/>
  <c r="I86" i="1"/>
  <c r="K86" i="1"/>
  <c r="Q86" i="1"/>
  <c r="K645" i="8"/>
  <c r="K647" i="8" s="1"/>
  <c r="I17" i="1"/>
  <c r="K17" i="1"/>
  <c r="Q17" i="1"/>
  <c r="K26" i="1"/>
  <c r="K50" i="1"/>
  <c r="Q50" i="1"/>
  <c r="W283" i="8"/>
  <c r="Y283" i="8" s="1"/>
  <c r="I69" i="1"/>
  <c r="Q30" i="1"/>
  <c r="Q19" i="1"/>
  <c r="K19" i="1"/>
  <c r="K87" i="1"/>
  <c r="I32" i="1"/>
  <c r="Q37" i="1"/>
  <c r="K32" i="1"/>
  <c r="K34" i="1" s="1"/>
  <c r="I50" i="1"/>
  <c r="W42" i="8"/>
  <c r="Y42" i="8" s="1"/>
  <c r="U43" i="8" s="1"/>
  <c r="K71" i="1"/>
  <c r="Q63" i="1"/>
  <c r="Q65" i="1"/>
  <c r="K65" i="1"/>
  <c r="I65" i="1"/>
  <c r="Q44" i="1"/>
  <c r="I15" i="1"/>
  <c r="K60" i="1"/>
  <c r="Q60" i="1"/>
  <c r="K48" i="1"/>
  <c r="Q48" i="1"/>
  <c r="Q56" i="1"/>
  <c r="K72" i="1"/>
  <c r="K43" i="1"/>
  <c r="K665" i="8"/>
  <c r="Q43" i="1" s="1"/>
  <c r="K24" i="1"/>
  <c r="Q49" i="1"/>
  <c r="K37" i="1"/>
  <c r="I37" i="1"/>
  <c r="Q59" i="1"/>
  <c r="K73" i="1"/>
  <c r="W432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61" i="8"/>
  <c r="G758" i="8" s="1"/>
  <c r="G756" i="8"/>
  <c r="K418" i="8"/>
  <c r="K420" i="8" s="1"/>
  <c r="K422" i="8" s="1"/>
  <c r="Q87" i="1"/>
  <c r="I76" i="1"/>
  <c r="K51" i="1"/>
  <c r="K76" i="1"/>
  <c r="G583" i="8"/>
  <c r="L64" i="1" s="1"/>
  <c r="I88" i="1"/>
  <c r="K88" i="1"/>
  <c r="Q88" i="1"/>
  <c r="G585" i="8"/>
  <c r="N64" i="1" s="1"/>
  <c r="W241" i="8"/>
  <c r="Y241" i="8" s="1"/>
  <c r="U678" i="8"/>
  <c r="W678" i="8" s="1"/>
  <c r="Y678" i="8" s="1"/>
  <c r="K77" i="1"/>
  <c r="K90" i="1"/>
  <c r="Q90" i="1"/>
  <c r="I90" i="1"/>
  <c r="Q72" i="1"/>
  <c r="Q38" i="1"/>
  <c r="Q55" i="1"/>
  <c r="K23" i="1"/>
  <c r="I40" i="1"/>
  <c r="K40" i="1"/>
  <c r="Q40" i="1"/>
  <c r="W708" i="8"/>
  <c r="Y222" i="8"/>
  <c r="W684" i="8"/>
  <c r="Y684" i="8" s="1"/>
  <c r="Q33" i="1"/>
  <c r="K41" i="1"/>
  <c r="C302" i="8" l="1"/>
  <c r="I298" i="8" s="1"/>
  <c r="I62" i="1"/>
  <c r="K711" i="8"/>
  <c r="Q70" i="1" s="1"/>
  <c r="W302" i="8"/>
  <c r="Y302" i="8" s="1"/>
  <c r="U303" i="8" s="1"/>
  <c r="U242" i="8"/>
  <c r="W242" i="8" s="1"/>
  <c r="Y242" i="8" s="1"/>
  <c r="Y789" i="8"/>
  <c r="K42" i="1"/>
  <c r="K649" i="8"/>
  <c r="Q42" i="1" s="1"/>
  <c r="W103" i="8"/>
  <c r="Y103" i="8" s="1"/>
  <c r="K463" i="8"/>
  <c r="K465" i="8" s="1"/>
  <c r="K467" i="8" s="1"/>
  <c r="Q32" i="1"/>
  <c r="Q34" i="1" s="1"/>
  <c r="Q26" i="1"/>
  <c r="W284" i="8"/>
  <c r="Y284" i="8" s="1"/>
  <c r="W492" i="8"/>
  <c r="Y492" i="8" s="1"/>
  <c r="Q51" i="1"/>
  <c r="K88" i="8"/>
  <c r="K90" i="8" s="1"/>
  <c r="Q76" i="1"/>
  <c r="Q23" i="1"/>
  <c r="D48" i="1"/>
  <c r="W43" i="8"/>
  <c r="Y43" i="8" s="1"/>
  <c r="U44" i="8" s="1"/>
  <c r="I39" i="1"/>
  <c r="K58" i="8"/>
  <c r="K60" i="8" s="1"/>
  <c r="K62" i="8" s="1"/>
  <c r="Q71" i="1"/>
  <c r="Q24" i="1"/>
  <c r="P61" i="1"/>
  <c r="Q74" i="1"/>
  <c r="K568" i="8"/>
  <c r="K570" i="8" s="1"/>
  <c r="K572" i="8" s="1"/>
  <c r="Q73" i="1"/>
  <c r="Y432" i="8"/>
  <c r="U433" i="8" s="1"/>
  <c r="Y58" i="8"/>
  <c r="U59" i="8" s="1"/>
  <c r="G73" i="8"/>
  <c r="L14" i="1" s="1"/>
  <c r="G90" i="8"/>
  <c r="N69" i="1" s="1"/>
  <c r="W118" i="8"/>
  <c r="Y118" i="8" s="1"/>
  <c r="W193" i="8"/>
  <c r="Y193" i="8" s="1"/>
  <c r="U194" i="8" s="1"/>
  <c r="W208" i="8"/>
  <c r="Y208" i="8" s="1"/>
  <c r="W163" i="8"/>
  <c r="Y163" i="8" s="1"/>
  <c r="P71" i="1"/>
  <c r="G694" i="8"/>
  <c r="N71" i="1" s="1"/>
  <c r="K75" i="1"/>
  <c r="Q75" i="1"/>
  <c r="G448" i="8"/>
  <c r="L24" i="1" s="1"/>
  <c r="D90" i="1"/>
  <c r="U679" i="8"/>
  <c r="W679" i="8" s="1"/>
  <c r="Y679" i="8" s="1"/>
  <c r="Y708" i="8"/>
  <c r="U709" i="8" s="1"/>
  <c r="U223" i="8"/>
  <c r="K298" i="8" l="1"/>
  <c r="K300" i="8" s="1"/>
  <c r="K238" i="8"/>
  <c r="K240" i="8" s="1"/>
  <c r="U790" i="8"/>
  <c r="U243" i="8"/>
  <c r="W243" i="8" s="1"/>
  <c r="Y243" i="8" s="1"/>
  <c r="W303" i="8"/>
  <c r="Y303" i="8" s="1"/>
  <c r="U680" i="8"/>
  <c r="W680" i="8" s="1"/>
  <c r="K92" i="8"/>
  <c r="Q69" i="1" s="1"/>
  <c r="Q78" i="1" s="1"/>
  <c r="Q15" i="1"/>
  <c r="S17" i="1" s="1"/>
  <c r="W104" i="8"/>
  <c r="Y104" i="8" s="1"/>
  <c r="I25" i="1"/>
  <c r="E105" i="1"/>
  <c r="Q25" i="1"/>
  <c r="Q27" i="1" s="1"/>
  <c r="K25" i="1"/>
  <c r="K27" i="1" s="1"/>
  <c r="W285" i="8"/>
  <c r="Y285" i="8" s="1"/>
  <c r="K69" i="1"/>
  <c r="K78" i="1" s="1"/>
  <c r="K388" i="8"/>
  <c r="K390" i="8" s="1"/>
  <c r="W44" i="8"/>
  <c r="Y44" i="8" s="1"/>
  <c r="U45" i="8" s="1"/>
  <c r="Q39" i="1"/>
  <c r="K15" i="1"/>
  <c r="G255" i="8"/>
  <c r="N61" i="1" s="1"/>
  <c r="G253" i="8"/>
  <c r="L61" i="1" s="1"/>
  <c r="K39" i="1"/>
  <c r="K45" i="1" s="1"/>
  <c r="W433" i="8"/>
  <c r="G538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40" i="8"/>
  <c r="N33" i="1" s="1"/>
  <c r="P24" i="1"/>
  <c r="G450" i="8"/>
  <c r="N24" i="1" s="1"/>
  <c r="W223" i="8"/>
  <c r="I58" i="1" l="1"/>
  <c r="K58" i="1"/>
  <c r="K302" i="8"/>
  <c r="Q58" i="1" s="1"/>
  <c r="Q45" i="1"/>
  <c r="T49" i="1" s="1"/>
  <c r="E99" i="1"/>
  <c r="U304" i="8"/>
  <c r="K62" i="1"/>
  <c r="K242" i="8"/>
  <c r="Q62" i="1" s="1"/>
  <c r="R59" i="1" s="1"/>
  <c r="W790" i="8"/>
  <c r="K47" i="1"/>
  <c r="K52" i="1" s="1"/>
  <c r="K392" i="8"/>
  <c r="Q47" i="1" s="1"/>
  <c r="E104" i="1"/>
  <c r="W105" i="8"/>
  <c r="Y105" i="8" s="1"/>
  <c r="W45" i="8"/>
  <c r="Y45" i="8" s="1"/>
  <c r="W286" i="8"/>
  <c r="Y286" i="8" s="1"/>
  <c r="P6" i="12"/>
  <c r="R6" i="12" s="1"/>
  <c r="I47" i="1"/>
  <c r="Y433" i="8"/>
  <c r="U434" i="8" s="1"/>
  <c r="W60" i="8"/>
  <c r="Y60" i="8" s="1"/>
  <c r="U61" i="8" s="1"/>
  <c r="W165" i="8"/>
  <c r="Y165" i="8" s="1"/>
  <c r="G463" i="8"/>
  <c r="L25" i="1" s="1"/>
  <c r="W120" i="8"/>
  <c r="Y120" i="8" s="1"/>
  <c r="W195" i="8"/>
  <c r="Y195" i="8" s="1"/>
  <c r="U196" i="8" s="1"/>
  <c r="W210" i="8"/>
  <c r="Y210" i="8" s="1"/>
  <c r="Y680" i="8"/>
  <c r="W375" i="8"/>
  <c r="Y375" i="8" s="1"/>
  <c r="W709" i="8"/>
  <c r="Y223" i="8"/>
  <c r="S66" i="1" l="1"/>
  <c r="Q66" i="1"/>
  <c r="Q52" i="1"/>
  <c r="S51" i="1"/>
  <c r="K66" i="1"/>
  <c r="E101" i="1"/>
  <c r="S24" i="1"/>
  <c r="W304" i="8"/>
  <c r="S60" i="1"/>
  <c r="Y790" i="8"/>
  <c r="W287" i="8"/>
  <c r="Y287" i="8" s="1"/>
  <c r="U681" i="8"/>
  <c r="W681" i="8" s="1"/>
  <c r="Y681" i="8" s="1"/>
  <c r="W376" i="8"/>
  <c r="Y376" i="8" s="1"/>
  <c r="W46" i="8"/>
  <c r="Y46" i="8" s="1"/>
  <c r="W106" i="8"/>
  <c r="Y106" i="8" s="1"/>
  <c r="Q15" i="12"/>
  <c r="P15" i="12"/>
  <c r="P8" i="12"/>
  <c r="R8" i="12" s="1"/>
  <c r="W434" i="8"/>
  <c r="W121" i="8"/>
  <c r="Y121" i="8" s="1"/>
  <c r="G403" i="8"/>
  <c r="L74" i="1" s="1"/>
  <c r="G661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65" i="8"/>
  <c r="N25" i="1" s="1"/>
  <c r="Y709" i="8"/>
  <c r="U710" i="8" s="1"/>
  <c r="U224" i="8"/>
  <c r="Y304" i="8" l="1"/>
  <c r="U791" i="8"/>
  <c r="U682" i="8"/>
  <c r="W682" i="8" s="1"/>
  <c r="Y682" i="8" s="1"/>
  <c r="G681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2" i="1"/>
  <c r="P126" i="1"/>
  <c r="Y434" i="8"/>
  <c r="U435" i="8" s="1"/>
  <c r="G388" i="8"/>
  <c r="L47" i="1" s="1"/>
  <c r="G665" i="8"/>
  <c r="P43" i="1" s="1"/>
  <c r="G663" i="8"/>
  <c r="N43" i="1" s="1"/>
  <c r="G358" i="8"/>
  <c r="L49" i="1" s="1"/>
  <c r="P74" i="1"/>
  <c r="G405" i="8"/>
  <c r="N74" i="1" s="1"/>
  <c r="G523" i="8"/>
  <c r="L30" i="1" s="1"/>
  <c r="G677" i="8"/>
  <c r="L55" i="1" s="1"/>
  <c r="W224" i="8"/>
  <c r="U305" i="8" l="1"/>
  <c r="W289" i="8"/>
  <c r="Y289" i="8" s="1"/>
  <c r="W791" i="8"/>
  <c r="G785" i="8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35" i="8"/>
  <c r="G390" i="8"/>
  <c r="N47" i="1" s="1"/>
  <c r="P47" i="1"/>
  <c r="G629" i="8"/>
  <c r="L63" i="1" s="1"/>
  <c r="G418" i="8"/>
  <c r="L75" i="1" s="1"/>
  <c r="P49" i="1"/>
  <c r="G360" i="8"/>
  <c r="N49" i="1" s="1"/>
  <c r="G268" i="8"/>
  <c r="L59" i="1" s="1"/>
  <c r="P30" i="1"/>
  <c r="G525" i="8"/>
  <c r="N30" i="1" s="1"/>
  <c r="W244" i="8"/>
  <c r="Y244" i="8" s="1"/>
  <c r="P55" i="1"/>
  <c r="G679" i="8"/>
  <c r="N55" i="1" s="1"/>
  <c r="W710" i="8"/>
  <c r="Y224" i="8"/>
  <c r="U225" i="8" s="1"/>
  <c r="W305" i="8" l="1"/>
  <c r="G298" i="8"/>
  <c r="L58" i="1" s="1"/>
  <c r="W49" i="8"/>
  <c r="U199" i="8"/>
  <c r="W199" i="8" s="1"/>
  <c r="Y199" i="8" s="1"/>
  <c r="U200" i="8" s="1"/>
  <c r="Y791" i="8"/>
  <c r="G789" i="8" s="1"/>
  <c r="G787" i="8"/>
  <c r="W109" i="8"/>
  <c r="Y109" i="8" s="1"/>
  <c r="Y435" i="8"/>
  <c r="P69" i="1"/>
  <c r="W169" i="8"/>
  <c r="Y169" i="8" s="1"/>
  <c r="G818" i="8"/>
  <c r="L90" i="1" s="1"/>
  <c r="G614" i="8"/>
  <c r="L41" i="1" s="1"/>
  <c r="G313" i="8"/>
  <c r="L57" i="1" s="1"/>
  <c r="G599" i="8"/>
  <c r="L60" i="1" s="1"/>
  <c r="P59" i="1"/>
  <c r="G270" i="8"/>
  <c r="N59" i="1" s="1"/>
  <c r="P75" i="1"/>
  <c r="G420" i="8"/>
  <c r="N75" i="1" s="1"/>
  <c r="W245" i="8"/>
  <c r="G238" i="8"/>
  <c r="L62" i="1" s="1"/>
  <c r="G133" i="8"/>
  <c r="L38" i="1" s="1"/>
  <c r="Y710" i="8"/>
  <c r="U711" i="8" s="1"/>
  <c r="Y305" i="8" l="1"/>
  <c r="G302" i="8" s="1"/>
  <c r="P58" i="1" s="1"/>
  <c r="G300" i="8"/>
  <c r="N58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76" i="1" s="1"/>
  <c r="G163" i="8"/>
  <c r="L37" i="1" s="1"/>
  <c r="U436" i="8"/>
  <c r="P60" i="1"/>
  <c r="G601" i="8"/>
  <c r="N60" i="1" s="1"/>
  <c r="P41" i="1"/>
  <c r="G616" i="8"/>
  <c r="N41" i="1" s="1"/>
  <c r="G633" i="8"/>
  <c r="P63" i="1" s="1"/>
  <c r="G631" i="8"/>
  <c r="N63" i="1" s="1"/>
  <c r="P57" i="1"/>
  <c r="G315" i="8"/>
  <c r="N57" i="1" s="1"/>
  <c r="G165" i="8"/>
  <c r="N37" i="1" s="1"/>
  <c r="G822" i="8"/>
  <c r="P90" i="1" s="1"/>
  <c r="G820" i="8"/>
  <c r="N90" i="1" s="1"/>
  <c r="Y245" i="8"/>
  <c r="G240" i="8"/>
  <c r="N62" i="1" s="1"/>
  <c r="P38" i="1"/>
  <c r="G135" i="8"/>
  <c r="N38" i="1" s="1"/>
  <c r="W225" i="8"/>
  <c r="G242" i="8" l="1"/>
  <c r="P62" i="1" s="1"/>
  <c r="G195" i="8"/>
  <c r="N76" i="1" s="1"/>
  <c r="G197" i="8"/>
  <c r="P76" i="1" s="1"/>
  <c r="G167" i="8"/>
  <c r="P37" i="1" s="1"/>
  <c r="W50" i="8"/>
  <c r="U379" i="8"/>
  <c r="W110" i="8"/>
  <c r="G103" i="8"/>
  <c r="L17" i="1" s="1"/>
  <c r="G283" i="8"/>
  <c r="L56" i="1" s="1"/>
  <c r="Y214" i="8"/>
  <c r="G208" i="8" s="1"/>
  <c r="L44" i="1" s="1"/>
  <c r="W65" i="8"/>
  <c r="L87" i="1"/>
  <c r="W436" i="8"/>
  <c r="W711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87" i="1"/>
  <c r="N87" i="1"/>
  <c r="W124" i="8"/>
  <c r="Y436" i="8"/>
  <c r="Y711" i="8"/>
  <c r="U712" i="8" s="1"/>
  <c r="W226" i="8"/>
  <c r="G107" i="8" l="1"/>
  <c r="P17" i="1" s="1"/>
  <c r="G62" i="8"/>
  <c r="P15" i="1" s="1"/>
  <c r="Y379" i="8"/>
  <c r="G377" i="8" s="1"/>
  <c r="P50" i="1" s="1"/>
  <c r="G375" i="8"/>
  <c r="N50" i="1" s="1"/>
  <c r="U437" i="8"/>
  <c r="W437" i="8" s="1"/>
  <c r="Y437" i="8" s="1"/>
  <c r="U438" i="8" s="1"/>
  <c r="Y215" i="8"/>
  <c r="G210" i="8"/>
  <c r="N44" i="1" s="1"/>
  <c r="Y290" i="8"/>
  <c r="G285" i="8"/>
  <c r="N56" i="1" s="1"/>
  <c r="Y124" i="8"/>
  <c r="Y226" i="8"/>
  <c r="G287" i="8" l="1"/>
  <c r="P56" i="1" s="1"/>
  <c r="G212" i="8"/>
  <c r="P44" i="1" s="1"/>
  <c r="W438" i="8"/>
  <c r="Y438" i="8" s="1"/>
  <c r="U439" i="8" s="1"/>
  <c r="U227" i="8"/>
  <c r="W227" i="8" s="1"/>
  <c r="Y227" i="8" s="1"/>
  <c r="U228" i="8" s="1"/>
  <c r="W712" i="8"/>
  <c r="W228" i="8" l="1"/>
  <c r="Y228" i="8" s="1"/>
  <c r="U229" i="8" s="1"/>
  <c r="W125" i="8"/>
  <c r="G118" i="8"/>
  <c r="L72" i="1" s="1"/>
  <c r="Y712" i="8"/>
  <c r="U713" i="8" s="1"/>
  <c r="W713" i="8" s="1"/>
  <c r="Y125" i="8" l="1"/>
  <c r="G120" i="8"/>
  <c r="N72" i="1" s="1"/>
  <c r="G122" i="8" l="1"/>
  <c r="P72" i="1" s="1"/>
  <c r="Y713" i="8"/>
  <c r="U714" i="8" l="1"/>
  <c r="W714" i="8" s="1"/>
  <c r="G707" i="8"/>
  <c r="L70" i="1" s="1"/>
  <c r="G709" i="8" l="1"/>
  <c r="N70" i="1" s="1"/>
  <c r="Y714" i="8"/>
  <c r="G711" i="8" s="1"/>
  <c r="P70" i="1" s="1"/>
  <c r="W229" i="8"/>
  <c r="W549" i="8"/>
  <c r="Y549" i="8" s="1"/>
  <c r="Y229" i="8" l="1"/>
  <c r="U230" i="8" s="1"/>
  <c r="W439" i="8"/>
  <c r="W550" i="8"/>
  <c r="Y550" i="8" s="1"/>
  <c r="Y439" i="8" l="1"/>
  <c r="W551" i="8"/>
  <c r="Y551" i="8" s="1"/>
  <c r="W230" i="8" l="1"/>
  <c r="G223" i="8"/>
  <c r="L65" i="1" s="1"/>
  <c r="W552" i="8"/>
  <c r="Y552" i="8" s="1"/>
  <c r="Y230" i="8" l="1"/>
  <c r="G225" i="8"/>
  <c r="N65" i="1" s="1"/>
  <c r="W553" i="8"/>
  <c r="Y553" i="8" s="1"/>
  <c r="W554" i="8" s="1"/>
  <c r="Y554" i="8" s="1"/>
  <c r="W440" i="8"/>
  <c r="G433" i="8"/>
  <c r="L26" i="1" s="1"/>
  <c r="G227" i="8" l="1"/>
  <c r="P65" i="1" s="1"/>
  <c r="Y440" i="8"/>
  <c r="G435" i="8"/>
  <c r="N26" i="1" s="1"/>
  <c r="Y555" i="8"/>
  <c r="G437" i="8" l="1"/>
  <c r="P26" i="1" s="1"/>
  <c r="U556" i="8"/>
  <c r="L18" i="1"/>
  <c r="W556" i="8" l="1"/>
  <c r="Y556" i="8" s="1"/>
  <c r="U557" i="8" l="1"/>
  <c r="W557" i="8" s="1"/>
  <c r="Y557" i="8" s="1"/>
  <c r="U558" i="8" l="1"/>
  <c r="W558" i="8" s="1"/>
  <c r="Y558" i="8" s="1"/>
  <c r="U559" i="8" s="1"/>
  <c r="W559" i="8" s="1"/>
  <c r="Y559" i="8" l="1"/>
  <c r="O111" i="1"/>
  <c r="U560" i="8" l="1"/>
  <c r="W560" i="8" l="1"/>
  <c r="G553" i="8"/>
  <c r="L73" i="1" s="1"/>
  <c r="Y560" i="8" l="1"/>
  <c r="G555" i="8"/>
  <c r="N73" i="1" s="1"/>
  <c r="G557" i="8" l="1"/>
  <c r="P73" i="1" s="1"/>
  <c r="P18" i="1"/>
  <c r="N18" i="1"/>
  <c r="E16" i="1"/>
  <c r="E20" i="1" s="1"/>
  <c r="E80" i="1" s="1"/>
  <c r="J16" i="1"/>
  <c r="J20" i="1" s="1"/>
  <c r="J80" i="1" s="1"/>
  <c r="K16" i="1" l="1"/>
  <c r="K20" i="1" s="1"/>
  <c r="R1" i="8" l="1"/>
  <c r="Q16" i="1" l="1"/>
  <c r="Q20" i="1" s="1"/>
  <c r="Q80" i="1" l="1"/>
  <c r="E98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77" i="1" s="1"/>
  <c r="W155" i="8" l="1"/>
  <c r="Y155" i="8" l="1"/>
  <c r="G150" i="8"/>
  <c r="N77" i="1" s="1"/>
  <c r="Q13" i="12"/>
  <c r="P13" i="12"/>
  <c r="P16" i="12" s="1"/>
  <c r="G152" i="8" l="1"/>
  <c r="P77" i="1" s="1"/>
  <c r="R13" i="12"/>
  <c r="R16" i="12" s="1"/>
  <c r="Q16" i="12"/>
  <c r="W493" i="8" l="1"/>
  <c r="Y493" i="8" l="1"/>
  <c r="W494" i="8" l="1"/>
  <c r="Y494" i="8" s="1"/>
  <c r="W495" i="8" l="1"/>
  <c r="Y495" i="8" l="1"/>
  <c r="W496" i="8" l="1"/>
  <c r="Y496" i="8" l="1"/>
  <c r="W497" i="8" l="1"/>
  <c r="Y497" i="8" s="1"/>
  <c r="D16" i="1"/>
  <c r="D70" i="1"/>
  <c r="E100" i="1"/>
  <c r="W498" i="8" l="1"/>
  <c r="Y498" i="8" s="1"/>
  <c r="E103" i="1"/>
  <c r="I95" i="1"/>
  <c r="E107" i="1" l="1"/>
  <c r="G104" i="1" s="1"/>
  <c r="W499" i="8" l="1"/>
  <c r="Y499" i="8" l="1"/>
  <c r="D88" i="1"/>
  <c r="D87" i="1" l="1"/>
  <c r="D60" i="1"/>
  <c r="G493" i="8" l="1"/>
  <c r="L31" i="1" s="1"/>
  <c r="L80" i="1" s="1"/>
  <c r="W500" i="8"/>
  <c r="Y500" i="8" l="1"/>
  <c r="G497" i="8" s="1"/>
  <c r="P31" i="1" s="1"/>
  <c r="P80" i="1" s="1"/>
  <c r="G495" i="8"/>
  <c r="N31" i="1" s="1"/>
  <c r="N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48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48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0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1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3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5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8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<sst xmlns="http://schemas.openxmlformats.org/spreadsheetml/2006/main" count="3385" uniqueCount="229">
  <si>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</si>
  <si>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</si>
  <si>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</si>
  <si>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</si>
  <si>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</si>
  <si>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</si>
  <si>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</si>
  <si>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</si>
  <si>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</si>
  <si>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</si>
  <si>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</si>
  <si>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</si>
  <si>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</si>
  <si>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</si>
  <si>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</si>
  <si>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</si>
  <si>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</si>
  <si>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</si>
  <si>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</si>
  <si>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</si>
  <si>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</si>
  <si>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</si>
  <si>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</si>
  <si>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</si>
  <si>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</si>
  <si>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</si>
  <si>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</si>
  <si>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</si>
  <si>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</si>
  <si>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</si>
  <si>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</si>
  <si>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</si>
  <si>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</si>
  <si>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</si>
  <si>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</si>
  <si>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</si>
  <si>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</si>
  <si>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</si>
  <si>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</si>
  <si>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</si>
  <si>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</si>
  <si>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</si>
  <si>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</si>
  <si>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</si>
  <si>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</si>
  <si>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</si>
  <si>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</si>
  <si>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</si>
  <si>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</si>
  <si>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</si>
  <si>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</si>
  <si>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</si>
  <si>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</si>
  <si>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</si>
  <si>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</si>
  <si>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</si>
  <si>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</si>
  <si>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</si>
  <si>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</si>
  <si>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</si>
  <si>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</si>
  <si>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</si>
  <si>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</si>
  <si>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</si>
  <si>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</si>
  <si>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</si>
  <si>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</si>
  <si>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</si>
  <si>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</si>
  <si>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</si>
  <si>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</si>
  <si>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</si>
  <si>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</si>
  <si>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</si>
  <si>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</si>
  <si>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</si>
  <si>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</si>
  <si>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</si>
  <si>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</si>
  <si>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</si>
  <si>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</si>
  <si>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</si>
  <si>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</si>
  <si>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</si>
  <si>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</si>
  <si>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</si>
  <si>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</si>
  <si>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</si>
  <si>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</si>
  <si>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</si>
  <si>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</si>
  <si>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</si>
  <si>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</si>
  <si>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</si>
  <si>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</si>
  <si>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</si>
  <si>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</si>
  <si>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</si>
  <si>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</si>
  <si>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</si>
  <si>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</si>
  <si>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</si>
  <si>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</si>
  <si>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</si>
  <si>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</si>
  <si>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</si>
  <si>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</si>
  <si>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</si>
  <si>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</si>
  <si>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</si>
  <si>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</si>
  <si>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</si>
  <si>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</si>
  <si>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</si>
  <si>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</si>
  <si>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</si>
  <si>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</si>
  <si>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</si>
  <si>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</si>
  <si>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</si>
  <si>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</si>
  <si>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</si>
  <si>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</si>
  <si>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</si>
  <si>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</si>
  <si>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</si>
  <si>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</si>
  <si>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</si>
  <si>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</si>
  <si>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</si>
  <si>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</si>
  <si>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</si>
  <si>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</si>
  <si>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</si>
  <si>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</si>
  <si>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</si>
  <si>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</si>
  <si>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</si>
  <si>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</si>
  <si>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</si>
  <si>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</si>
  <si>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</si>
  <si>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</si>
  <si>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</si>
  <si>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</si>
  <si>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</si>
  <si>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</si>
  <si>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</si>
  <si>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</si>
  <si>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</si>
  <si>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</si>
  <si>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</si>
  <si>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</si>
  <si>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</si>
  <si>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</si>
  <si>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</si>
  <si>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</si>
  <si>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</si>
  <si>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</si>
  <si>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</si>
  <si>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</si>
  <si>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</si>
  <si>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</si>
  <si>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</si>
  <si>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</si>
  <si>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</si>
  <si>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</si>
  <si>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</si>
  <si>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</si>
  <si>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</si>
  <si>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</si>
  <si>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</si>
  <si>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</si>
  <si>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</si>
  <si>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</si>
  <si>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</si>
  <si>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</si>
  <si>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</si>
  <si>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</si>
  <si>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</si>
  <si>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</si>
  <si>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</si>
  <si>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</si>
  <si>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</si>
  <si>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</si>
  <si>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</si>
  <si>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</si>
  <si>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</si>
  <si>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</si>
  <si>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</si>
  <si>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</si>
  <si>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</si>
  <si>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</si>
  <si>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</si>
  <si>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</si>
  <si>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</si>
  <si>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</si>
  <si>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</si>
  <si>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</si>
  <si>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</si>
  <si>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</si>
  <si>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</si>
  <si>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</si>
  <si>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</si>
  <si>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</si>
  <si>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</si>
  <si>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</si>
  <si>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</si>
  <si>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</si>
  <si>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</si>
  <si>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</si>
  <si>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</si>
  <si>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</si>
  <si>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</si>
  <si>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</si>
  <si>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</si>
  <si>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</si>
  <si>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</si>
  <si>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</si>
  <si>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</si>
  <si>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</si>
  <si>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</si>
  <si>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</si>
  <si>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UEP, ENGRO, DAWOOD, TRIFIT, Bank Al Habib</t>
  </si>
  <si>
    <t>Abbas</t>
  </si>
  <si>
    <t>Sami</t>
  </si>
  <si>
    <t>Adil</t>
  </si>
  <si>
    <t>5 leaves will be deduct in annual leaves in next year</t>
  </si>
  <si>
    <t>M. 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</si>
</sst>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5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6" fillId="0" borderId="1" xfId="1" applyNumberFormat="1" applyFont="1" applyFill="1" applyBorder="1"/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165" fontId="14" fillId="0" borderId="1" xfId="1" applyNumberFormat="1" applyFont="1" applyFill="1" applyBorder="1"/>
    <xf numFmtId="165" fontId="0" fillId="0" borderId="0" xfId="1" applyNumberFormat="1" applyFont="1" applyFill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165" fontId="14" fillId="10" borderId="0" xfId="0" applyNumberFormat="1" applyFont="1" applyFill="1"/>
    <xf numFmtId="0" fontId="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1" fillId="19" borderId="1" xfId="0" applyFont="1" applyFill="1" applyBorder="1" applyAlignment="1">
      <alignment vertic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0" fontId="16" fillId="12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3"/>
  <sheetViews>
    <sheetView view="pageBreakPreview" zoomScale="130" zoomScaleNormal="90" zoomScaleSheetLayoutView="130" workbookViewId="0">
      <pane ySplit="3" topLeftCell="A4" activePane="bottomLeft" state="frozen"/>
      <selection pane="bottomLeft" activeCell="N74" sqref="N74"/>
    </sheetView>
  </sheetViews>
  <sheetFormatPr defaultRowHeight="12.75" x14ac:dyDescent="0.2"/>
  <cols>
    <col min="1" max="1" width="3.140625" style="217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9" customFormat="1" ht="12.75" customHeight="1" x14ac:dyDescent="0.4">
      <c r="A1" s="370" t="s">
        <v>78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68" t="str">
        <f>'Salary Record'!J1</f>
        <v>January</v>
      </c>
      <c r="O1" s="368"/>
      <c r="P1" s="368">
        <f>'Salary Record'!K1</f>
        <v>2024</v>
      </c>
      <c r="Q1" s="221"/>
      <c r="R1" s="218"/>
      <c r="T1" s="220"/>
    </row>
    <row r="2" spans="1:20" s="219" customFormat="1" ht="15.6" customHeight="1" x14ac:dyDescent="0.4">
      <c r="A2" s="372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69"/>
      <c r="O2" s="369"/>
      <c r="P2" s="369"/>
      <c r="Q2" s="222"/>
      <c r="R2" s="218"/>
      <c r="T2" s="220"/>
    </row>
    <row r="3" spans="1:20" ht="39.75" customHeight="1" x14ac:dyDescent="0.2">
      <c r="A3" s="6"/>
      <c r="B3" s="238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9"/>
    </row>
    <row r="4" spans="1:20" s="123" customFormat="1" ht="15.75" x14ac:dyDescent="0.2">
      <c r="A4" s="212">
        <v>1</v>
      </c>
      <c r="B4" s="177" t="s">
        <v>10</v>
      </c>
      <c r="C4" s="197"/>
      <c r="D4" s="149">
        <f>E4</f>
        <v>0</v>
      </c>
      <c r="E4" s="180">
        <v>0</v>
      </c>
      <c r="F4" s="121"/>
      <c r="G4" s="180"/>
      <c r="H4" s="180"/>
      <c r="I4" s="180"/>
      <c r="J4" s="180"/>
      <c r="K4" s="180"/>
      <c r="L4" s="182"/>
      <c r="M4" s="182"/>
      <c r="N4" s="183"/>
      <c r="O4" s="182"/>
      <c r="P4" s="183"/>
      <c r="Q4" s="187"/>
      <c r="R4" s="122"/>
      <c r="T4" s="124"/>
    </row>
    <row r="5" spans="1:20" s="123" customFormat="1" ht="15.75" x14ac:dyDescent="0.2">
      <c r="A5" s="213">
        <v>2</v>
      </c>
      <c r="B5" s="177" t="s">
        <v>3</v>
      </c>
      <c r="C5" s="177"/>
      <c r="D5" s="138">
        <f>E5</f>
        <v>0</v>
      </c>
      <c r="E5" s="184">
        <v>0</v>
      </c>
      <c r="F5" s="184"/>
      <c r="G5" s="184"/>
      <c r="H5" s="184"/>
      <c r="I5" s="184"/>
      <c r="J5" s="184"/>
      <c r="K5" s="184"/>
      <c r="L5" s="67"/>
      <c r="M5" s="67"/>
      <c r="N5" s="198"/>
      <c r="O5" s="67"/>
      <c r="P5" s="198"/>
      <c r="Q5" s="185"/>
      <c r="R5" s="122"/>
      <c r="T5" s="124"/>
    </row>
    <row r="6" spans="1:20" ht="23.25" x14ac:dyDescent="0.25">
      <c r="A6" s="355" t="s">
        <v>86</v>
      </c>
      <c r="B6" s="356"/>
      <c r="C6" s="356"/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7"/>
      <c r="R6" s="81"/>
    </row>
    <row r="7" spans="1:20" s="123" customFormat="1" ht="15.75" x14ac:dyDescent="0.2">
      <c r="A7" s="212">
        <v>1</v>
      </c>
      <c r="B7" s="177" t="s">
        <v>16</v>
      </c>
      <c r="C7" s="379" t="s">
        <v>34</v>
      </c>
      <c r="D7" s="382">
        <f>SUM(Q7:Q10)</f>
        <v>0</v>
      </c>
      <c r="E7" s="67">
        <v>20000</v>
      </c>
      <c r="F7" s="67"/>
      <c r="G7" s="184"/>
      <c r="H7" s="67"/>
      <c r="I7" s="67"/>
      <c r="J7" s="67"/>
      <c r="K7" s="67"/>
      <c r="L7" s="182"/>
      <c r="M7" s="182"/>
      <c r="N7" s="183"/>
      <c r="O7" s="182"/>
      <c r="P7" s="183"/>
      <c r="Q7" s="187">
        <v>0</v>
      </c>
      <c r="R7" s="122"/>
      <c r="S7" s="122"/>
      <c r="T7" s="124"/>
    </row>
    <row r="8" spans="1:20" s="123" customFormat="1" ht="15.75" x14ac:dyDescent="0.2">
      <c r="A8" s="213">
        <v>2</v>
      </c>
      <c r="B8" s="177" t="s">
        <v>154</v>
      </c>
      <c r="C8" s="380"/>
      <c r="D8" s="383"/>
      <c r="E8" s="67">
        <v>25000</v>
      </c>
      <c r="F8" s="67"/>
      <c r="G8" s="184"/>
      <c r="H8" s="67"/>
      <c r="I8" s="67"/>
      <c r="J8" s="67"/>
      <c r="K8" s="67"/>
      <c r="L8" s="182"/>
      <c r="M8" s="182"/>
      <c r="N8" s="183"/>
      <c r="O8" s="182"/>
      <c r="P8" s="183"/>
      <c r="Q8" s="187">
        <v>0</v>
      </c>
      <c r="R8" s="122"/>
      <c r="S8" s="122"/>
      <c r="T8" s="124"/>
    </row>
    <row r="9" spans="1:20" s="123" customFormat="1" ht="15.75" x14ac:dyDescent="0.2">
      <c r="A9" s="212">
        <v>3</v>
      </c>
      <c r="B9" s="177" t="s">
        <v>28</v>
      </c>
      <c r="C9" s="380"/>
      <c r="D9" s="383"/>
      <c r="E9" s="67">
        <v>20000</v>
      </c>
      <c r="F9" s="67"/>
      <c r="G9" s="184"/>
      <c r="H9" s="67"/>
      <c r="I9" s="67"/>
      <c r="J9" s="67"/>
      <c r="K9" s="67"/>
      <c r="L9" s="182"/>
      <c r="M9" s="182"/>
      <c r="N9" s="183"/>
      <c r="O9" s="182"/>
      <c r="P9" s="183"/>
      <c r="Q9" s="187">
        <v>0</v>
      </c>
      <c r="R9" s="122"/>
      <c r="T9" s="124"/>
    </row>
    <row r="10" spans="1:20" s="123" customFormat="1" ht="15.75" x14ac:dyDescent="0.2">
      <c r="A10" s="213">
        <v>4</v>
      </c>
      <c r="B10" s="177" t="s">
        <v>8</v>
      </c>
      <c r="C10" s="381"/>
      <c r="D10" s="384"/>
      <c r="E10" s="67">
        <v>15000</v>
      </c>
      <c r="F10" s="67"/>
      <c r="G10" s="184"/>
      <c r="H10" s="67"/>
      <c r="I10" s="67"/>
      <c r="J10" s="67"/>
      <c r="K10" s="67"/>
      <c r="L10" s="182"/>
      <c r="M10" s="182"/>
      <c r="N10" s="183"/>
      <c r="O10" s="182"/>
      <c r="P10" s="183"/>
      <c r="Q10" s="187">
        <v>0</v>
      </c>
      <c r="R10" s="122"/>
      <c r="T10" s="125"/>
    </row>
    <row r="11" spans="1:20" s="208" customFormat="1" ht="21" x14ac:dyDescent="0.3">
      <c r="A11" s="358" t="s">
        <v>2</v>
      </c>
      <c r="B11" s="359"/>
      <c r="C11" s="232"/>
      <c r="D11" s="232"/>
      <c r="E11" s="234">
        <f>SUM(E7:E10)</f>
        <v>80000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06">
        <f>SUM(Q7:Q10)</f>
        <v>0</v>
      </c>
      <c r="R11" s="207"/>
      <c r="T11" s="209"/>
    </row>
    <row r="12" spans="1:20" s="208" customFormat="1" ht="21" x14ac:dyDescent="0.3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  <c r="R12" s="230"/>
      <c r="T12" s="231"/>
    </row>
    <row r="13" spans="1:20" s="163" customFormat="1" ht="21" customHeight="1" x14ac:dyDescent="0.2">
      <c r="A13" s="363" t="s">
        <v>87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364"/>
      <c r="O13" s="364"/>
      <c r="P13" s="364"/>
      <c r="Q13" s="365"/>
      <c r="R13" s="162"/>
      <c r="T13" s="164"/>
    </row>
    <row r="14" spans="1:20" s="123" customFormat="1" ht="15.75" x14ac:dyDescent="0.2">
      <c r="A14" s="213">
        <v>1</v>
      </c>
      <c r="B14" s="319" t="str">
        <f>'Salary Record'!C70</f>
        <v>Ashraf Bhai</v>
      </c>
      <c r="C14" s="126"/>
      <c r="D14" s="127"/>
      <c r="E14" s="67">
        <f>'Salary Record'!K69</f>
        <v>80000</v>
      </c>
      <c r="F14" s="67">
        <f>'Salary Record'!C75</f>
        <v>0</v>
      </c>
      <c r="G14" s="184">
        <f>'Salary Record'!C76</f>
        <v>0</v>
      </c>
      <c r="H14" s="67">
        <f>'Salary Record'!I74</f>
        <v>0</v>
      </c>
      <c r="I14" s="67">
        <f>'Salary Record'!I73</f>
        <v>0</v>
      </c>
      <c r="J14" s="188">
        <f>'Salary Record'!K74</f>
        <v>0</v>
      </c>
      <c r="K14" s="188">
        <f>'Salary Record'!K75</f>
        <v>0</v>
      </c>
      <c r="L14" s="189">
        <f>'Salary Record'!G73</f>
        <v>40000</v>
      </c>
      <c r="M14" s="190">
        <f>'Salary Record'!G74</f>
        <v>0</v>
      </c>
      <c r="N14" s="191">
        <f>'Salary Record'!G75</f>
        <v>40000</v>
      </c>
      <c r="O14" s="190">
        <f>'Salary Record'!G76</f>
        <v>0</v>
      </c>
      <c r="P14" s="191">
        <f>'Salary Record'!G77</f>
        <v>40000</v>
      </c>
      <c r="Q14" s="192">
        <f>'Salary Record'!K77</f>
        <v>0</v>
      </c>
      <c r="R14" s="122"/>
      <c r="S14" s="122"/>
      <c r="T14" s="130"/>
    </row>
    <row r="15" spans="1:20" s="123" customFormat="1" ht="15.75" x14ac:dyDescent="0.2">
      <c r="A15" s="213">
        <v>2</v>
      </c>
      <c r="B15" s="319" t="s">
        <v>213</v>
      </c>
      <c r="C15" s="126"/>
      <c r="D15" s="127"/>
      <c r="E15" s="67">
        <f>'Salary Record'!K54</f>
        <v>47000</v>
      </c>
      <c r="F15" s="67">
        <f>'Salary Record'!C60</f>
        <v>30</v>
      </c>
      <c r="G15" s="184">
        <f>'Salary Record'!C61</f>
        <v>1</v>
      </c>
      <c r="H15" s="67">
        <f>'Salary Record'!I59</f>
        <v>8</v>
      </c>
      <c r="I15" s="67">
        <f>'Salary Record'!I58</f>
        <v>31</v>
      </c>
      <c r="J15" s="180">
        <f>'Salary Record'!K59</f>
        <v>1516.1290322580646</v>
      </c>
      <c r="K15" s="67">
        <f>'Salary Record'!K60</f>
        <v>48516.129032258068</v>
      </c>
      <c r="L15" s="181">
        <f>'Salary Record'!G58</f>
        <v>0</v>
      </c>
      <c r="M15" s="181">
        <f>'Salary Record'!G59</f>
        <v>0</v>
      </c>
      <c r="N15" s="181">
        <f>'Salary Record'!G60</f>
        <v>0</v>
      </c>
      <c r="O15" s="181">
        <f>'Salary Record'!G61</f>
        <v>0</v>
      </c>
      <c r="P15" s="181">
        <f>'Salary Record'!G62</f>
        <v>0</v>
      </c>
      <c r="Q15" s="187">
        <f>'Salary Record'!K62</f>
        <v>48516.129032258068</v>
      </c>
      <c r="R15" s="122"/>
      <c r="S15" s="122"/>
      <c r="T15" s="124"/>
    </row>
    <row r="16" spans="1:20" s="123" customFormat="1" ht="21" customHeight="1" x14ac:dyDescent="0.2">
      <c r="A16" s="212">
        <v>3</v>
      </c>
      <c r="B16" s="319" t="s">
        <v>70</v>
      </c>
      <c r="C16" s="128" t="s">
        <v>32</v>
      </c>
      <c r="D16" s="129">
        <f>SUM(Q16:Q45)</f>
        <v>1491245.9677419355</v>
      </c>
      <c r="E16" s="67">
        <f>'Salary Record'!K9</f>
        <v>75000</v>
      </c>
      <c r="F16" s="67">
        <f>'Salary Record'!C15</f>
        <v>31</v>
      </c>
      <c r="G16" s="67">
        <f>'Salary Record'!C16</f>
        <v>0</v>
      </c>
      <c r="H16" s="180">
        <f>'Salary Record'!I14</f>
        <v>0</v>
      </c>
      <c r="I16" s="67">
        <f>'Salary Record'!I13</f>
        <v>31</v>
      </c>
      <c r="J16" s="180">
        <f>'Salary Record'!K14</f>
        <v>0</v>
      </c>
      <c r="K16" s="67">
        <f>'Salary Record'!K15</f>
        <v>75000</v>
      </c>
      <c r="L16" s="181">
        <f>'Salary Record'!U9</f>
        <v>0</v>
      </c>
      <c r="M16" s="182">
        <f>'Salary Record'!V9</f>
        <v>0</v>
      </c>
      <c r="N16" s="183">
        <f>'Salary Record'!W9</f>
        <v>0</v>
      </c>
      <c r="O16" s="183">
        <f>'Salary Record'!X9</f>
        <v>0</v>
      </c>
      <c r="P16" s="183">
        <f>'Salary Record'!Y9</f>
        <v>0</v>
      </c>
      <c r="Q16" s="187">
        <f>'Salary Record'!K17</f>
        <v>75000</v>
      </c>
      <c r="R16" s="122"/>
      <c r="S16" s="122"/>
      <c r="T16" s="124"/>
    </row>
    <row r="17" spans="1:22" s="123" customFormat="1" ht="21" customHeight="1" x14ac:dyDescent="0.2">
      <c r="A17" s="213">
        <v>4</v>
      </c>
      <c r="B17" s="320" t="str">
        <f>'Salary Record'!C100</f>
        <v>Ahsan Khan</v>
      </c>
      <c r="C17" s="137"/>
      <c r="D17" s="138"/>
      <c r="E17" s="67">
        <f>'Salary Record'!K99</f>
        <v>41000</v>
      </c>
      <c r="F17" s="181">
        <f>'Salary Record'!C105</f>
        <v>0</v>
      </c>
      <c r="G17" s="186">
        <f>'Salary Record'!C106</f>
        <v>0</v>
      </c>
      <c r="H17" s="181">
        <f>'Salary Record'!I104</f>
        <v>0</v>
      </c>
      <c r="I17" s="181">
        <f>'Salary Record'!I103</f>
        <v>31</v>
      </c>
      <c r="J17" s="180">
        <f>'Salary Record'!K104</f>
        <v>0</v>
      </c>
      <c r="K17" s="180">
        <f>'Salary Record'!K105</f>
        <v>41000</v>
      </c>
      <c r="L17" s="181">
        <f>'Salary Record'!G103</f>
        <v>35000</v>
      </c>
      <c r="M17" s="181">
        <f>'Salary Record'!G104</f>
        <v>0</v>
      </c>
      <c r="N17" s="183">
        <f>'Salary Record'!G105</f>
        <v>35000</v>
      </c>
      <c r="O17" s="181">
        <f>'Salary Record'!G106</f>
        <v>0</v>
      </c>
      <c r="P17" s="183">
        <f>'Salary Record'!G107</f>
        <v>35000</v>
      </c>
      <c r="Q17" s="187">
        <f>'Salary Record'!K107</f>
        <v>41000</v>
      </c>
      <c r="R17" s="122"/>
      <c r="S17" s="122">
        <f>Q14+Q15+Q17+Q38</f>
        <v>126774.19354838709</v>
      </c>
      <c r="T17" s="124"/>
      <c r="U17" s="122"/>
    </row>
    <row r="18" spans="1:22" s="123" customFormat="1" ht="15.75" x14ac:dyDescent="0.2">
      <c r="A18" s="213">
        <v>5</v>
      </c>
      <c r="B18" s="319" t="str">
        <f>'Salary Record'!C25</f>
        <v>Mossi</v>
      </c>
      <c r="C18" s="131"/>
      <c r="D18" s="132"/>
      <c r="E18" s="67">
        <f>'Salary Record'!K24</f>
        <v>5000</v>
      </c>
      <c r="F18" s="67">
        <f>'Salary Record'!C30</f>
        <v>0</v>
      </c>
      <c r="G18" s="184">
        <f>'Salary Record'!C31</f>
        <v>0</v>
      </c>
      <c r="H18" s="67"/>
      <c r="I18" s="67">
        <f>'Salary Record'!I28</f>
        <v>0</v>
      </c>
      <c r="J18" s="67"/>
      <c r="K18" s="67">
        <f>'Salary Record'!K30</f>
        <v>5000</v>
      </c>
      <c r="L18" s="182">
        <f>'Salary Record'!G28</f>
        <v>0</v>
      </c>
      <c r="M18" s="182">
        <f>'Salary Record'!G29</f>
        <v>0</v>
      </c>
      <c r="N18" s="183">
        <f>'Salary Record'!G30</f>
        <v>0</v>
      </c>
      <c r="O18" s="182">
        <f>'Salary Record'!G31</f>
        <v>0</v>
      </c>
      <c r="P18" s="183">
        <f>'Salary Record'!G32</f>
        <v>0</v>
      </c>
      <c r="Q18" s="187">
        <v>5000</v>
      </c>
      <c r="R18" s="122"/>
      <c r="T18" s="124"/>
    </row>
    <row r="19" spans="1:22" s="123" customFormat="1" ht="15.75" x14ac:dyDescent="0.2">
      <c r="A19" s="212">
        <v>6</v>
      </c>
      <c r="B19" s="319" t="str">
        <f>'Salary Record'!C40</f>
        <v>Umer Farooq</v>
      </c>
      <c r="C19" s="126"/>
      <c r="D19" s="127"/>
      <c r="E19" s="67">
        <f>'Salary Record'!K39</f>
        <v>18000</v>
      </c>
      <c r="F19" s="67">
        <f>'Salary Record'!C45</f>
        <v>0</v>
      </c>
      <c r="G19" s="184">
        <f>'Salary Record'!C46</f>
        <v>0</v>
      </c>
      <c r="H19" s="67">
        <f>'Salary Record'!I44</f>
        <v>0</v>
      </c>
      <c r="I19" s="67">
        <f>'Salary Record'!I43</f>
        <v>31</v>
      </c>
      <c r="J19" s="193">
        <f>'Salary Record'!K44</f>
        <v>0</v>
      </c>
      <c r="K19" s="193">
        <f>'Salary Record'!K45</f>
        <v>18000</v>
      </c>
      <c r="L19" s="194">
        <f>'Salary Record'!G43</f>
        <v>0</v>
      </c>
      <c r="M19" s="194">
        <f>'Salary Record'!G44</f>
        <v>0</v>
      </c>
      <c r="N19" s="195">
        <f>'Salary Record'!G45</f>
        <v>0</v>
      </c>
      <c r="O19" s="194">
        <f>'Salary Record'!G46</f>
        <v>0</v>
      </c>
      <c r="P19" s="195">
        <f>'Salary Record'!G47</f>
        <v>0</v>
      </c>
      <c r="Q19" s="196">
        <f>'Salary Record'!K47</f>
        <v>18000</v>
      </c>
      <c r="R19" s="122"/>
      <c r="S19" s="122"/>
      <c r="T19" s="124"/>
    </row>
    <row r="20" spans="1:22" s="208" customFormat="1" ht="21" x14ac:dyDescent="0.3">
      <c r="A20" s="358" t="s">
        <v>2</v>
      </c>
      <c r="B20" s="359"/>
      <c r="C20" s="232"/>
      <c r="D20" s="232"/>
      <c r="E20" s="234">
        <f>SUM(E14:E19)</f>
        <v>266000</v>
      </c>
      <c r="F20" s="232"/>
      <c r="G20" s="232"/>
      <c r="H20" s="232"/>
      <c r="I20" s="232"/>
      <c r="J20" s="233">
        <f>SUM(J15:J19)</f>
        <v>1516.1290322580646</v>
      </c>
      <c r="K20" s="233">
        <f>SUM(K14:K19)</f>
        <v>187516.12903225806</v>
      </c>
      <c r="L20" s="233"/>
      <c r="M20" s="232"/>
      <c r="N20" s="232"/>
      <c r="O20" s="232"/>
      <c r="P20" s="232"/>
      <c r="Q20" s="234">
        <f>SUM(Q14:Q19)</f>
        <v>187516.12903225806</v>
      </c>
      <c r="R20" s="207"/>
      <c r="S20" s="230"/>
      <c r="T20" s="209"/>
    </row>
    <row r="21" spans="1:22" s="208" customFormat="1" ht="2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9"/>
      <c r="R21" s="230"/>
      <c r="T21" s="231"/>
    </row>
    <row r="22" spans="1:22" s="160" customFormat="1" ht="21" customHeight="1" x14ac:dyDescent="0.2">
      <c r="A22" s="355" t="s">
        <v>91</v>
      </c>
      <c r="B22" s="356"/>
      <c r="C22" s="356"/>
      <c r="D22" s="356"/>
      <c r="E22" s="356"/>
      <c r="F22" s="356"/>
      <c r="G22" s="356"/>
      <c r="H22" s="356"/>
      <c r="I22" s="356"/>
      <c r="J22" s="356"/>
      <c r="K22" s="356"/>
      <c r="L22" s="356"/>
      <c r="M22" s="356"/>
      <c r="N22" s="356"/>
      <c r="O22" s="356"/>
      <c r="P22" s="356"/>
      <c r="Q22" s="357"/>
      <c r="R22" s="159"/>
      <c r="S22" s="165"/>
      <c r="T22" s="161"/>
    </row>
    <row r="23" spans="1:22" s="325" customFormat="1" ht="20.25" customHeight="1" x14ac:dyDescent="0.2">
      <c r="A23" s="213">
        <v>1</v>
      </c>
      <c r="B23" s="339" t="str">
        <f>'Salary Record'!C475</f>
        <v>Khizer Mujeeb</v>
      </c>
      <c r="C23" s="133"/>
      <c r="D23" s="134"/>
      <c r="E23" s="199">
        <f>'Salary Record'!K474</f>
        <v>31500</v>
      </c>
      <c r="F23" s="199">
        <f>'Salary Record'!C480</f>
        <v>0</v>
      </c>
      <c r="G23" s="200">
        <f>'Salary Record'!C481</f>
        <v>0</v>
      </c>
      <c r="H23" s="199">
        <f>'Salary Record'!I479</f>
        <v>28</v>
      </c>
      <c r="I23" s="199">
        <f>'Salary Record'!I478</f>
        <v>31</v>
      </c>
      <c r="J23" s="173">
        <f>'Salary Record'!K479</f>
        <v>3556.4516129032259</v>
      </c>
      <c r="K23" s="199">
        <f>'Salary Record'!K480</f>
        <v>35056.451612903227</v>
      </c>
      <c r="L23" s="174">
        <f>'Salary Record'!G478</f>
        <v>0</v>
      </c>
      <c r="M23" s="175">
        <f>'Salary Record'!G479</f>
        <v>0</v>
      </c>
      <c r="N23" s="176">
        <f>'Salary Record'!G480</f>
        <v>0</v>
      </c>
      <c r="O23" s="175">
        <f>'Salary Record'!G481</f>
        <v>0</v>
      </c>
      <c r="P23" s="176">
        <f>'Salary Record'!G482</f>
        <v>0</v>
      </c>
      <c r="Q23" s="225">
        <f>'Salary Record'!K482</f>
        <v>35056.451612903227</v>
      </c>
      <c r="R23" s="324" t="s">
        <v>126</v>
      </c>
      <c r="T23" s="326"/>
    </row>
    <row r="24" spans="1:22" s="336" customFormat="1" ht="20.25" customHeight="1" x14ac:dyDescent="0.2">
      <c r="A24" s="327">
        <v>2</v>
      </c>
      <c r="B24" s="177" t="str">
        <f>'Salary Record'!C445</f>
        <v>Hassan Khan</v>
      </c>
      <c r="C24" s="59"/>
      <c r="D24" s="54"/>
      <c r="E24" s="328">
        <f>'Salary Record'!K444</f>
        <v>26500</v>
      </c>
      <c r="F24" s="328">
        <f>'Salary Record'!C450</f>
        <v>0</v>
      </c>
      <c r="G24" s="329">
        <f>'Salary Record'!C451</f>
        <v>0</v>
      </c>
      <c r="H24" s="328">
        <f>'Salary Record'!I449</f>
        <v>71</v>
      </c>
      <c r="I24" s="328">
        <f>'Salary Record'!I448</f>
        <v>31</v>
      </c>
      <c r="J24" s="329">
        <f>'Salary Record'!K449</f>
        <v>7586.6935483870975</v>
      </c>
      <c r="K24" s="330">
        <f>'Salary Record'!K450</f>
        <v>34086.693548387098</v>
      </c>
      <c r="L24" s="245">
        <f>'Salary Record'!G448</f>
        <v>0</v>
      </c>
      <c r="M24" s="331">
        <f>'Salary Record'!G449</f>
        <v>0</v>
      </c>
      <c r="N24" s="332">
        <f>'Salary Record'!G450</f>
        <v>0</v>
      </c>
      <c r="O24" s="331">
        <f>'Salary Record'!G451</f>
        <v>0</v>
      </c>
      <c r="P24" s="332">
        <f>'Salary Record'!G452</f>
        <v>0</v>
      </c>
      <c r="Q24" s="185">
        <f>'Salary Record'!K452</f>
        <v>34086.693548387098</v>
      </c>
      <c r="R24" s="333"/>
      <c r="S24" s="334">
        <f>65000+Q27+30000</f>
        <v>232098.79032258067</v>
      </c>
      <c r="T24" s="335"/>
    </row>
    <row r="25" spans="1:22" s="337" customFormat="1" ht="21" customHeight="1" x14ac:dyDescent="0.2">
      <c r="A25" s="213">
        <v>3</v>
      </c>
      <c r="B25" s="177" t="str">
        <f>'Salary Record'!C460</f>
        <v>Noor Islam</v>
      </c>
      <c r="C25" s="148"/>
      <c r="D25" s="149"/>
      <c r="E25" s="67">
        <f>'Salary Record'!K459</f>
        <v>32000</v>
      </c>
      <c r="F25" s="67">
        <f>'Salary Record'!C465</f>
        <v>0</v>
      </c>
      <c r="G25" s="184">
        <f>'Salary Record'!C466</f>
        <v>0</v>
      </c>
      <c r="H25" s="67">
        <f>'Salary Record'!I464</f>
        <v>12</v>
      </c>
      <c r="I25" s="67">
        <f>'Salary Record'!I463</f>
        <v>31</v>
      </c>
      <c r="J25" s="184">
        <f>'Salary Record'!K464</f>
        <v>1548.3870967741937</v>
      </c>
      <c r="K25" s="180">
        <f>'Salary Record'!K465</f>
        <v>33548.387096774197</v>
      </c>
      <c r="L25" s="181">
        <f>'Salary Record'!G463</f>
        <v>0</v>
      </c>
      <c r="M25" s="182">
        <f>'Salary Record'!G464</f>
        <v>0</v>
      </c>
      <c r="N25" s="183">
        <f>'Salary Record'!G465</f>
        <v>0</v>
      </c>
      <c r="O25" s="182">
        <f>'Salary Record'!G466</f>
        <v>0</v>
      </c>
      <c r="P25" s="183">
        <f>'Salary Record'!G467</f>
        <v>0</v>
      </c>
      <c r="Q25" s="185">
        <f>'Salary Record'!K467</f>
        <v>33548.387096774197</v>
      </c>
      <c r="R25" s="324"/>
      <c r="T25" s="338"/>
    </row>
    <row r="26" spans="1:22" s="337" customFormat="1" ht="20.25" customHeight="1" x14ac:dyDescent="0.2">
      <c r="A26" s="327">
        <v>4</v>
      </c>
      <c r="B26" s="340" t="str">
        <f>'Salary Record'!C430</f>
        <v>Junaid</v>
      </c>
      <c r="C26" s="135"/>
      <c r="D26" s="136"/>
      <c r="E26" s="181">
        <f>'Salary Record'!K429</f>
        <v>26500</v>
      </c>
      <c r="F26" s="67">
        <f>'Salary Record'!C435</f>
        <v>0</v>
      </c>
      <c r="G26" s="246">
        <f>'Salary Record'!C436</f>
        <v>0</v>
      </c>
      <c r="H26" s="67">
        <f>'Salary Record'!I434</f>
        <v>74</v>
      </c>
      <c r="I26" s="181">
        <f>'Salary Record'!I433</f>
        <v>31</v>
      </c>
      <c r="J26" s="180">
        <f>'Salary Record'!K434</f>
        <v>7907.2580645161297</v>
      </c>
      <c r="K26" s="67">
        <f>'Salary Record'!K435</f>
        <v>34407.258064516129</v>
      </c>
      <c r="L26" s="181">
        <f>'Salary Record'!G433</f>
        <v>0</v>
      </c>
      <c r="M26" s="181">
        <f>'Salary Record'!G434</f>
        <v>0</v>
      </c>
      <c r="N26" s="183">
        <f>'Salary Record'!G435</f>
        <v>0</v>
      </c>
      <c r="O26" s="181">
        <f>'Salary Record'!G436</f>
        <v>0</v>
      </c>
      <c r="P26" s="183">
        <f>'Salary Record'!G437</f>
        <v>0</v>
      </c>
      <c r="Q26" s="185">
        <f>'Salary Record'!K437</f>
        <v>34407.258064516129</v>
      </c>
      <c r="R26" s="324"/>
      <c r="T26" s="338"/>
      <c r="V26" s="324"/>
    </row>
    <row r="27" spans="1:22" s="208" customFormat="1" ht="21" x14ac:dyDescent="0.3">
      <c r="A27" s="358" t="s">
        <v>2</v>
      </c>
      <c r="B27" s="359"/>
      <c r="C27" s="232"/>
      <c r="D27" s="232"/>
      <c r="E27" s="234">
        <f>SUM(E23:E26)</f>
        <v>116500</v>
      </c>
      <c r="F27" s="232"/>
      <c r="G27" s="232"/>
      <c r="H27" s="232"/>
      <c r="I27" s="232"/>
      <c r="J27" s="243">
        <f>SUM(J23:J26)</f>
        <v>20598.790322580648</v>
      </c>
      <c r="K27" s="243">
        <f>SUM(K23:K26)</f>
        <v>137098.79032258067</v>
      </c>
      <c r="L27" s="232"/>
      <c r="M27" s="232"/>
      <c r="N27" s="232"/>
      <c r="O27" s="232"/>
      <c r="P27" s="232"/>
      <c r="Q27" s="206">
        <f>SUM(Q23:Q26)</f>
        <v>137098.79032258067</v>
      </c>
      <c r="R27" s="207"/>
      <c r="S27" s="230"/>
      <c r="T27" s="209"/>
    </row>
    <row r="28" spans="1:22" s="208" customFormat="1" ht="21" x14ac:dyDescent="0.3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9"/>
      <c r="R28" s="230"/>
      <c r="T28" s="231"/>
    </row>
    <row r="29" spans="1:22" s="163" customFormat="1" ht="21" customHeight="1" x14ac:dyDescent="0.2">
      <c r="A29" s="363" t="s">
        <v>90</v>
      </c>
      <c r="B29" s="36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5"/>
      <c r="R29" s="250"/>
      <c r="T29" s="164"/>
    </row>
    <row r="30" spans="1:22" s="123" customFormat="1" ht="21" customHeight="1" x14ac:dyDescent="0.2">
      <c r="A30" s="212">
        <v>1</v>
      </c>
      <c r="B30" s="320" t="str">
        <f>'Salary Record'!C520</f>
        <v>Ahsan Razak</v>
      </c>
      <c r="C30" s="139"/>
      <c r="D30" s="140"/>
      <c r="E30" s="67">
        <f>'Salary Record'!K519</f>
        <v>29500</v>
      </c>
      <c r="F30" s="67">
        <f>'Salary Record'!C525</f>
        <v>0</v>
      </c>
      <c r="G30" s="184">
        <f>'Salary Record'!C526</f>
        <v>0</v>
      </c>
      <c r="H30" s="67">
        <f>'Salary Record'!I524</f>
        <v>36</v>
      </c>
      <c r="I30" s="67">
        <f>'Salary Record'!I523</f>
        <v>31</v>
      </c>
      <c r="J30" s="184">
        <f>'Salary Record'!K524</f>
        <v>4282.2580645161288</v>
      </c>
      <c r="K30" s="184">
        <f>'Salary Record'!K525</f>
        <v>33782.258064516129</v>
      </c>
      <c r="L30" s="203">
        <f>'Salary Record'!G523</f>
        <v>0</v>
      </c>
      <c r="M30" s="67">
        <f>'Salary Record'!G524</f>
        <v>0</v>
      </c>
      <c r="N30" s="198">
        <f>'Salary Record'!G525</f>
        <v>0</v>
      </c>
      <c r="O30" s="67">
        <f>'Salary Record'!G526</f>
        <v>0</v>
      </c>
      <c r="P30" s="198">
        <f>'Salary Record'!G527</f>
        <v>0</v>
      </c>
      <c r="Q30" s="185">
        <f>'Salary Record'!K527</f>
        <v>33782.258064516129</v>
      </c>
      <c r="R30" s="122" t="s">
        <v>126</v>
      </c>
      <c r="S30" s="122"/>
      <c r="T30" s="130"/>
    </row>
    <row r="31" spans="1:22" s="123" customFormat="1" ht="21" customHeight="1" x14ac:dyDescent="0.2">
      <c r="A31" s="212">
        <v>2</v>
      </c>
      <c r="B31" s="320" t="str">
        <f>'Salary Record'!C490</f>
        <v>Suleman Dilawer</v>
      </c>
      <c r="C31" s="137"/>
      <c r="D31" s="138"/>
      <c r="E31" s="67">
        <f>'Salary Record'!K489</f>
        <v>30000</v>
      </c>
      <c r="F31" s="67">
        <f>'Salary Record'!C495</f>
        <v>0</v>
      </c>
      <c r="G31" s="184">
        <f>'Salary Record'!C496</f>
        <v>0</v>
      </c>
      <c r="H31" s="67">
        <f>'Salary Record'!I494</f>
        <v>56</v>
      </c>
      <c r="I31" s="67">
        <f>'Salary Record'!I493</f>
        <v>31</v>
      </c>
      <c r="J31" s="180">
        <f>'Salary Record'!K494</f>
        <v>6774.1935483870966</v>
      </c>
      <c r="K31" s="180">
        <f>'Salary Record'!K495</f>
        <v>36774.193548387098</v>
      </c>
      <c r="L31" s="181">
        <f>'Salary Record'!G493</f>
        <v>55000</v>
      </c>
      <c r="M31" s="182">
        <f>'Salary Record'!G494</f>
        <v>0</v>
      </c>
      <c r="N31" s="183">
        <f>'Salary Record'!G495</f>
        <v>55000</v>
      </c>
      <c r="O31" s="182">
        <f>'Salary Record'!G496</f>
        <v>0</v>
      </c>
      <c r="P31" s="183">
        <f>'Salary Record'!G497</f>
        <v>55000</v>
      </c>
      <c r="Q31" s="185">
        <f>'Salary Record'!K497</f>
        <v>36774.193548387098</v>
      </c>
      <c r="R31" s="122"/>
      <c r="S31" s="122"/>
      <c r="T31" s="124"/>
    </row>
    <row r="32" spans="1:22" s="123" customFormat="1" ht="21" customHeight="1" x14ac:dyDescent="0.2">
      <c r="A32" s="212">
        <v>3</v>
      </c>
      <c r="B32" s="320" t="str">
        <f>'Salary Record'!C505</f>
        <v>Mumtaz Ali Chakar</v>
      </c>
      <c r="C32" s="137"/>
      <c r="D32" s="138"/>
      <c r="E32" s="202">
        <f>'Salary Record'!K504</f>
        <v>37500</v>
      </c>
      <c r="F32" s="202">
        <f>'Salary Record'!C510</f>
        <v>0</v>
      </c>
      <c r="G32" s="180">
        <f>'Salary Record'!C511</f>
        <v>0</v>
      </c>
      <c r="H32" s="202">
        <f>'Salary Record'!I509</f>
        <v>8</v>
      </c>
      <c r="I32" s="202">
        <f>'Salary Record'!I508</f>
        <v>31</v>
      </c>
      <c r="J32" s="180">
        <f>'Salary Record'!K509</f>
        <v>1209.6774193548388</v>
      </c>
      <c r="K32" s="67">
        <f>'Salary Record'!K510</f>
        <v>38709.677419354841</v>
      </c>
      <c r="L32" s="181">
        <f>'Salary Record'!G508</f>
        <v>0</v>
      </c>
      <c r="M32" s="182">
        <f>'Salary Record'!G509</f>
        <v>0</v>
      </c>
      <c r="N32" s="183">
        <f>'Salary Record'!G510</f>
        <v>0</v>
      </c>
      <c r="O32" s="182">
        <f>'Salary Record'!G511</f>
        <v>0</v>
      </c>
      <c r="P32" s="183">
        <f>'Salary Record'!G512</f>
        <v>0</v>
      </c>
      <c r="Q32" s="185">
        <f>'Salary Record'!K512</f>
        <v>38709.677419354841</v>
      </c>
      <c r="R32" s="122"/>
      <c r="S32" s="122"/>
      <c r="T32" s="124"/>
    </row>
    <row r="33" spans="1:24" ht="15.75" x14ac:dyDescent="0.25">
      <c r="A33" s="212">
        <v>4</v>
      </c>
      <c r="B33" s="320" t="str">
        <f>'Salary Record'!C535</f>
        <v>Sufyan</v>
      </c>
      <c r="C33" s="62"/>
      <c r="D33" s="52"/>
      <c r="E33" s="9">
        <f>'Salary Record'!K534</f>
        <v>25000</v>
      </c>
      <c r="F33" s="9">
        <f>'Salary Record'!C540</f>
        <v>0</v>
      </c>
      <c r="G33" s="18">
        <f>'Salary Record'!C541</f>
        <v>0</v>
      </c>
      <c r="H33" s="9">
        <f>'Salary Record'!I539</f>
        <v>56</v>
      </c>
      <c r="I33" s="9">
        <f>'Salary Record'!I538</f>
        <v>31</v>
      </c>
      <c r="J33" s="13">
        <f>'Salary Record'!K539</f>
        <v>5645.1612903225814</v>
      </c>
      <c r="K33" s="13">
        <f>'Salary Record'!K540</f>
        <v>30645.161290322583</v>
      </c>
      <c r="L33" s="9">
        <f>'Salary Record'!G538</f>
        <v>27000</v>
      </c>
      <c r="M33" s="9">
        <f>'Salary Record'!G539</f>
        <v>0</v>
      </c>
      <c r="N33" s="15">
        <f>'Salary Record'!G540</f>
        <v>27000</v>
      </c>
      <c r="O33" s="9">
        <f>'Salary Record'!G541</f>
        <v>0</v>
      </c>
      <c r="P33" s="15">
        <f>'Salary Record'!G542</f>
        <v>27000</v>
      </c>
      <c r="Q33" s="91">
        <f>'Salary Record'!K542</f>
        <v>30645.161290322583</v>
      </c>
      <c r="R33" s="80"/>
      <c r="S33" s="122"/>
    </row>
    <row r="34" spans="1:24" s="208" customFormat="1" ht="21" x14ac:dyDescent="0.3">
      <c r="A34" s="358" t="s">
        <v>2</v>
      </c>
      <c r="B34" s="359"/>
      <c r="C34" s="232"/>
      <c r="D34" s="232"/>
      <c r="E34" s="234">
        <f>SUM(E30:E33)</f>
        <v>122000</v>
      </c>
      <c r="F34" s="232"/>
      <c r="G34" s="232"/>
      <c r="H34" s="232"/>
      <c r="I34" s="232"/>
      <c r="J34" s="234">
        <f>SUM(J30:J33)</f>
        <v>17911.290322580644</v>
      </c>
      <c r="K34" s="234">
        <f>SUM(K30:K33)</f>
        <v>139911.29032258064</v>
      </c>
      <c r="L34" s="232"/>
      <c r="M34" s="232"/>
      <c r="N34" s="232"/>
      <c r="O34" s="232"/>
      <c r="P34" s="232"/>
      <c r="Q34" s="206">
        <f>SUM(Q30:Q33)</f>
        <v>139911.29032258064</v>
      </c>
      <c r="R34" s="207"/>
      <c r="S34" s="230"/>
      <c r="T34" s="209"/>
    </row>
    <row r="35" spans="1:24" s="208" customFormat="1" ht="21" x14ac:dyDescent="0.3">
      <c r="A35" s="228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  <c r="R35" s="230"/>
      <c r="T35" s="231"/>
    </row>
    <row r="36" spans="1:24" s="169" customFormat="1" ht="21" customHeight="1" x14ac:dyDescent="0.2">
      <c r="A36" s="360" t="s">
        <v>33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2"/>
      <c r="R36" s="166"/>
      <c r="S36" s="167"/>
      <c r="T36" s="168"/>
    </row>
    <row r="37" spans="1:24" s="123" customFormat="1" ht="21" customHeight="1" x14ac:dyDescent="0.2">
      <c r="A37" s="213">
        <v>1</v>
      </c>
      <c r="B37" s="319" t="s">
        <v>5</v>
      </c>
      <c r="C37" s="141"/>
      <c r="D37" s="142"/>
      <c r="E37" s="184">
        <f>'Salary Record'!K159</f>
        <v>60000</v>
      </c>
      <c r="F37" s="184">
        <f>'Salary Record'!C165</f>
        <v>0</v>
      </c>
      <c r="G37" s="184">
        <f>'Salary Record'!C166</f>
        <v>0</v>
      </c>
      <c r="H37" s="184">
        <f>'Salary Record'!I164</f>
        <v>12</v>
      </c>
      <c r="I37" s="184">
        <f>'Salary Record'!I163</f>
        <v>31</v>
      </c>
      <c r="J37" s="321">
        <f>'Salary Record'!K164</f>
        <v>2903.2258064516127</v>
      </c>
      <c r="K37" s="180">
        <f>'Salary Record'!K165</f>
        <v>62903.225806451614</v>
      </c>
      <c r="L37" s="181">
        <f>'Salary Record'!G163</f>
        <v>48200</v>
      </c>
      <c r="M37" s="182">
        <f>'Salary Record'!G164</f>
        <v>0</v>
      </c>
      <c r="N37" s="183">
        <f>'Salary Record'!G165</f>
        <v>48200</v>
      </c>
      <c r="O37" s="182">
        <f>'Salary Record'!G166</f>
        <v>0</v>
      </c>
      <c r="P37" s="183">
        <f>'Salary Record'!G167</f>
        <v>48200</v>
      </c>
      <c r="Q37" s="185">
        <f>'Salary Record'!K167</f>
        <v>62903.225806451614</v>
      </c>
      <c r="R37" s="122" t="s">
        <v>112</v>
      </c>
      <c r="S37" s="124"/>
      <c r="T37" s="124"/>
      <c r="U37" s="122"/>
    </row>
    <row r="38" spans="1:24" s="123" customFormat="1" ht="21" customHeight="1" x14ac:dyDescent="0.2">
      <c r="A38" s="213">
        <v>2</v>
      </c>
      <c r="B38" s="319" t="s">
        <v>22</v>
      </c>
      <c r="C38" s="143"/>
      <c r="D38" s="140"/>
      <c r="E38" s="67">
        <f>'Salary Record'!K129</f>
        <v>35000</v>
      </c>
      <c r="F38" s="67">
        <f>'Salary Record'!C135</f>
        <v>0</v>
      </c>
      <c r="G38" s="184">
        <f>'Salary Record'!C136</f>
        <v>0</v>
      </c>
      <c r="H38" s="67">
        <f>'Salary Record'!I134</f>
        <v>16</v>
      </c>
      <c r="I38" s="67">
        <f>'Salary Record'!I133</f>
        <v>31</v>
      </c>
      <c r="J38" s="180">
        <f>'Salary Record'!K134</f>
        <v>2258.0645161290322</v>
      </c>
      <c r="K38" s="67">
        <f>'Salary Record'!K135</f>
        <v>37258.06451612903</v>
      </c>
      <c r="L38" s="181">
        <f>'Salary Record'!G133</f>
        <v>0</v>
      </c>
      <c r="M38" s="182">
        <f>'Salary Record'!G134</f>
        <v>0</v>
      </c>
      <c r="N38" s="183">
        <f>'Salary Record'!G135</f>
        <v>0</v>
      </c>
      <c r="O38" s="182">
        <f>'Salary Record'!G136</f>
        <v>0</v>
      </c>
      <c r="P38" s="183">
        <f>'Salary Record'!G137</f>
        <v>0</v>
      </c>
      <c r="Q38" s="185">
        <f>'Salary Record'!K137</f>
        <v>37258.06451612903</v>
      </c>
      <c r="R38" s="122" t="s">
        <v>116</v>
      </c>
      <c r="S38" s="122" t="s">
        <v>117</v>
      </c>
      <c r="T38" s="124"/>
      <c r="U38" s="122"/>
    </row>
    <row r="39" spans="1:24" s="123" customFormat="1" ht="21" customHeight="1" x14ac:dyDescent="0.2">
      <c r="A39" s="213">
        <v>3</v>
      </c>
      <c r="B39" s="347" t="s">
        <v>4</v>
      </c>
      <c r="C39" s="135"/>
      <c r="D39" s="136"/>
      <c r="E39" s="184">
        <f>'Salary Record'!K564</f>
        <v>35000</v>
      </c>
      <c r="F39" s="184">
        <f>'Salary Record'!C570</f>
        <v>0</v>
      </c>
      <c r="G39" s="184">
        <f>'Salary Record'!C571</f>
        <v>0</v>
      </c>
      <c r="H39" s="184">
        <f>'Salary Record'!I569</f>
        <v>51</v>
      </c>
      <c r="I39" s="184">
        <f>'Salary Record'!I568</f>
        <v>31</v>
      </c>
      <c r="J39" s="321">
        <f>'Salary Record'!K569</f>
        <v>7197.5806451612898</v>
      </c>
      <c r="K39" s="67">
        <f>'Salary Record'!K570</f>
        <v>42197.580645161288</v>
      </c>
      <c r="L39" s="181">
        <f>'Salary Record'!G568</f>
        <v>5000</v>
      </c>
      <c r="M39" s="182">
        <f>'Salary Record'!G569</f>
        <v>0</v>
      </c>
      <c r="N39" s="183">
        <f>'Salary Record'!G570</f>
        <v>5000</v>
      </c>
      <c r="O39" s="182">
        <f>'Salary Record'!G571</f>
        <v>0</v>
      </c>
      <c r="P39" s="183">
        <f>'Salary Record'!G572</f>
        <v>5000</v>
      </c>
      <c r="Q39" s="185">
        <f>'Salary Record'!K572</f>
        <v>42197.580645161288</v>
      </c>
      <c r="R39" s="122" t="s">
        <v>113</v>
      </c>
      <c r="S39" s="123" t="s">
        <v>114</v>
      </c>
      <c r="T39" s="124"/>
      <c r="U39" s="122"/>
      <c r="V39" s="122"/>
    </row>
    <row r="40" spans="1:24" s="123" customFormat="1" ht="21" customHeight="1" x14ac:dyDescent="0.2">
      <c r="A40" s="213">
        <v>4</v>
      </c>
      <c r="B40" s="345" t="str">
        <f>'Salary Record'!C175</f>
        <v>Amjad Ustad</v>
      </c>
      <c r="C40" s="137"/>
      <c r="D40" s="138"/>
      <c r="E40" s="245">
        <f>'Salary Record'!K174</f>
        <v>50000</v>
      </c>
      <c r="F40" s="181">
        <f>'Salary Record'!C180</f>
        <v>0</v>
      </c>
      <c r="G40" s="186">
        <f>'Salary Record'!C181</f>
        <v>0</v>
      </c>
      <c r="H40" s="181">
        <f>'Salary Record'!I179</f>
        <v>0</v>
      </c>
      <c r="I40" s="181">
        <f>'Salary Record'!I178</f>
        <v>33</v>
      </c>
      <c r="J40" s="180">
        <f>'Salary Record'!K179</f>
        <v>0</v>
      </c>
      <c r="K40" s="180">
        <f>'Salary Record'!K180</f>
        <v>53225.806451612909</v>
      </c>
      <c r="L40" s="181">
        <f>'Salary Record'!G178</f>
        <v>72000</v>
      </c>
      <c r="M40" s="181">
        <f>'Salary Record'!G179</f>
        <v>0</v>
      </c>
      <c r="N40" s="183">
        <f>'Salary Record'!G180</f>
        <v>72000</v>
      </c>
      <c r="O40" s="181">
        <f>'Salary Record'!G181</f>
        <v>0</v>
      </c>
      <c r="P40" s="183">
        <f>'Salary Record'!G182</f>
        <v>72000</v>
      </c>
      <c r="Q40" s="185">
        <f>'Salary Record'!K182</f>
        <v>53225.806451612909</v>
      </c>
      <c r="R40" s="122" t="s">
        <v>145</v>
      </c>
      <c r="S40" s="122"/>
      <c r="T40" s="124"/>
      <c r="U40" s="122"/>
    </row>
    <row r="41" spans="1:24" s="123" customFormat="1" ht="21" customHeight="1" x14ac:dyDescent="0.2">
      <c r="A41" s="213">
        <v>5</v>
      </c>
      <c r="B41" s="345" t="str">
        <f>'Salary Record'!C611</f>
        <v>Nadeem Painter</v>
      </c>
      <c r="C41" s="151"/>
      <c r="D41" s="152"/>
      <c r="E41" s="205">
        <f>'Salary Record'!K610</f>
        <v>30000</v>
      </c>
      <c r="F41" s="205">
        <f>'Salary Record'!C616</f>
        <v>0</v>
      </c>
      <c r="G41" s="184">
        <f>'Salary Record'!C617</f>
        <v>0</v>
      </c>
      <c r="H41" s="205">
        <f>'Salary Record'!I615</f>
        <v>11</v>
      </c>
      <c r="I41" s="205">
        <f>'Salary Record'!I614</f>
        <v>31</v>
      </c>
      <c r="J41" s="180">
        <f>'Salary Record'!K615</f>
        <v>1330.6451612903227</v>
      </c>
      <c r="K41" s="180">
        <f>'Salary Record'!K616</f>
        <v>31330.645161290322</v>
      </c>
      <c r="L41" s="181">
        <f>'Salary Record'!G614</f>
        <v>0</v>
      </c>
      <c r="M41" s="182">
        <f>'Salary Record'!G615</f>
        <v>0</v>
      </c>
      <c r="N41" s="183">
        <f>'Salary Record'!G616</f>
        <v>0</v>
      </c>
      <c r="O41" s="182">
        <f>'Salary Record'!G617</f>
        <v>0</v>
      </c>
      <c r="P41" s="183">
        <f>'Salary Record'!G618</f>
        <v>0</v>
      </c>
      <c r="Q41" s="187">
        <f>'Salary Record'!K618</f>
        <v>31330.645161290322</v>
      </c>
      <c r="R41" s="122"/>
      <c r="T41" s="124"/>
    </row>
    <row r="42" spans="1:24" s="123" customFormat="1" ht="21" customHeight="1" x14ac:dyDescent="0.2">
      <c r="A42" s="213">
        <v>6</v>
      </c>
      <c r="B42" s="348" t="str">
        <f>'Salary Record'!C642</f>
        <v>Khushnood</v>
      </c>
      <c r="C42" s="139"/>
      <c r="D42" s="140"/>
      <c r="E42" s="205">
        <f>'Salary Record'!K641</f>
        <v>45000</v>
      </c>
      <c r="F42" s="67">
        <f>'Salary Record'!C647</f>
        <v>0</v>
      </c>
      <c r="G42" s="184">
        <f>'Salary Record'!C648</f>
        <v>0</v>
      </c>
      <c r="H42" s="67">
        <f>'Salary Record'!I646</f>
        <v>19</v>
      </c>
      <c r="I42" s="67">
        <f>'Salary Record'!I645</f>
        <v>31</v>
      </c>
      <c r="J42" s="184">
        <f>'Salary Record'!K646</f>
        <v>3447.5806451612902</v>
      </c>
      <c r="K42" s="184">
        <f>'Salary Record'!K647</f>
        <v>48447.580645161288</v>
      </c>
      <c r="L42" s="203">
        <f>'Salary Record'!G645</f>
        <v>4000</v>
      </c>
      <c r="M42" s="67">
        <f>'Salary Record'!G646</f>
        <v>0</v>
      </c>
      <c r="N42" s="198">
        <f>'Salary Record'!G647</f>
        <v>4000</v>
      </c>
      <c r="O42" s="67">
        <f>'Salary Record'!G648</f>
        <v>0</v>
      </c>
      <c r="P42" s="198">
        <f>'Salary Record'!G649</f>
        <v>4000</v>
      </c>
      <c r="Q42" s="185">
        <f>'Salary Record'!K649</f>
        <v>48447.580645161288</v>
      </c>
      <c r="R42" s="122"/>
      <c r="S42" s="122"/>
      <c r="T42" s="124"/>
      <c r="U42" s="122"/>
    </row>
    <row r="43" spans="1:24" ht="15.75" x14ac:dyDescent="0.25">
      <c r="A43" s="213">
        <v>7</v>
      </c>
      <c r="B43" s="344" t="str">
        <f>'Salary Record'!C658</f>
        <v>Fahad Fareed</v>
      </c>
      <c r="C43" s="60"/>
      <c r="D43" s="61"/>
      <c r="E43" s="9">
        <f>'Salary Record'!K657</f>
        <v>22000</v>
      </c>
      <c r="F43" s="9">
        <f>'Salary Record'!C663</f>
        <v>0</v>
      </c>
      <c r="G43" s="18">
        <f>'Salary Record'!C664</f>
        <v>0</v>
      </c>
      <c r="H43" s="9">
        <f>'Salary Record'!I662</f>
        <v>45</v>
      </c>
      <c r="I43" s="9">
        <f>'Salary Record'!I661</f>
        <v>0</v>
      </c>
      <c r="J43" s="44">
        <f>'Salary Record'!K662</f>
        <v>3991.9354838709673</v>
      </c>
      <c r="K43" s="44">
        <f>'Salary Record'!K663</f>
        <v>3991.9354838709673</v>
      </c>
      <c r="L43" s="45">
        <f>'Salary Record'!G661</f>
        <v>0</v>
      </c>
      <c r="M43" s="45">
        <f>'Salary Record'!G662</f>
        <v>0</v>
      </c>
      <c r="N43" s="46">
        <f>'Salary Record'!G663</f>
        <v>0</v>
      </c>
      <c r="O43" s="45">
        <f>'Salary Record'!G664</f>
        <v>0</v>
      </c>
      <c r="P43" s="46">
        <f>'Salary Record'!G665</f>
        <v>0</v>
      </c>
      <c r="Q43" s="74">
        <f>'Salary Record'!K665</f>
        <v>3991.9354838709673</v>
      </c>
      <c r="R43" s="80"/>
      <c r="S43" s="8"/>
      <c r="V43" s="2"/>
      <c r="W43" s="2"/>
      <c r="X43" s="2"/>
    </row>
    <row r="44" spans="1:24" s="123" customFormat="1" ht="21" customHeight="1" x14ac:dyDescent="0.2">
      <c r="A44" s="213">
        <v>8</v>
      </c>
      <c r="B44" s="319" t="str">
        <f>'Salary Record'!C205</f>
        <v>Gul Sher</v>
      </c>
      <c r="C44" s="143"/>
      <c r="D44" s="140"/>
      <c r="E44" s="181">
        <f>'Salary Record'!K204</f>
        <v>26000</v>
      </c>
      <c r="F44" s="181">
        <f>'Salary Record'!C210</f>
        <v>0</v>
      </c>
      <c r="G44" s="186">
        <f>'Salary Record'!C211</f>
        <v>0</v>
      </c>
      <c r="H44" s="181">
        <f>'Salary Record'!I209</f>
        <v>0</v>
      </c>
      <c r="I44" s="181">
        <f>'Salary Record'!I208</f>
        <v>31</v>
      </c>
      <c r="J44" s="193">
        <f>'Salary Record'!K209</f>
        <v>0</v>
      </c>
      <c r="K44" s="193">
        <f>'Salary Record'!K210</f>
        <v>26000</v>
      </c>
      <c r="L44" s="194">
        <f>'Salary Record'!G208</f>
        <v>11225</v>
      </c>
      <c r="M44" s="194">
        <f>'Salary Record'!G209</f>
        <v>0</v>
      </c>
      <c r="N44" s="204">
        <f>'Salary Record'!G210</f>
        <v>11225</v>
      </c>
      <c r="O44" s="194">
        <f>'Salary Record'!G211</f>
        <v>0</v>
      </c>
      <c r="P44" s="204">
        <f>'Salary Record'!G212</f>
        <v>11225</v>
      </c>
      <c r="Q44" s="247">
        <f>'Salary Record'!K212</f>
        <v>26000</v>
      </c>
      <c r="R44" s="122" t="s">
        <v>121</v>
      </c>
      <c r="S44" s="122" t="s">
        <v>122</v>
      </c>
      <c r="T44" s="124"/>
      <c r="U44" s="122"/>
      <c r="V44" s="124"/>
      <c r="W44" s="124"/>
      <c r="X44" s="124"/>
    </row>
    <row r="45" spans="1:24" s="208" customFormat="1" ht="21" x14ac:dyDescent="0.3">
      <c r="A45" s="358" t="s">
        <v>2</v>
      </c>
      <c r="B45" s="359"/>
      <c r="C45" s="232"/>
      <c r="D45" s="232"/>
      <c r="E45" s="234">
        <f>SUM(E37:E44)</f>
        <v>303000</v>
      </c>
      <c r="F45" s="232"/>
      <c r="G45" s="232"/>
      <c r="H45" s="232"/>
      <c r="I45" s="232"/>
      <c r="J45" s="234">
        <f>SUM(J37:J44)</f>
        <v>21129.032258064515</v>
      </c>
      <c r="K45" s="234">
        <f>SUM(K37:K44)</f>
        <v>305354.83870967745</v>
      </c>
      <c r="L45" s="232"/>
      <c r="M45" s="232"/>
      <c r="N45" s="232"/>
      <c r="O45" s="232"/>
      <c r="P45" s="232"/>
      <c r="Q45" s="206">
        <f>SUM(Q37:Q44)</f>
        <v>305354.83870967745</v>
      </c>
      <c r="R45" s="207"/>
      <c r="T45" s="209"/>
    </row>
    <row r="46" spans="1:24" s="160" customFormat="1" ht="21" customHeight="1" x14ac:dyDescent="0.2">
      <c r="A46" s="355" t="s">
        <v>88</v>
      </c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356"/>
      <c r="Q46" s="357"/>
      <c r="R46" s="170"/>
      <c r="S46" s="165"/>
      <c r="T46" s="161"/>
    </row>
    <row r="47" spans="1:24" s="123" customFormat="1" ht="21" customHeight="1" x14ac:dyDescent="0.2">
      <c r="A47" s="213">
        <v>1</v>
      </c>
      <c r="B47" s="319" t="s">
        <v>11</v>
      </c>
      <c r="C47" s="151"/>
      <c r="D47" s="152"/>
      <c r="E47" s="182">
        <f>'Salary Record'!K384</f>
        <v>25000</v>
      </c>
      <c r="F47" s="182">
        <f>'Salary Record'!C390</f>
        <v>0</v>
      </c>
      <c r="G47" s="179">
        <f>'Salary Record'!C391</f>
        <v>0</v>
      </c>
      <c r="H47" s="182">
        <f>'Salary Record'!I389</f>
        <v>14</v>
      </c>
      <c r="I47" s="182">
        <f>'Salary Record'!I388</f>
        <v>31</v>
      </c>
      <c r="J47" s="180">
        <f>'Salary Record'!K389</f>
        <v>1411.2903225806454</v>
      </c>
      <c r="K47" s="180">
        <f>'Salary Record'!K390</f>
        <v>26411.290322580644</v>
      </c>
      <c r="L47" s="181">
        <f>'Salary Record'!G388</f>
        <v>20000</v>
      </c>
      <c r="M47" s="182">
        <f>'Salary Record'!G389</f>
        <v>0</v>
      </c>
      <c r="N47" s="183">
        <f>'Salary Record'!G390</f>
        <v>20000</v>
      </c>
      <c r="O47" s="182">
        <f>'Salary Record'!G391</f>
        <v>0</v>
      </c>
      <c r="P47" s="183">
        <f>'Salary Record'!G392</f>
        <v>20000</v>
      </c>
      <c r="Q47" s="185">
        <f>'Salary Record'!K392</f>
        <v>26411.290322580644</v>
      </c>
      <c r="R47" s="122"/>
      <c r="S47" s="122"/>
      <c r="T47" s="124"/>
      <c r="U47" s="122"/>
    </row>
    <row r="48" spans="1:24" s="123" customFormat="1" ht="21" customHeight="1" x14ac:dyDescent="0.2">
      <c r="A48" s="212">
        <v>2</v>
      </c>
      <c r="B48" s="347" t="str">
        <f>'Salary Record'!C340</f>
        <v>M. Sami</v>
      </c>
      <c r="C48" s="150" t="s">
        <v>85</v>
      </c>
      <c r="D48" s="149">
        <f>Q48</f>
        <v>40221.774193548386</v>
      </c>
      <c r="E48" s="67">
        <f>'Salary Record'!K339</f>
        <v>35000</v>
      </c>
      <c r="F48" s="182">
        <f>'Salary Record'!C345</f>
        <v>31</v>
      </c>
      <c r="G48" s="184">
        <f>'Salary Record'!C346</f>
        <v>0</v>
      </c>
      <c r="H48" s="67">
        <f>'Salary Record'!I344</f>
        <v>37</v>
      </c>
      <c r="I48" s="67">
        <f>'Salary Record'!I343</f>
        <v>31</v>
      </c>
      <c r="J48" s="180">
        <f>'Salary Record'!K344</f>
        <v>5221.7741935483873</v>
      </c>
      <c r="K48" s="180">
        <f>'Salary Record'!K345</f>
        <v>40221.774193548386</v>
      </c>
      <c r="L48" s="181">
        <f>'Salary Record'!G343</f>
        <v>0</v>
      </c>
      <c r="M48" s="194">
        <f>'Salary Record'!G344</f>
        <v>0</v>
      </c>
      <c r="N48" s="195">
        <f>'Salary Record'!G345</f>
        <v>0</v>
      </c>
      <c r="O48" s="194">
        <f>'Salary Record'!G346</f>
        <v>0</v>
      </c>
      <c r="P48" s="195">
        <f>'Salary Record'!G347</f>
        <v>0</v>
      </c>
      <c r="Q48" s="247">
        <f>'Salary Record'!K347</f>
        <v>40221.774193548386</v>
      </c>
      <c r="R48" s="122"/>
      <c r="S48" s="122"/>
      <c r="T48" s="124"/>
      <c r="V48" s="122"/>
    </row>
    <row r="49" spans="1:23" s="123" customFormat="1" ht="21" customHeight="1" x14ac:dyDescent="0.2">
      <c r="A49" s="213">
        <v>3</v>
      </c>
      <c r="B49" s="319" t="str">
        <f>'Salary Record'!C355</f>
        <v>Adil (FTC)</v>
      </c>
      <c r="C49" s="148"/>
      <c r="D49" s="149"/>
      <c r="E49" s="67">
        <f>'Salary Record'!K354</f>
        <v>27000</v>
      </c>
      <c r="F49" s="182">
        <f>'Salary Record'!C360</f>
        <v>0</v>
      </c>
      <c r="G49" s="184">
        <f>'Salary Record'!C361</f>
        <v>0</v>
      </c>
      <c r="H49" s="67">
        <f>'Salary Record'!I359</f>
        <v>22</v>
      </c>
      <c r="I49" s="67">
        <f>'Salary Record'!I358</f>
        <v>31</v>
      </c>
      <c r="J49" s="180">
        <f>'Salary Record'!K359</f>
        <v>2395.1612903225805</v>
      </c>
      <c r="K49" s="180">
        <f>'Salary Record'!K360</f>
        <v>29395.16129032258</v>
      </c>
      <c r="L49" s="181">
        <f>'Salary Record'!G358</f>
        <v>0</v>
      </c>
      <c r="M49" s="182">
        <f>'Salary Record'!G359</f>
        <v>0</v>
      </c>
      <c r="N49" s="183">
        <f>'Salary Record'!G360</f>
        <v>0</v>
      </c>
      <c r="O49" s="182">
        <f>'Salary Record'!G361</f>
        <v>0</v>
      </c>
      <c r="P49" s="183">
        <f>'Salary Record'!G362</f>
        <v>0</v>
      </c>
      <c r="Q49" s="185">
        <f>'Salary Record'!K362</f>
        <v>29395.16129032258</v>
      </c>
      <c r="R49" s="122" t="s">
        <v>123</v>
      </c>
      <c r="S49" s="122"/>
      <c r="T49" s="124">
        <f>Q45-Q72-Q38</f>
        <v>225096.77419354842</v>
      </c>
    </row>
    <row r="50" spans="1:23" s="123" customFormat="1" ht="21" customHeight="1" x14ac:dyDescent="0.2">
      <c r="A50" s="213">
        <v>4</v>
      </c>
      <c r="B50" s="345" t="str">
        <f>'Salary Record'!C370</f>
        <v>Zafar</v>
      </c>
      <c r="C50" s="135"/>
      <c r="D50" s="136"/>
      <c r="E50" s="181">
        <f>'Salary Record'!K369</f>
        <v>28000</v>
      </c>
      <c r="F50" s="182">
        <f>'Salary Record'!C375</f>
        <v>0</v>
      </c>
      <c r="G50" s="186">
        <f>'Salary Record'!C376</f>
        <v>0</v>
      </c>
      <c r="H50" s="181">
        <f>'Salary Record'!I374</f>
        <v>0</v>
      </c>
      <c r="I50" s="181">
        <f>'Salary Record'!I373</f>
        <v>31</v>
      </c>
      <c r="J50" s="180">
        <f>'Salary Record'!K374</f>
        <v>0</v>
      </c>
      <c r="K50" s="67">
        <f>'Salary Record'!K375</f>
        <v>28000</v>
      </c>
      <c r="L50" s="181">
        <f>'Salary Record'!G373</f>
        <v>0</v>
      </c>
      <c r="M50" s="181">
        <f>'Salary Record'!G374</f>
        <v>0</v>
      </c>
      <c r="N50" s="183">
        <f>'Salary Record'!G375</f>
        <v>0</v>
      </c>
      <c r="O50" s="181">
        <f>'Salary Record'!G376</f>
        <v>0</v>
      </c>
      <c r="P50" s="183">
        <f>'Salary Record'!G377</f>
        <v>0</v>
      </c>
      <c r="Q50" s="185">
        <f>'Salary Record'!K377</f>
        <v>28000</v>
      </c>
      <c r="R50" s="122"/>
      <c r="S50" s="122"/>
      <c r="T50" s="124"/>
    </row>
    <row r="51" spans="1:23" s="123" customFormat="1" ht="21" customHeight="1" x14ac:dyDescent="0.2">
      <c r="A51" s="212">
        <v>5</v>
      </c>
      <c r="B51" s="319" t="str">
        <f>'Salary Record'!C325</f>
        <v>M. Shafeeq</v>
      </c>
      <c r="C51" s="153"/>
      <c r="D51" s="142"/>
      <c r="E51" s="67">
        <f>'Salary Record'!K324</f>
        <v>27000</v>
      </c>
      <c r="F51" s="182">
        <f>'Salary Record'!C330</f>
        <v>0</v>
      </c>
      <c r="G51" s="184">
        <f>'Salary Record'!C331</f>
        <v>0</v>
      </c>
      <c r="H51" s="67">
        <f>'Salary Record'!I329</f>
        <v>114</v>
      </c>
      <c r="I51" s="67">
        <f>'Salary Record'!I328</f>
        <v>31</v>
      </c>
      <c r="J51" s="184">
        <f>'Salary Record'!K329</f>
        <v>12411.290322580646</v>
      </c>
      <c r="K51" s="184">
        <f>'Salary Record'!K330</f>
        <v>39411.290322580644</v>
      </c>
      <c r="L51" s="203">
        <f>'Salary Record'!G328</f>
        <v>18000</v>
      </c>
      <c r="M51" s="67">
        <f>'Salary Record'!G329</f>
        <v>0</v>
      </c>
      <c r="N51" s="198">
        <f>'Salary Record'!G330</f>
        <v>18000</v>
      </c>
      <c r="O51" s="67">
        <f>'Salary Record'!G331</f>
        <v>0</v>
      </c>
      <c r="P51" s="198">
        <f>'Salary Record'!G332</f>
        <v>18000</v>
      </c>
      <c r="Q51" s="185">
        <f>'Salary Record'!K332</f>
        <v>39411.290322580644</v>
      </c>
      <c r="R51" s="122" t="s">
        <v>139</v>
      </c>
      <c r="S51" s="249">
        <f>Q50+Q49+Q48+Q47</f>
        <v>124028.22580645161</v>
      </c>
      <c r="T51" s="130"/>
    </row>
    <row r="52" spans="1:23" s="208" customFormat="1" ht="21" x14ac:dyDescent="0.3">
      <c r="A52" s="358" t="s">
        <v>2</v>
      </c>
      <c r="B52" s="359"/>
      <c r="C52" s="232"/>
      <c r="D52" s="232"/>
      <c r="E52" s="234">
        <f>SUM(E47:E51)</f>
        <v>142000</v>
      </c>
      <c r="F52" s="232"/>
      <c r="G52" s="232"/>
      <c r="H52" s="232"/>
      <c r="I52" s="232"/>
      <c r="J52" s="234">
        <f>SUM(J47:J51)</f>
        <v>21439.516129032258</v>
      </c>
      <c r="K52" s="234">
        <f>SUM(K47:K51)</f>
        <v>163439.51612903224</v>
      </c>
      <c r="L52" s="232"/>
      <c r="M52" s="232"/>
      <c r="N52" s="232"/>
      <c r="O52" s="232"/>
      <c r="P52" s="232"/>
      <c r="Q52" s="206">
        <f>SUM(Q47:Q51)</f>
        <v>163439.51612903224</v>
      </c>
      <c r="R52" s="207"/>
      <c r="T52" s="209"/>
    </row>
    <row r="53" spans="1:23" s="208" customFormat="1" ht="21" x14ac:dyDescent="0.3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9"/>
      <c r="R53" s="230"/>
      <c r="T53" s="231"/>
    </row>
    <row r="54" spans="1:23" s="160" customFormat="1" ht="21" customHeight="1" x14ac:dyDescent="0.2">
      <c r="A54" s="355" t="s">
        <v>89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7"/>
      <c r="R54" s="170"/>
      <c r="S54" s="165"/>
      <c r="T54" s="161"/>
      <c r="W54" s="165"/>
    </row>
    <row r="55" spans="1:23" ht="18" customHeight="1" x14ac:dyDescent="0.25">
      <c r="A55" s="213">
        <v>1</v>
      </c>
      <c r="B55" s="343" t="str">
        <f>'Salary Record'!C674</f>
        <v xml:space="preserve">Engr. Israr </v>
      </c>
      <c r="C55" s="62"/>
      <c r="D55" s="54"/>
      <c r="E55" s="17">
        <f>'Salary Record'!K673</f>
        <v>170000</v>
      </c>
      <c r="F55" s="17">
        <f>'Salary Record'!C679</f>
        <v>0</v>
      </c>
      <c r="G55" s="17">
        <f>'Salary Record'!C680</f>
        <v>0</v>
      </c>
      <c r="H55" s="17">
        <f>'Salary Record'!I678</f>
        <v>0</v>
      </c>
      <c r="I55" s="17">
        <f>'Salary Record'!I677</f>
        <v>0</v>
      </c>
      <c r="J55" s="13">
        <f>'Salary Record'!K678</f>
        <v>0</v>
      </c>
      <c r="K55" s="13">
        <f>'Salary Record'!K679</f>
        <v>0</v>
      </c>
      <c r="L55" s="9">
        <f>'Salary Record'!G677</f>
        <v>0</v>
      </c>
      <c r="M55" s="14">
        <f>'Salary Record'!G678</f>
        <v>0</v>
      </c>
      <c r="N55" s="15">
        <f>'Salary Record'!G679</f>
        <v>0</v>
      </c>
      <c r="O55" s="14">
        <f>'Salary Record'!G680</f>
        <v>0</v>
      </c>
      <c r="P55" s="15">
        <f>'Salary Record'!G681</f>
        <v>0</v>
      </c>
      <c r="Q55" s="19">
        <f>'Salary Record'!K681</f>
        <v>0</v>
      </c>
      <c r="R55" s="80"/>
    </row>
    <row r="56" spans="1:23" s="123" customFormat="1" ht="18" customHeight="1" x14ac:dyDescent="0.2">
      <c r="A56" s="213">
        <v>2</v>
      </c>
      <c r="B56" s="343" t="str">
        <f>'Salary Record'!C280</f>
        <v>Mukhtiar</v>
      </c>
      <c r="C56" s="137"/>
      <c r="D56" s="138"/>
      <c r="E56" s="205">
        <f>'Salary Record'!K279</f>
        <v>35000</v>
      </c>
      <c r="F56" s="205">
        <f>'Salary Record'!C285</f>
        <v>0</v>
      </c>
      <c r="G56" s="184">
        <f>'Salary Record'!C286</f>
        <v>0</v>
      </c>
      <c r="H56" s="205">
        <f>'Salary Record'!I284</f>
        <v>10</v>
      </c>
      <c r="I56" s="205">
        <f>'Salary Record'!I283</f>
        <v>31</v>
      </c>
      <c r="J56" s="180">
        <f>'Salary Record'!K284</f>
        <v>1411.2903225806451</v>
      </c>
      <c r="K56" s="180">
        <f>'Salary Record'!K285</f>
        <v>36411.290322580644</v>
      </c>
      <c r="L56" s="181">
        <f>'Salary Record'!G283</f>
        <v>61870</v>
      </c>
      <c r="M56" s="182">
        <f>'Salary Record'!G284</f>
        <v>0</v>
      </c>
      <c r="N56" s="183">
        <f>'Salary Record'!G285</f>
        <v>61870</v>
      </c>
      <c r="O56" s="182">
        <f>'Salary Record'!G286</f>
        <v>0</v>
      </c>
      <c r="P56" s="183">
        <f>'Salary Record'!G287</f>
        <v>61870</v>
      </c>
      <c r="Q56" s="185">
        <f>'Salary Record'!K287</f>
        <v>36411.290322580644</v>
      </c>
      <c r="R56" s="122"/>
      <c r="T56" s="124"/>
    </row>
    <row r="57" spans="1:23" ht="18" customHeight="1" x14ac:dyDescent="0.25">
      <c r="A57" s="213">
        <v>3</v>
      </c>
      <c r="B57" s="343" t="str">
        <f>'Salary Record'!C310</f>
        <v>Asif Hussain</v>
      </c>
      <c r="C57" s="62"/>
      <c r="D57" s="52"/>
      <c r="E57" s="205">
        <f>'Salary Record'!K309</f>
        <v>35000</v>
      </c>
      <c r="F57" s="205">
        <f>'Salary Record'!C315</f>
        <v>0</v>
      </c>
      <c r="G57" s="184">
        <f>'Salary Record'!C316</f>
        <v>0</v>
      </c>
      <c r="H57" s="205">
        <f>'Salary Record'!I314</f>
        <v>73</v>
      </c>
      <c r="I57" s="205">
        <f>'Salary Record'!I313</f>
        <v>31</v>
      </c>
      <c r="J57" s="13">
        <f>'Salary Record'!K314</f>
        <v>10302.41935483871</v>
      </c>
      <c r="K57" s="13">
        <f>'Salary Record'!K315</f>
        <v>45302.419354838712</v>
      </c>
      <c r="L57" s="9">
        <f>'Salary Record'!G313</f>
        <v>14760</v>
      </c>
      <c r="M57" s="14">
        <f>'Salary Record'!G314</f>
        <v>0</v>
      </c>
      <c r="N57" s="15">
        <f>'Salary Record'!G315</f>
        <v>14760</v>
      </c>
      <c r="O57" s="14">
        <f>'Salary Record'!G316</f>
        <v>0</v>
      </c>
      <c r="P57" s="15">
        <f>'Salary Record'!G317</f>
        <v>14760</v>
      </c>
      <c r="Q57" s="185">
        <f>'Salary Record'!K317</f>
        <v>45302.419354838712</v>
      </c>
      <c r="R57" s="80"/>
      <c r="S57" s="85"/>
    </row>
    <row r="58" spans="1:23" ht="18" customHeight="1" x14ac:dyDescent="0.25">
      <c r="A58" s="213">
        <v>4</v>
      </c>
      <c r="B58" s="343" t="str">
        <f>'Salary Record'!C295</f>
        <v xml:space="preserve">M. Imran </v>
      </c>
      <c r="C58" s="59"/>
      <c r="D58" s="54"/>
      <c r="E58" s="205">
        <f>'Salary Record'!K294</f>
        <v>65000</v>
      </c>
      <c r="F58" s="205">
        <f>'Salary Record'!C300</f>
        <v>0</v>
      </c>
      <c r="G58" s="184">
        <f>'Salary Record'!C301</f>
        <v>0</v>
      </c>
      <c r="H58" s="205">
        <f>'Salary Record'!I299</f>
        <v>0</v>
      </c>
      <c r="I58" s="205">
        <f>'Salary Record'!I298</f>
        <v>36</v>
      </c>
      <c r="J58" s="17">
        <f>'Salary Record'!K299</f>
        <v>0</v>
      </c>
      <c r="K58" s="10">
        <f>'Salary Record'!K300</f>
        <v>75483.870967741939</v>
      </c>
      <c r="L58" s="76">
        <f>'Salary Record'!G298</f>
        <v>12000</v>
      </c>
      <c r="M58" s="10">
        <f>'Salary Record'!G299</f>
        <v>0</v>
      </c>
      <c r="N58" s="50">
        <f>'Salary Record'!G300</f>
        <v>12000</v>
      </c>
      <c r="O58" s="10">
        <f>'Salary Record'!G301</f>
        <v>0</v>
      </c>
      <c r="P58" s="50">
        <f>'Salary Record'!G302</f>
        <v>12000</v>
      </c>
      <c r="Q58" s="185">
        <f>'Salary Record'!K302</f>
        <v>75483.870967741939</v>
      </c>
      <c r="R58" s="80"/>
      <c r="S58" s="8"/>
      <c r="T58" s="77"/>
    </row>
    <row r="59" spans="1:23" s="123" customFormat="1" ht="18" customHeight="1" x14ac:dyDescent="0.2">
      <c r="A59" s="213">
        <v>5</v>
      </c>
      <c r="B59" s="343" t="str">
        <f>'Salary Record'!C265</f>
        <v>M. Arif</v>
      </c>
      <c r="C59" s="144"/>
      <c r="D59" s="145"/>
      <c r="E59" s="205">
        <f>'Salary Record'!K264</f>
        <v>35000</v>
      </c>
      <c r="F59" s="184">
        <f>'Salary Record'!C270</f>
        <v>0</v>
      </c>
      <c r="G59" s="184">
        <f>'Salary Record'!C271</f>
        <v>0</v>
      </c>
      <c r="H59" s="184">
        <f>'Salary Record'!I269</f>
        <v>84</v>
      </c>
      <c r="I59" s="184">
        <f>'Salary Record'!I268</f>
        <v>31</v>
      </c>
      <c r="J59" s="180">
        <f>'Salary Record'!K269</f>
        <v>11854.838709677419</v>
      </c>
      <c r="K59" s="180">
        <f>'Salary Record'!K270</f>
        <v>46854.838709677417</v>
      </c>
      <c r="L59" s="181">
        <f>'Salary Record'!G268</f>
        <v>0</v>
      </c>
      <c r="M59" s="182">
        <f>'Salary Record'!G269</f>
        <v>0</v>
      </c>
      <c r="N59" s="183">
        <f>'Salary Record'!G270</f>
        <v>0</v>
      </c>
      <c r="O59" s="182">
        <f>'Salary Record'!G271</f>
        <v>0</v>
      </c>
      <c r="P59" s="183">
        <f>'Salary Record'!G272</f>
        <v>0</v>
      </c>
      <c r="Q59" s="185">
        <f>'Salary Record'!K272</f>
        <v>46854.838709677417</v>
      </c>
      <c r="R59" s="122">
        <f>Q59+Q62+Q63+Q65</f>
        <v>130161.29032258065</v>
      </c>
      <c r="S59" s="122"/>
      <c r="T59" s="124"/>
    </row>
    <row r="60" spans="1:23" s="123" customFormat="1" ht="18" customHeight="1" x14ac:dyDescent="0.2">
      <c r="A60" s="213">
        <v>6</v>
      </c>
      <c r="B60" s="343" t="str">
        <f>'Salary Record'!C596</f>
        <v>Fahad</v>
      </c>
      <c r="C60" s="146" t="s">
        <v>37</v>
      </c>
      <c r="D60" s="147">
        <f>SUM(Q46:Q85)</f>
        <v>3462711.6935483869</v>
      </c>
      <c r="E60" s="205">
        <f>'Salary Record'!K595</f>
        <v>35000</v>
      </c>
      <c r="F60" s="182">
        <f>'Salary Record'!C601</f>
        <v>0</v>
      </c>
      <c r="G60" s="179">
        <f>'Salary Record'!C602</f>
        <v>0</v>
      </c>
      <c r="H60" s="182">
        <f>'Salary Record'!I600</f>
        <v>55</v>
      </c>
      <c r="I60" s="182">
        <f>'Salary Record'!I599</f>
        <v>31</v>
      </c>
      <c r="J60" s="180">
        <f>'Salary Record'!K600</f>
        <v>7762.0967741935483</v>
      </c>
      <c r="K60" s="180">
        <f>'Salary Record'!K601</f>
        <v>42762.096774193546</v>
      </c>
      <c r="L60" s="181">
        <f>'Salary Record'!G599</f>
        <v>2000</v>
      </c>
      <c r="M60" s="182">
        <f>'Salary Record'!G600</f>
        <v>0</v>
      </c>
      <c r="N60" s="182">
        <f>'Salary Record'!G601</f>
        <v>2000</v>
      </c>
      <c r="O60" s="182">
        <f>'Salary Record'!G602</f>
        <v>0</v>
      </c>
      <c r="P60" s="183">
        <f>'Salary Record'!G603</f>
        <v>2000</v>
      </c>
      <c r="Q60" s="185">
        <f>'Salary Record'!K603</f>
        <v>42762.096774193546</v>
      </c>
      <c r="R60" s="122"/>
      <c r="S60" s="122">
        <f>Q56+Q60+Q62+Q63+Q65</f>
        <v>162479.83870967739</v>
      </c>
      <c r="T60" s="124"/>
    </row>
    <row r="61" spans="1:23" ht="18" customHeight="1" x14ac:dyDescent="0.25">
      <c r="A61" s="213">
        <v>7</v>
      </c>
      <c r="B61" s="343" t="str">
        <f>'Salary Record'!C250</f>
        <v>Ibtehaj</v>
      </c>
      <c r="C61" s="56"/>
      <c r="D61" s="55"/>
      <c r="E61" s="205">
        <f>'Salary Record'!K249</f>
        <v>35000</v>
      </c>
      <c r="F61" s="17">
        <f>'Salary Record'!C255</f>
        <v>0</v>
      </c>
      <c r="G61" s="17">
        <f>'Salary Record'!C256</f>
        <v>0</v>
      </c>
      <c r="H61" s="17">
        <f>'Salary Record'!I254</f>
        <v>146</v>
      </c>
      <c r="I61" s="17">
        <f>'Salary Record'!I253</f>
        <v>31</v>
      </c>
      <c r="J61" s="13">
        <f>'Salary Record'!K254</f>
        <v>20604.83870967742</v>
      </c>
      <c r="K61" s="13">
        <f>'Salary Record'!K255</f>
        <v>55604.838709677424</v>
      </c>
      <c r="L61" s="9">
        <f>'Salary Record'!G253</f>
        <v>0</v>
      </c>
      <c r="M61" s="14">
        <f>'Salary Record'!G254</f>
        <v>0</v>
      </c>
      <c r="N61" s="15">
        <f>'Salary Record'!G255</f>
        <v>0</v>
      </c>
      <c r="O61" s="14">
        <f>'Salary Record'!G256</f>
        <v>0</v>
      </c>
      <c r="P61" s="15">
        <f>'Salary Record'!G257</f>
        <v>0</v>
      </c>
      <c r="Q61" s="185">
        <f>'Salary Record'!K257</f>
        <v>55604.838709677424</v>
      </c>
      <c r="R61" s="83"/>
      <c r="S61" s="8"/>
    </row>
    <row r="62" spans="1:23" ht="18" customHeight="1" x14ac:dyDescent="0.25">
      <c r="A62" s="213">
        <v>8</v>
      </c>
      <c r="B62" s="343" t="str">
        <f>'Salary Record'!C235</f>
        <v>Affan Ali</v>
      </c>
      <c r="C62" s="56"/>
      <c r="D62" s="55"/>
      <c r="E62" s="205">
        <f>'Salary Record'!K234</f>
        <v>25000</v>
      </c>
      <c r="F62" s="17">
        <f>'Salary Record'!C240</f>
        <v>0</v>
      </c>
      <c r="G62" s="17">
        <f>'Salary Record'!C241</f>
        <v>0</v>
      </c>
      <c r="H62" s="17">
        <f>'Salary Record'!I239</f>
        <v>59</v>
      </c>
      <c r="I62" s="17">
        <f>'Salary Record'!I238</f>
        <v>31</v>
      </c>
      <c r="J62" s="13">
        <f>'Salary Record'!K239</f>
        <v>5947.5806451612907</v>
      </c>
      <c r="K62" s="13">
        <f>'Salary Record'!K240</f>
        <v>30947.580645161292</v>
      </c>
      <c r="L62" s="9">
        <f>'Salary Record'!G238</f>
        <v>0</v>
      </c>
      <c r="M62" s="14">
        <f>'Salary Record'!G239</f>
        <v>0</v>
      </c>
      <c r="N62" s="15">
        <f>'Salary Record'!G240</f>
        <v>0</v>
      </c>
      <c r="O62" s="14">
        <f>'Salary Record'!G241</f>
        <v>0</v>
      </c>
      <c r="P62" s="15">
        <f>'Salary Record'!G242</f>
        <v>0</v>
      </c>
      <c r="Q62" s="185">
        <f>'Salary Record'!K242</f>
        <v>30947.580645161292</v>
      </c>
      <c r="R62" s="80"/>
    </row>
    <row r="63" spans="1:23" s="123" customFormat="1" ht="18" customHeight="1" x14ac:dyDescent="0.2">
      <c r="A63" s="213">
        <v>9</v>
      </c>
      <c r="B63" s="343" t="str">
        <f>'Salary Record'!C626</f>
        <v>Mohib uz Zaman</v>
      </c>
      <c r="C63" s="144"/>
      <c r="D63" s="145"/>
      <c r="E63" s="205">
        <f>'Salary Record'!K625</f>
        <v>35000</v>
      </c>
      <c r="F63" s="184">
        <f>'Salary Record'!C631</f>
        <v>0</v>
      </c>
      <c r="G63" s="184">
        <f>'Salary Record'!C632</f>
        <v>0</v>
      </c>
      <c r="H63" s="184">
        <f>'Salary Record'!I630</f>
        <v>115</v>
      </c>
      <c r="I63" s="184">
        <f>'Salary Record'!I629</f>
        <v>0</v>
      </c>
      <c r="J63" s="180">
        <f>'Salary Record'!K630</f>
        <v>16229.838709677419</v>
      </c>
      <c r="K63" s="180">
        <f>'Salary Record'!K631</f>
        <v>16229.838709677419</v>
      </c>
      <c r="L63" s="181">
        <f>'Salary Record'!G629</f>
        <v>0</v>
      </c>
      <c r="M63" s="182">
        <f>'Salary Record'!G630</f>
        <v>0</v>
      </c>
      <c r="N63" s="183">
        <f>'Salary Record'!G631</f>
        <v>0</v>
      </c>
      <c r="O63" s="182">
        <f>'Salary Record'!G632</f>
        <v>0</v>
      </c>
      <c r="P63" s="183">
        <f>'Salary Record'!G633</f>
        <v>0</v>
      </c>
      <c r="Q63" s="185">
        <f>'Salary Record'!K633</f>
        <v>16229.838709677419</v>
      </c>
      <c r="R63" s="122"/>
      <c r="S63" s="122"/>
      <c r="T63" s="124"/>
    </row>
    <row r="64" spans="1:23" ht="18" customHeight="1" x14ac:dyDescent="0.25">
      <c r="A64" s="213">
        <v>10</v>
      </c>
      <c r="B64" s="343" t="str">
        <f>'Salary Record'!C580</f>
        <v>Waqas</v>
      </c>
      <c r="C64" s="56"/>
      <c r="D64" s="55"/>
      <c r="E64" s="10">
        <f>'Salary Record'!K579</f>
        <v>40000</v>
      </c>
      <c r="F64" s="10">
        <f>'Salary Record'!C585</f>
        <v>0</v>
      </c>
      <c r="G64" s="17">
        <f>'Salary Record'!C586</f>
        <v>0</v>
      </c>
      <c r="H64" s="10">
        <f>'Salary Record'!I584</f>
        <v>53</v>
      </c>
      <c r="I64" s="10">
        <f>'Salary Record'!I583</f>
        <v>0</v>
      </c>
      <c r="J64" s="13">
        <f>'Salary Record'!K584</f>
        <v>8548.3870967741932</v>
      </c>
      <c r="K64" s="10">
        <f>'Salary Record'!K585</f>
        <v>8548.3870967741932</v>
      </c>
      <c r="L64" s="9">
        <f>'Salary Record'!G583</f>
        <v>0</v>
      </c>
      <c r="M64" s="14">
        <f>'Salary Record'!G584</f>
        <v>0</v>
      </c>
      <c r="N64" s="15">
        <f>'Salary Record'!G585</f>
        <v>0</v>
      </c>
      <c r="O64" s="14">
        <f>'Salary Record'!G586</f>
        <v>0</v>
      </c>
      <c r="P64" s="15">
        <f>'Salary Record'!G587</f>
        <v>0</v>
      </c>
      <c r="Q64" s="19">
        <f>'Salary Record'!K587</f>
        <v>8548.3870967741932</v>
      </c>
      <c r="R64" s="80"/>
      <c r="S64" s="8"/>
    </row>
    <row r="65" spans="1:24" s="123" customFormat="1" ht="18" customHeight="1" x14ac:dyDescent="0.2">
      <c r="A65" s="213">
        <v>11</v>
      </c>
      <c r="B65" s="343" t="str">
        <f>'Salary Record'!C220</f>
        <v>Hammad Ahmed</v>
      </c>
      <c r="C65" s="135"/>
      <c r="D65" s="136"/>
      <c r="E65" s="205">
        <f>'Salary Record'!K219</f>
        <v>35000</v>
      </c>
      <c r="F65" s="205">
        <f>'Salary Record'!C225</f>
        <v>0</v>
      </c>
      <c r="G65" s="184">
        <f>'Salary Record'!C226</f>
        <v>0</v>
      </c>
      <c r="H65" s="205">
        <f>'Salary Record'!I224</f>
        <v>32</v>
      </c>
      <c r="I65" s="205">
        <f>'Salary Record'!I223</f>
        <v>28</v>
      </c>
      <c r="J65" s="180">
        <f>'Salary Record'!K224</f>
        <v>4516.1290322580644</v>
      </c>
      <c r="K65" s="67">
        <f>'Salary Record'!K225</f>
        <v>36129.032258064515</v>
      </c>
      <c r="L65" s="181">
        <f>'Salary Record'!G223</f>
        <v>7000</v>
      </c>
      <c r="M65" s="181">
        <f>'Salary Record'!G224</f>
        <v>0</v>
      </c>
      <c r="N65" s="183">
        <f>'Salary Record'!G225</f>
        <v>7000</v>
      </c>
      <c r="O65" s="181">
        <f>'Salary Record'!G226</f>
        <v>0</v>
      </c>
      <c r="P65" s="183">
        <f>'Salary Record'!G227</f>
        <v>7000</v>
      </c>
      <c r="Q65" s="185">
        <f>'Salary Record'!K227</f>
        <v>36129.032258064515</v>
      </c>
      <c r="R65" s="122"/>
      <c r="T65" s="124"/>
    </row>
    <row r="66" spans="1:24" s="208" customFormat="1" ht="21" x14ac:dyDescent="0.3">
      <c r="A66" s="358" t="s">
        <v>2</v>
      </c>
      <c r="B66" s="359"/>
      <c r="C66" s="232"/>
      <c r="D66" s="232"/>
      <c r="E66" s="234">
        <f>SUM(E55:E65)</f>
        <v>545000</v>
      </c>
      <c r="F66" s="232"/>
      <c r="G66" s="232"/>
      <c r="H66" s="232"/>
      <c r="I66" s="232"/>
      <c r="J66" s="234">
        <f>SUM(J55:J65)</f>
        <v>87177.419354838712</v>
      </c>
      <c r="K66" s="234">
        <f>SUM(K55:K65)</f>
        <v>394274.19354838703</v>
      </c>
      <c r="L66" s="232"/>
      <c r="M66" s="232"/>
      <c r="N66" s="232"/>
      <c r="O66" s="232"/>
      <c r="P66" s="232"/>
      <c r="Q66" s="206">
        <f>SUM(Q55:Q65)</f>
        <v>394274.19354838703</v>
      </c>
      <c r="R66" s="207"/>
      <c r="S66" s="230">
        <f>Q64+Q61+Q60+Q58+Q57</f>
        <v>227701.61290322582</v>
      </c>
      <c r="T66" s="209"/>
    </row>
    <row r="67" spans="1:24" s="208" customFormat="1" ht="21" x14ac:dyDescent="0.3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9"/>
      <c r="R67" s="230"/>
      <c r="T67" s="231"/>
    </row>
    <row r="68" spans="1:24" s="163" customFormat="1" ht="21" customHeight="1" x14ac:dyDescent="0.2">
      <c r="A68" s="363" t="s">
        <v>223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5"/>
      <c r="R68" s="162"/>
      <c r="S68" s="223"/>
      <c r="T68" s="164"/>
      <c r="U68" s="223"/>
    </row>
    <row r="69" spans="1:24" s="123" customFormat="1" ht="21" customHeight="1" x14ac:dyDescent="0.2">
      <c r="A69" s="212">
        <v>1</v>
      </c>
      <c r="B69" s="260" t="s">
        <v>14</v>
      </c>
      <c r="C69" s="156"/>
      <c r="D69" s="157"/>
      <c r="E69" s="171">
        <f>'Salary Record'!K84</f>
        <v>70000</v>
      </c>
      <c r="F69" s="171">
        <f>'Salary Record'!C90</f>
        <v>0</v>
      </c>
      <c r="G69" s="172">
        <f>'Salary Record'!C91</f>
        <v>0</v>
      </c>
      <c r="H69" s="171">
        <f>'Salary Record'!I89</f>
        <v>102</v>
      </c>
      <c r="I69" s="171">
        <f>'Salary Record'!I88</f>
        <v>31</v>
      </c>
      <c r="J69" s="252">
        <f>'Salary Record'!K89</f>
        <v>28790.322580645159</v>
      </c>
      <c r="K69" s="173">
        <f>'Salary Record'!K90</f>
        <v>98790.322580645152</v>
      </c>
      <c r="L69" s="174">
        <f>'Salary Record'!G88</f>
        <v>0</v>
      </c>
      <c r="M69" s="175">
        <f>'Salary Record'!G89</f>
        <v>0</v>
      </c>
      <c r="N69" s="176">
        <f>'Salary Record'!G90</f>
        <v>0</v>
      </c>
      <c r="O69" s="175">
        <f>'Salary Record'!G91</f>
        <v>0</v>
      </c>
      <c r="P69" s="176">
        <f>'Salary Record'!G92</f>
        <v>0</v>
      </c>
      <c r="Q69" s="225">
        <f>'Salary Record'!K92</f>
        <v>98790.322580645152</v>
      </c>
      <c r="R69" s="122"/>
      <c r="S69" s="122"/>
      <c r="T69" s="124"/>
      <c r="U69" s="122"/>
    </row>
    <row r="70" spans="1:24" s="123" customFormat="1" ht="21" customHeight="1" x14ac:dyDescent="0.2">
      <c r="A70" s="212">
        <v>2</v>
      </c>
      <c r="B70" s="260" t="str">
        <f>'Salary Record'!C704</f>
        <v>Noman Ali Sheikh Ansari</v>
      </c>
      <c r="C70" s="148" t="s">
        <v>84</v>
      </c>
      <c r="D70" s="149">
        <f>SUM(Q27:Q78)</f>
        <v>2809518.1451612902</v>
      </c>
      <c r="E70" s="205">
        <f>'Salary Record'!K707</f>
        <v>0</v>
      </c>
      <c r="F70" s="205">
        <f>'Salary Record'!C709</f>
        <v>0</v>
      </c>
      <c r="G70" s="184">
        <f>'Salary Record'!C710</f>
        <v>0</v>
      </c>
      <c r="H70" s="205">
        <f>'Salary Record'!I708</f>
        <v>0</v>
      </c>
      <c r="I70" s="205">
        <f>'Salary Record'!I707</f>
        <v>0</v>
      </c>
      <c r="J70" s="180">
        <f>'Salary Record'!K708</f>
        <v>0</v>
      </c>
      <c r="K70" s="180">
        <f>'Salary Record'!K709</f>
        <v>0</v>
      </c>
      <c r="L70" s="181">
        <f>'Salary Record'!G707</f>
        <v>80000</v>
      </c>
      <c r="M70" s="182">
        <f>'Salary Record'!G708</f>
        <v>0</v>
      </c>
      <c r="N70" s="183">
        <f>'Salary Record'!G709</f>
        <v>80000</v>
      </c>
      <c r="O70" s="182">
        <f>'Salary Record'!G710</f>
        <v>0</v>
      </c>
      <c r="P70" s="183">
        <f>'Salary Record'!G711</f>
        <v>80000</v>
      </c>
      <c r="Q70" s="185">
        <f>'Salary Record'!K711</f>
        <v>0</v>
      </c>
      <c r="R70" s="122"/>
      <c r="S70" s="122"/>
      <c r="T70" s="124"/>
    </row>
    <row r="71" spans="1:24" s="123" customFormat="1" ht="21" customHeight="1" x14ac:dyDescent="0.2">
      <c r="A71" s="212">
        <v>3</v>
      </c>
      <c r="B71" s="318" t="str">
        <f>'Salary Record'!C689</f>
        <v>M. Raza</v>
      </c>
      <c r="C71" s="126"/>
      <c r="D71" s="127"/>
      <c r="E71" s="182">
        <f>'Salary Record'!K688</f>
        <v>60000</v>
      </c>
      <c r="F71" s="182">
        <f>'Salary Record'!C694</f>
        <v>0</v>
      </c>
      <c r="G71" s="179">
        <f>'Salary Record'!C695</f>
        <v>0</v>
      </c>
      <c r="H71" s="182">
        <f>'Salary Record'!I693</f>
        <v>0</v>
      </c>
      <c r="I71" s="182">
        <f>'Salary Record'!I692</f>
        <v>0</v>
      </c>
      <c r="J71" s="180">
        <f>'Salary Record'!K693</f>
        <v>0</v>
      </c>
      <c r="K71" s="180">
        <f>'Salary Record'!K694</f>
        <v>0</v>
      </c>
      <c r="L71" s="181">
        <f>'Salary Record'!G692</f>
        <v>0</v>
      </c>
      <c r="M71" s="182">
        <f>'Salary Record'!G693</f>
        <v>0</v>
      </c>
      <c r="N71" s="183">
        <f>'Salary Record'!G694</f>
        <v>0</v>
      </c>
      <c r="O71" s="182">
        <f>'Salary Record'!G695</f>
        <v>0</v>
      </c>
      <c r="P71" s="183">
        <f>'Salary Record'!G696</f>
        <v>0</v>
      </c>
      <c r="Q71" s="185">
        <f>'Salary Record'!K696</f>
        <v>0</v>
      </c>
      <c r="R71" s="122"/>
      <c r="S71" s="122"/>
      <c r="T71" s="124"/>
    </row>
    <row r="72" spans="1:24" s="123" customFormat="1" ht="21" customHeight="1" x14ac:dyDescent="0.2">
      <c r="A72" s="212">
        <v>4</v>
      </c>
      <c r="B72" s="260" t="str">
        <f>'Salary Record'!C115</f>
        <v>Amir (JPMC)</v>
      </c>
      <c r="C72" s="143"/>
      <c r="D72" s="140"/>
      <c r="E72" s="67">
        <f>'Salary Record'!K114</f>
        <v>43000</v>
      </c>
      <c r="F72" s="67">
        <f>'Salary Record'!C120</f>
        <v>0</v>
      </c>
      <c r="G72" s="184">
        <f>'Salary Record'!C121</f>
        <v>0</v>
      </c>
      <c r="H72" s="67">
        <f>'Salary Record'!I119</f>
        <v>0</v>
      </c>
      <c r="I72" s="67">
        <f>'Salary Record'!I118</f>
        <v>31</v>
      </c>
      <c r="J72" s="180">
        <f>'Salary Record'!K119</f>
        <v>0</v>
      </c>
      <c r="K72" s="180">
        <f>'Salary Record'!K120</f>
        <v>43000</v>
      </c>
      <c r="L72" s="181">
        <f>'Salary Record'!G118</f>
        <v>63500</v>
      </c>
      <c r="M72" s="181">
        <f>'Salary Record'!G119</f>
        <v>0</v>
      </c>
      <c r="N72" s="183">
        <f>'Salary Record'!G120</f>
        <v>63500</v>
      </c>
      <c r="O72" s="181">
        <f>'Salary Record'!G121</f>
        <v>0</v>
      </c>
      <c r="P72" s="183">
        <f>'Salary Record'!G122</f>
        <v>63500</v>
      </c>
      <c r="Q72" s="185">
        <f>'Salary Record'!K122</f>
        <v>43000</v>
      </c>
      <c r="R72" s="122" t="s">
        <v>115</v>
      </c>
      <c r="S72" s="122" t="s">
        <v>118</v>
      </c>
      <c r="T72" s="124"/>
    </row>
    <row r="73" spans="1:24" s="123" customFormat="1" ht="21" customHeight="1" x14ac:dyDescent="0.3">
      <c r="A73" s="212">
        <v>5</v>
      </c>
      <c r="B73" s="260" t="str">
        <f>'Salary Record'!C550</f>
        <v>Shahzaib ullah</v>
      </c>
      <c r="C73" s="126"/>
      <c r="D73" s="127"/>
      <c r="E73" s="67">
        <f>'Salary Record'!K549</f>
        <v>45000</v>
      </c>
      <c r="F73" s="67">
        <f>'Salary Record'!C555</f>
        <v>0</v>
      </c>
      <c r="G73" s="184">
        <f>'Salary Record'!C556</f>
        <v>0</v>
      </c>
      <c r="H73" s="67">
        <f>'Salary Record'!I554</f>
        <v>0</v>
      </c>
      <c r="I73" s="67">
        <f>'Salary Record'!I553</f>
        <v>31</v>
      </c>
      <c r="J73" s="180">
        <f>'Salary Record'!K554</f>
        <v>0</v>
      </c>
      <c r="K73" s="67">
        <f>'Salary Record'!K555</f>
        <v>45000</v>
      </c>
      <c r="L73" s="181">
        <f>'Salary Record'!G553</f>
        <v>0</v>
      </c>
      <c r="M73" s="181">
        <f>'Salary Record'!G554</f>
        <v>0</v>
      </c>
      <c r="N73" s="181">
        <f>'Salary Record'!G555</f>
        <v>0</v>
      </c>
      <c r="O73" s="181">
        <f>'Salary Record'!G556</f>
        <v>0</v>
      </c>
      <c r="P73" s="181">
        <f>'Salary Record'!G557</f>
        <v>0</v>
      </c>
      <c r="Q73" s="185">
        <f>'Salary Record'!K557</f>
        <v>45000</v>
      </c>
      <c r="R73" s="122"/>
      <c r="S73" s="122"/>
      <c r="T73" s="209"/>
    </row>
    <row r="74" spans="1:24" s="123" customFormat="1" ht="21" customHeight="1" x14ac:dyDescent="0.2">
      <c r="A74" s="212">
        <v>6</v>
      </c>
      <c r="B74" s="260" t="str">
        <f>'Salary Record'!C400</f>
        <v>A. Lateef Chacha</v>
      </c>
      <c r="C74" s="137"/>
      <c r="D74" s="138"/>
      <c r="E74" s="67">
        <f>'Salary Record'!K399</f>
        <v>27000</v>
      </c>
      <c r="F74" s="67">
        <f>'Salary Record'!C405</f>
        <v>0</v>
      </c>
      <c r="G74" s="184">
        <f>'Salary Record'!C406</f>
        <v>0</v>
      </c>
      <c r="H74" s="67">
        <f>'Salary Record'!I404</f>
        <v>3</v>
      </c>
      <c r="I74" s="67">
        <f>'Salary Record'!I403</f>
        <v>31</v>
      </c>
      <c r="J74" s="180">
        <f>'Salary Record'!K404</f>
        <v>326.61290322580646</v>
      </c>
      <c r="K74" s="180">
        <f>'Salary Record'!K405</f>
        <v>27326.612903225807</v>
      </c>
      <c r="L74" s="181">
        <f>'Salary Record'!G403</f>
        <v>19000</v>
      </c>
      <c r="M74" s="181">
        <f>'Salary Record'!G404</f>
        <v>0</v>
      </c>
      <c r="N74" s="183">
        <f>'Salary Record'!G405</f>
        <v>19000</v>
      </c>
      <c r="O74" s="181">
        <f>'Salary Record'!G406</f>
        <v>0</v>
      </c>
      <c r="P74" s="183">
        <f>'Salary Record'!G407</f>
        <v>19000</v>
      </c>
      <c r="Q74" s="185">
        <f>'Salary Record'!K407</f>
        <v>27326.612903225807</v>
      </c>
      <c r="R74" s="122"/>
      <c r="S74" s="122"/>
      <c r="T74" s="124"/>
    </row>
    <row r="75" spans="1:24" ht="15.75" x14ac:dyDescent="0.25">
      <c r="A75" s="212">
        <v>7</v>
      </c>
      <c r="B75" s="260" t="str">
        <f>'Salary Record'!C415</f>
        <v>Lateef</v>
      </c>
      <c r="C75" s="12"/>
      <c r="D75" s="51"/>
      <c r="E75" s="9">
        <f>'Salary Record'!K414</f>
        <v>30000</v>
      </c>
      <c r="F75" s="9">
        <f>'Salary Record'!C420</f>
        <v>0</v>
      </c>
      <c r="G75" s="18">
        <f>'Salary Record'!C421</f>
        <v>0</v>
      </c>
      <c r="H75" s="9">
        <f>'Salary Record'!I419</f>
        <v>53</v>
      </c>
      <c r="I75" s="9">
        <f>'Salary Record'!I418</f>
        <v>31</v>
      </c>
      <c r="J75" s="13">
        <f>'Salary Record'!K419</f>
        <v>6411.2903225806449</v>
      </c>
      <c r="K75" s="13">
        <f>'Salary Record'!K420</f>
        <v>36411.290322580644</v>
      </c>
      <c r="L75" s="9">
        <f>'Salary Record'!G418</f>
        <v>27500</v>
      </c>
      <c r="M75" s="9">
        <f>'Salary Record'!G419</f>
        <v>0</v>
      </c>
      <c r="N75" s="97">
        <f>'Salary Record'!G420</f>
        <v>27500</v>
      </c>
      <c r="O75" s="9">
        <f>'Salary Record'!G421</f>
        <v>0</v>
      </c>
      <c r="P75" s="97">
        <f>'Salary Record'!G422</f>
        <v>27500</v>
      </c>
      <c r="Q75" s="91">
        <f>'Salary Record'!K422</f>
        <v>36411.290322580644</v>
      </c>
      <c r="R75" s="80"/>
      <c r="S75" s="8"/>
      <c r="V75" s="2"/>
      <c r="X75" s="2"/>
    </row>
    <row r="76" spans="1:24" s="123" customFormat="1" ht="21" customHeight="1" x14ac:dyDescent="0.2">
      <c r="A76" s="212">
        <v>8</v>
      </c>
      <c r="B76" s="260" t="s">
        <v>29</v>
      </c>
      <c r="C76" s="148"/>
      <c r="D76" s="149"/>
      <c r="E76" s="178">
        <f>'Salary Record'!K189</f>
        <v>35000</v>
      </c>
      <c r="F76" s="178">
        <f>'Salary Record'!C195</f>
        <v>0</v>
      </c>
      <c r="G76" s="179">
        <f>'Salary Record'!C196</f>
        <v>0</v>
      </c>
      <c r="H76" s="178">
        <f>'Salary Record'!I194</f>
        <v>29</v>
      </c>
      <c r="I76" s="178">
        <f>'Salary Record'!I193</f>
        <v>36</v>
      </c>
      <c r="J76" s="321">
        <f>'Salary Record'!K194</f>
        <v>4092.7419354838707</v>
      </c>
      <c r="K76" s="67">
        <f>'Salary Record'!K195</f>
        <v>44737.903225806447</v>
      </c>
      <c r="L76" s="181">
        <f>'Salary Record'!G193</f>
        <v>84000</v>
      </c>
      <c r="M76" s="182">
        <f>'Salary Record'!G194</f>
        <v>0</v>
      </c>
      <c r="N76" s="183">
        <f>'Salary Record'!G195</f>
        <v>84000</v>
      </c>
      <c r="O76" s="182">
        <f>'Salary Record'!G196</f>
        <v>0</v>
      </c>
      <c r="P76" s="183">
        <f>'Salary Record'!G197</f>
        <v>84000</v>
      </c>
      <c r="Q76" s="185">
        <f>'Salary Record'!K197</f>
        <v>44737.903225806447</v>
      </c>
      <c r="R76" s="122" t="s">
        <v>129</v>
      </c>
      <c r="S76" s="122" t="s">
        <v>130</v>
      </c>
      <c r="T76" s="124"/>
    </row>
    <row r="77" spans="1:24" s="123" customFormat="1" ht="21" customHeight="1" x14ac:dyDescent="0.2">
      <c r="A77" s="212">
        <v>9</v>
      </c>
      <c r="B77" s="319" t="s">
        <v>9</v>
      </c>
      <c r="C77" s="143"/>
      <c r="D77" s="140"/>
      <c r="E77" s="184">
        <f>'Salary Record'!K144</f>
        <v>35000</v>
      </c>
      <c r="F77" s="184">
        <f>'Salary Record'!C150</f>
        <v>0</v>
      </c>
      <c r="G77" s="184">
        <f>'Salary Record'!C151</f>
        <v>0</v>
      </c>
      <c r="H77" s="184">
        <f>'Salary Record'!I149</f>
        <v>21</v>
      </c>
      <c r="I77" s="184">
        <f>'Salary Record'!I148</f>
        <v>31</v>
      </c>
      <c r="J77" s="180">
        <f>'Salary Record'!K149</f>
        <v>2963.7096774193546</v>
      </c>
      <c r="K77" s="180">
        <f>'Salary Record'!K150</f>
        <v>37963.709677419356</v>
      </c>
      <c r="L77" s="181">
        <f>'Salary Record'!G148</f>
        <v>40867</v>
      </c>
      <c r="M77" s="182">
        <f>'Salary Record'!G149</f>
        <v>0</v>
      </c>
      <c r="N77" s="183">
        <f>'Salary Record'!G150</f>
        <v>40867</v>
      </c>
      <c r="O77" s="182">
        <f>'Salary Record'!G151</f>
        <v>0</v>
      </c>
      <c r="P77" s="183">
        <f>'Salary Record'!G152</f>
        <v>40867</v>
      </c>
      <c r="Q77" s="185">
        <f>'Salary Record'!K152</f>
        <v>37963.709677419356</v>
      </c>
      <c r="R77" s="122" t="s">
        <v>119</v>
      </c>
      <c r="S77" s="122" t="s">
        <v>120</v>
      </c>
      <c r="T77" s="124"/>
    </row>
    <row r="78" spans="1:24" s="208" customFormat="1" ht="21" x14ac:dyDescent="0.3">
      <c r="A78" s="358" t="s">
        <v>2</v>
      </c>
      <c r="B78" s="359"/>
      <c r="C78" s="232"/>
      <c r="D78" s="232"/>
      <c r="E78" s="236">
        <f>SUM(E69:E77)</f>
        <v>345000</v>
      </c>
      <c r="F78" s="232"/>
      <c r="G78" s="232"/>
      <c r="H78" s="232"/>
      <c r="I78" s="232"/>
      <c r="J78" s="236">
        <f>SUM(J69:J77)</f>
        <v>42584.677419354841</v>
      </c>
      <c r="K78" s="236">
        <f>SUM(K69:K77)</f>
        <v>333229.83870967739</v>
      </c>
      <c r="L78" s="232"/>
      <c r="M78" s="232"/>
      <c r="N78" s="232"/>
      <c r="O78" s="232"/>
      <c r="P78" s="232"/>
      <c r="Q78" s="206">
        <f>SUM(Q69:Q77)</f>
        <v>333229.83870967739</v>
      </c>
      <c r="R78" s="207"/>
      <c r="T78" s="209"/>
    </row>
    <row r="79" spans="1:24" s="208" customFormat="1" ht="21" x14ac:dyDescent="0.3">
      <c r="A79" s="261"/>
      <c r="B79" s="262"/>
      <c r="C79" s="263"/>
      <c r="D79" s="263"/>
      <c r="E79" s="185"/>
      <c r="F79" s="263"/>
      <c r="G79" s="263"/>
      <c r="H79" s="263"/>
      <c r="I79" s="263"/>
      <c r="J79" s="185"/>
      <c r="K79" s="264"/>
      <c r="L79" s="232"/>
      <c r="M79" s="232"/>
      <c r="N79" s="232"/>
      <c r="O79" s="232"/>
      <c r="P79" s="232"/>
      <c r="Q79" s="265"/>
      <c r="R79" s="230"/>
      <c r="T79" s="266"/>
    </row>
    <row r="80" spans="1:24" ht="21" customHeight="1" x14ac:dyDescent="0.2">
      <c r="A80" s="374" t="s">
        <v>102</v>
      </c>
      <c r="B80" s="375"/>
      <c r="C80" s="226"/>
      <c r="D80" s="226"/>
      <c r="E80" s="237">
        <f>SUM(E4+E5+E66+E52+E45+E34+E27+E20+E11+E78)</f>
        <v>1919500</v>
      </c>
      <c r="F80" s="226"/>
      <c r="G80" s="226"/>
      <c r="H80" s="226"/>
      <c r="I80" s="226"/>
      <c r="J80" s="237">
        <f>SUM(J4+J5+J66+J52+J45+J34+J27+J20+J11+J78)</f>
        <v>212356.85483870967</v>
      </c>
      <c r="K80" s="227"/>
      <c r="L80" s="211">
        <f>SUM(L4:L78)</f>
        <v>747922</v>
      </c>
      <c r="M80" s="235">
        <f>SUM(M4:M78)</f>
        <v>0</v>
      </c>
      <c r="N80" s="211">
        <f>SUM(N4:N78)</f>
        <v>747922</v>
      </c>
      <c r="O80" s="211">
        <f>SUM(O4:O78)</f>
        <v>0</v>
      </c>
      <c r="P80" s="211">
        <f>SUM(P4:P78)</f>
        <v>747922</v>
      </c>
      <c r="Q80" s="210">
        <f>SUM(Q4+Q5++Q66+Q52+Q45+Q34+Q27+Q20+Q11+Q78)+20000</f>
        <v>1680824.5967741932</v>
      </c>
      <c r="R80" s="82"/>
      <c r="S80" s="8"/>
      <c r="U80" s="8"/>
    </row>
    <row r="81" spans="1:21" ht="20.45" customHeight="1" x14ac:dyDescent="0.2">
      <c r="A81" s="376" t="s">
        <v>171</v>
      </c>
      <c r="B81" s="377"/>
      <c r="C81" s="377"/>
      <c r="D81" s="377"/>
      <c r="E81" s="377"/>
      <c r="F81" s="377"/>
      <c r="G81" s="377"/>
      <c r="H81" s="377"/>
      <c r="I81" s="377"/>
      <c r="J81" s="377"/>
      <c r="K81" s="377"/>
      <c r="L81" s="377"/>
      <c r="M81" s="377"/>
      <c r="N81" s="377"/>
      <c r="O81" s="377"/>
      <c r="P81" s="378"/>
      <c r="Q81" s="98"/>
      <c r="R81" s="82"/>
      <c r="S81" s="8"/>
      <c r="U81" s="8"/>
    </row>
    <row r="82" spans="1:21" ht="20.45" customHeight="1" x14ac:dyDescent="0.2">
      <c r="A82" s="376" t="s">
        <v>172</v>
      </c>
      <c r="B82" s="377"/>
      <c r="C82" s="377"/>
      <c r="D82" s="377"/>
      <c r="E82" s="377"/>
      <c r="F82" s="377"/>
      <c r="G82" s="377"/>
      <c r="H82" s="377"/>
      <c r="I82" s="377"/>
      <c r="J82" s="377"/>
      <c r="K82" s="377"/>
      <c r="L82" s="377"/>
      <c r="M82" s="377"/>
      <c r="N82" s="377"/>
      <c r="O82" s="377"/>
      <c r="P82" s="378"/>
      <c r="Q82" s="98"/>
      <c r="R82" s="82"/>
      <c r="S82" s="8"/>
      <c r="U82" s="8"/>
    </row>
    <row r="83" spans="1:21" ht="20.45" customHeight="1" x14ac:dyDescent="0.25">
      <c r="A83" s="214"/>
      <c r="B83" s="84"/>
      <c r="C83" s="84"/>
      <c r="D83" s="84"/>
      <c r="E83" s="84"/>
      <c r="F83" s="84"/>
      <c r="G83" s="84"/>
      <c r="H83" s="84"/>
      <c r="I83" s="84"/>
      <c r="J83" s="84"/>
      <c r="K83" s="100"/>
      <c r="L83" s="100"/>
      <c r="M83" s="100"/>
      <c r="N83" s="100"/>
      <c r="O83" s="101"/>
      <c r="P83" s="101"/>
      <c r="Q83" s="102"/>
      <c r="R83" s="82"/>
      <c r="S83" s="8"/>
      <c r="U83" s="8"/>
    </row>
    <row r="84" spans="1:21" ht="18" x14ac:dyDescent="0.25">
      <c r="A84" s="215"/>
      <c r="B84" s="99"/>
      <c r="C84" s="60"/>
      <c r="D84" s="61"/>
      <c r="E84" s="9"/>
      <c r="F84" s="9"/>
      <c r="G84" s="18"/>
      <c r="H84" s="63"/>
      <c r="I84" s="9"/>
      <c r="J84" s="13"/>
      <c r="K84" s="10"/>
      <c r="L84" s="9"/>
      <c r="M84" s="9"/>
      <c r="N84" s="15"/>
      <c r="O84" s="9"/>
      <c r="P84" s="15"/>
      <c r="Q84" s="251"/>
      <c r="R84" s="80"/>
      <c r="S84" s="8"/>
      <c r="U84" s="8"/>
    </row>
    <row r="85" spans="1:21" x14ac:dyDescent="0.2">
      <c r="A85" s="216"/>
      <c r="B85" s="92"/>
      <c r="C85" s="92"/>
      <c r="D85" s="92"/>
      <c r="E85" s="72"/>
      <c r="F85" s="72"/>
      <c r="G85" s="93"/>
      <c r="H85" s="72"/>
      <c r="I85" s="72"/>
      <c r="J85" s="72"/>
      <c r="K85" s="72"/>
      <c r="L85" s="72"/>
      <c r="M85" s="72"/>
      <c r="N85" s="94"/>
      <c r="O85" s="72"/>
      <c r="P85" s="94"/>
      <c r="Q85" s="73"/>
      <c r="S85" s="8"/>
    </row>
    <row r="86" spans="1:21" ht="15.75" x14ac:dyDescent="0.25">
      <c r="A86" s="213">
        <v>9</v>
      </c>
      <c r="B86" s="272" t="str">
        <f>'Salary Record'!C736</f>
        <v>Sheheryar Khalid</v>
      </c>
      <c r="C86" s="68"/>
      <c r="D86" s="69"/>
      <c r="E86" s="9">
        <f>'Salary Record'!K735</f>
        <v>30000</v>
      </c>
      <c r="F86" s="9">
        <f>'Salary Record'!C741</f>
        <v>0</v>
      </c>
      <c r="G86" s="18">
        <f>'Salary Record'!C742</f>
        <v>0</v>
      </c>
      <c r="H86" s="9">
        <f>'Salary Record'!I740</f>
        <v>98</v>
      </c>
      <c r="I86" s="9">
        <f>'Salary Record'!I739</f>
        <v>0</v>
      </c>
      <c r="J86" s="253">
        <f>'Salary Record'!K740</f>
        <v>11854.838709677419</v>
      </c>
      <c r="K86" s="13">
        <f>'Salary Record'!K741</f>
        <v>11854.838709677419</v>
      </c>
      <c r="L86" s="9">
        <f>'Salary Record'!G739</f>
        <v>0</v>
      </c>
      <c r="M86" s="9">
        <f>'Salary Record'!G740</f>
        <v>0</v>
      </c>
      <c r="N86" s="15">
        <f>'Salary Record'!G741</f>
        <v>0</v>
      </c>
      <c r="O86" s="9">
        <f>'Salary Record'!G742</f>
        <v>0</v>
      </c>
      <c r="P86" s="15">
        <f>'Salary Record'!G743</f>
        <v>0</v>
      </c>
      <c r="Q86" s="185">
        <f>'Salary Record'!K743</f>
        <v>0</v>
      </c>
      <c r="R86" s="80"/>
    </row>
    <row r="87" spans="1:21" s="123" customFormat="1" ht="21" customHeight="1" x14ac:dyDescent="0.2">
      <c r="A87" s="212">
        <v>2</v>
      </c>
      <c r="B87" s="239" t="s">
        <v>13</v>
      </c>
      <c r="C87" s="154" t="s">
        <v>30</v>
      </c>
      <c r="D87" s="155" t="e">
        <f>SUM(Q26:Q89)</f>
        <v>#REF!</v>
      </c>
      <c r="E87" s="199" t="e">
        <f>'Salary Record'!#REF!</f>
        <v>#REF!</v>
      </c>
      <c r="F87" s="199" t="e">
        <f>'Salary Record'!#REF!</f>
        <v>#REF!</v>
      </c>
      <c r="G87" s="200" t="e">
        <f>'Salary Record'!#REF!</f>
        <v>#REF!</v>
      </c>
      <c r="H87" s="199" t="e">
        <f>'Salary Record'!#REF!</f>
        <v>#REF!</v>
      </c>
      <c r="I87" s="199" t="e">
        <f>'Salary Record'!#REF!</f>
        <v>#REF!</v>
      </c>
      <c r="J87" s="173" t="e">
        <f>'Salary Record'!#REF!</f>
        <v>#REF!</v>
      </c>
      <c r="K87" s="199" t="e">
        <f>'Salary Record'!#REF!</f>
        <v>#REF!</v>
      </c>
      <c r="L87" s="174" t="e">
        <f>'Salary Record'!#REF!</f>
        <v>#REF!</v>
      </c>
      <c r="M87" s="174" t="e">
        <f>'Salary Record'!#REF!</f>
        <v>#REF!</v>
      </c>
      <c r="N87" s="176" t="e">
        <f>'Salary Record'!#REF!</f>
        <v>#REF!</v>
      </c>
      <c r="O87" s="175" t="e">
        <f>'Salary Record'!#REF!</f>
        <v>#REF!</v>
      </c>
      <c r="P87" s="176" t="e">
        <f>'Salary Record'!#REF!</f>
        <v>#REF!</v>
      </c>
      <c r="Q87" s="201" t="e">
        <f>'Salary Record'!#REF!</f>
        <v>#REF!</v>
      </c>
      <c r="R87" s="122"/>
      <c r="S87" s="122"/>
      <c r="T87" s="124"/>
    </row>
    <row r="88" spans="1:21" ht="15" x14ac:dyDescent="0.25">
      <c r="A88" s="215"/>
      <c r="B88" s="16"/>
      <c r="C88" s="95" t="s">
        <v>31</v>
      </c>
      <c r="D88" s="96" t="e">
        <f>SUM(Q27:Q90)</f>
        <v>#REF!</v>
      </c>
      <c r="E88" s="14" t="e">
        <f>'Salary Record'!#REF!</f>
        <v>#REF!</v>
      </c>
      <c r="F88" s="14" t="e">
        <f>'Salary Record'!#REF!</f>
        <v>#REF!</v>
      </c>
      <c r="G88" s="20" t="e">
        <f>'Salary Record'!#REF!</f>
        <v>#REF!</v>
      </c>
      <c r="H88" s="14" t="e">
        <f>'Salary Record'!#REF!</f>
        <v>#REF!</v>
      </c>
      <c r="I88" s="14" t="e">
        <f>'Salary Record'!#REF!</f>
        <v>#REF!</v>
      </c>
      <c r="J88" s="13" t="e">
        <f>'Salary Record'!#REF!</f>
        <v>#REF!</v>
      </c>
      <c r="K88" s="13" t="e">
        <f>'Salary Record'!#REF!</f>
        <v>#REF!</v>
      </c>
      <c r="L88" s="9" t="e">
        <f>'Salary Record'!#REF!</f>
        <v>#REF!</v>
      </c>
      <c r="M88" s="14" t="e">
        <f>'Salary Record'!#REF!</f>
        <v>#REF!</v>
      </c>
      <c r="N88" s="15" t="e">
        <f>'Salary Record'!#REF!</f>
        <v>#REF!</v>
      </c>
      <c r="O88" s="14" t="e">
        <f>'Salary Record'!#REF!</f>
        <v>#REF!</v>
      </c>
      <c r="P88" s="15" t="e">
        <f>'Salary Record'!#REF!</f>
        <v>#REF!</v>
      </c>
      <c r="Q88" s="19" t="e">
        <f>'Salary Record'!#REF!</f>
        <v>#REF!</v>
      </c>
      <c r="R88" s="80"/>
    </row>
    <row r="89" spans="1:21" x14ac:dyDescent="0.2">
      <c r="A89" s="216"/>
      <c r="B89" s="92"/>
      <c r="C89" s="92"/>
      <c r="D89" s="92"/>
      <c r="E89" s="72"/>
      <c r="F89" s="72"/>
      <c r="G89" s="93"/>
      <c r="H89" s="72"/>
      <c r="I89" s="72"/>
      <c r="J89" s="72"/>
      <c r="K89" s="72"/>
      <c r="L89" s="72"/>
      <c r="M89" s="72"/>
      <c r="N89" s="94"/>
      <c r="O89" s="72"/>
      <c r="P89" s="94"/>
      <c r="Q89" s="73"/>
    </row>
    <row r="90" spans="1:21" ht="15.75" x14ac:dyDescent="0.25">
      <c r="A90" s="215">
        <v>3</v>
      </c>
      <c r="B90" s="16" t="s">
        <v>12</v>
      </c>
      <c r="C90" s="53" t="s">
        <v>83</v>
      </c>
      <c r="D90" s="54">
        <f>SUM(Q90:Q90)</f>
        <v>0</v>
      </c>
      <c r="E90" s="10">
        <f>'Salary Record'!K814</f>
        <v>0</v>
      </c>
      <c r="F90" s="10">
        <f>'Salary Record'!C820</f>
        <v>29</v>
      </c>
      <c r="G90" s="17">
        <f>'Salary Record'!C821</f>
        <v>2</v>
      </c>
      <c r="H90" s="10">
        <f>'Salary Record'!I819</f>
        <v>0</v>
      </c>
      <c r="I90" s="10">
        <f>'Salary Record'!I818</f>
        <v>31</v>
      </c>
      <c r="J90" s="13">
        <f>'Salary Record'!K819</f>
        <v>0</v>
      </c>
      <c r="K90" s="10">
        <f>'Salary Record'!K820</f>
        <v>0</v>
      </c>
      <c r="L90" s="9">
        <f>'Salary Record'!G818</f>
        <v>0</v>
      </c>
      <c r="M90" s="14">
        <f>'Salary Record'!G819</f>
        <v>0</v>
      </c>
      <c r="N90" s="15">
        <f>'Salary Record'!G820</f>
        <v>0</v>
      </c>
      <c r="O90" s="10">
        <f>'Salary Record'!G821</f>
        <v>0</v>
      </c>
      <c r="P90" s="15">
        <f>'Salary Record'!G822</f>
        <v>0</v>
      </c>
      <c r="Q90" s="91">
        <f>'Salary Record'!K822</f>
        <v>0</v>
      </c>
      <c r="R90" s="80"/>
      <c r="S90" s="8"/>
    </row>
    <row r="91" spans="1:21" ht="20.25" x14ac:dyDescent="0.3">
      <c r="B91" s="366" t="s">
        <v>92</v>
      </c>
      <c r="C91" s="367"/>
      <c r="D91" s="367"/>
      <c r="E91" s="367"/>
      <c r="F91" s="367"/>
      <c r="G91" s="367"/>
      <c r="H91" s="367"/>
      <c r="I91" s="367"/>
      <c r="J91" s="367"/>
      <c r="K91" s="367"/>
      <c r="L91" s="367"/>
      <c r="M91"/>
      <c r="N91"/>
      <c r="O91"/>
      <c r="P91"/>
      <c r="R91"/>
      <c r="T91"/>
    </row>
    <row r="92" spans="1:21" ht="15" x14ac:dyDescent="0.25">
      <c r="B92" s="240" t="s">
        <v>93</v>
      </c>
      <c r="C92" s="90" t="s">
        <v>107</v>
      </c>
      <c r="D92" s="90" t="s">
        <v>105</v>
      </c>
      <c r="E92" s="90" t="str">
        <f>N1</f>
        <v>January</v>
      </c>
      <c r="G92" s="2"/>
      <c r="H92" s="70"/>
      <c r="K92"/>
      <c r="L92"/>
      <c r="M92"/>
      <c r="N92"/>
      <c r="O92"/>
      <c r="P92"/>
      <c r="R92"/>
      <c r="T92"/>
    </row>
    <row r="93" spans="1:21" x14ac:dyDescent="0.2">
      <c r="B93" s="241" t="s">
        <v>167</v>
      </c>
      <c r="C93" s="87">
        <v>100000</v>
      </c>
      <c r="D93" s="88">
        <v>100000</v>
      </c>
      <c r="E93" s="88">
        <v>25000</v>
      </c>
      <c r="G93" s="2"/>
      <c r="H93" s="70"/>
      <c r="K93" s="8"/>
      <c r="L93"/>
      <c r="M93"/>
      <c r="N93"/>
      <c r="O93"/>
      <c r="P93"/>
      <c r="R93"/>
      <c r="T93"/>
    </row>
    <row r="94" spans="1:21" x14ac:dyDescent="0.2">
      <c r="B94" s="241" t="s">
        <v>157</v>
      </c>
      <c r="C94" s="87"/>
      <c r="D94" s="88"/>
      <c r="E94" s="88">
        <v>25000</v>
      </c>
      <c r="G94" s="2"/>
      <c r="H94" s="70"/>
      <c r="K94"/>
      <c r="L94"/>
      <c r="M94"/>
      <c r="N94"/>
      <c r="O94"/>
      <c r="P94"/>
      <c r="R94"/>
      <c r="T94"/>
    </row>
    <row r="95" spans="1:21" x14ac:dyDescent="0.2">
      <c r="B95" s="241" t="s">
        <v>169</v>
      </c>
      <c r="C95" s="87"/>
      <c r="D95" s="88"/>
      <c r="E95" s="88">
        <v>25000</v>
      </c>
      <c r="G95" s="2"/>
      <c r="H95" s="70"/>
      <c r="I95" s="2" t="e">
        <f>#REF!+#REF!+Q66+Q52+#REF!+Q45+Q34+Q27+Q20+Q5</f>
        <v>#REF!</v>
      </c>
      <c r="K95"/>
      <c r="L95"/>
      <c r="M95"/>
      <c r="N95"/>
      <c r="O95"/>
      <c r="P95"/>
      <c r="R95"/>
      <c r="T95"/>
    </row>
    <row r="96" spans="1:21" x14ac:dyDescent="0.2">
      <c r="B96" s="241" t="s">
        <v>89</v>
      </c>
      <c r="C96" s="87"/>
      <c r="D96" s="88"/>
      <c r="E96" s="88">
        <v>25000</v>
      </c>
      <c r="G96" s="2"/>
      <c r="H96" s="70"/>
      <c r="K96"/>
      <c r="L96"/>
      <c r="M96"/>
      <c r="N96"/>
      <c r="O96"/>
      <c r="P96"/>
      <c r="R96"/>
      <c r="T96"/>
    </row>
    <row r="97" spans="2:20" ht="14.25" x14ac:dyDescent="0.2">
      <c r="B97" s="241" t="s">
        <v>158</v>
      </c>
      <c r="C97" s="87"/>
      <c r="D97" s="88"/>
      <c r="E97" s="88">
        <v>80000</v>
      </c>
      <c r="F97" s="75"/>
      <c r="G97" s="75"/>
      <c r="H97" s="75"/>
      <c r="I97" s="75"/>
      <c r="K97"/>
      <c r="L97"/>
      <c r="M97"/>
      <c r="N97"/>
      <c r="O97"/>
      <c r="P97"/>
      <c r="R97"/>
      <c r="T97"/>
    </row>
    <row r="98" spans="2:20" x14ac:dyDescent="0.2">
      <c r="B98" s="241" t="s">
        <v>32</v>
      </c>
      <c r="C98" s="87"/>
      <c r="D98" s="88"/>
      <c r="E98" s="88">
        <f>Q20</f>
        <v>187516.12903225806</v>
      </c>
      <c r="G98" s="2"/>
      <c r="H98" s="70"/>
      <c r="K98"/>
      <c r="L98"/>
      <c r="M98"/>
      <c r="N98"/>
      <c r="O98"/>
      <c r="P98"/>
      <c r="R98"/>
      <c r="T98"/>
    </row>
    <row r="99" spans="2:20" x14ac:dyDescent="0.2">
      <c r="B99" s="241" t="s">
        <v>159</v>
      </c>
      <c r="C99" s="87"/>
      <c r="D99" s="88"/>
      <c r="E99" s="88">
        <f>Q27</f>
        <v>137098.79032258067</v>
      </c>
      <c r="F99" s="8"/>
      <c r="G99" s="8"/>
      <c r="H99" s="89"/>
      <c r="I99" s="8"/>
      <c r="K99" s="11"/>
      <c r="L99"/>
      <c r="M99"/>
      <c r="N99"/>
      <c r="O99"/>
      <c r="P99"/>
      <c r="R99"/>
      <c r="T99"/>
    </row>
    <row r="100" spans="2:20" x14ac:dyDescent="0.2">
      <c r="B100" s="241" t="s">
        <v>160</v>
      </c>
      <c r="C100" s="87"/>
      <c r="D100" s="88"/>
      <c r="E100" s="88">
        <f>Q34</f>
        <v>139911.29032258064</v>
      </c>
      <c r="G100" s="2"/>
      <c r="H100" s="70"/>
      <c r="J100" s="8"/>
      <c r="K100"/>
      <c r="L100"/>
      <c r="M100"/>
      <c r="N100"/>
      <c r="O100"/>
      <c r="P100"/>
      <c r="R100"/>
      <c r="T100"/>
    </row>
    <row r="101" spans="2:20" x14ac:dyDescent="0.2">
      <c r="B101" s="241" t="s">
        <v>157</v>
      </c>
      <c r="C101" s="87"/>
      <c r="D101" s="88"/>
      <c r="E101" s="88">
        <f>Q45</f>
        <v>305354.83870967745</v>
      </c>
      <c r="G101" s="2"/>
      <c r="H101" s="70"/>
      <c r="J101" s="8"/>
      <c r="K101" s="11"/>
      <c r="L101"/>
      <c r="M101"/>
      <c r="N101"/>
      <c r="O101"/>
      <c r="P101"/>
      <c r="R101"/>
      <c r="T101"/>
    </row>
    <row r="102" spans="2:20" x14ac:dyDescent="0.2">
      <c r="B102" s="241" t="s">
        <v>37</v>
      </c>
      <c r="C102" s="87"/>
      <c r="D102" s="88"/>
      <c r="E102" s="88">
        <f>Q52</f>
        <v>163439.51612903224</v>
      </c>
      <c r="F102" s="8"/>
      <c r="G102" s="8"/>
      <c r="H102" s="89"/>
      <c r="I102" s="8"/>
      <c r="J102" s="8"/>
      <c r="K102" s="11"/>
      <c r="L102"/>
      <c r="M102"/>
      <c r="N102"/>
      <c r="O102"/>
      <c r="P102"/>
      <c r="R102"/>
      <c r="T102"/>
    </row>
    <row r="103" spans="2:20" x14ac:dyDescent="0.2">
      <c r="B103" s="241" t="s">
        <v>89</v>
      </c>
      <c r="C103" s="87"/>
      <c r="D103" s="88"/>
      <c r="E103" s="88">
        <f>Q66</f>
        <v>394274.19354838703</v>
      </c>
      <c r="F103" s="8"/>
      <c r="G103"/>
      <c r="I103" s="8"/>
      <c r="K103"/>
      <c r="L103"/>
      <c r="M103"/>
      <c r="N103"/>
      <c r="O103"/>
      <c r="P103"/>
      <c r="R103"/>
      <c r="T103"/>
    </row>
    <row r="104" spans="2:20" x14ac:dyDescent="0.2">
      <c r="B104" s="244" t="s">
        <v>167</v>
      </c>
      <c r="C104" s="87"/>
      <c r="D104" s="88"/>
      <c r="E104" s="88">
        <f>Q78</f>
        <v>333229.83870967739</v>
      </c>
      <c r="F104"/>
      <c r="G104" s="8">
        <f>E107-E93-E94-E95-E96-E97-E106</f>
        <v>1705824.5967741932</v>
      </c>
      <c r="H104"/>
      <c r="I104"/>
      <c r="J104"/>
      <c r="K104"/>
      <c r="L104"/>
      <c r="M104" s="8"/>
      <c r="N104"/>
      <c r="O104" s="8"/>
      <c r="P104"/>
      <c r="S104" s="8"/>
    </row>
    <row r="105" spans="2:20" x14ac:dyDescent="0.2">
      <c r="B105" s="248" t="s">
        <v>161</v>
      </c>
      <c r="C105" s="87"/>
      <c r="D105" s="88"/>
      <c r="E105" s="88">
        <f>Q73</f>
        <v>45000</v>
      </c>
      <c r="F105"/>
      <c r="G105"/>
      <c r="H105"/>
      <c r="I105" s="8"/>
      <c r="J105" s="8"/>
      <c r="K105"/>
      <c r="L105"/>
      <c r="M105"/>
      <c r="N105"/>
      <c r="O105" s="8"/>
      <c r="P105" s="11"/>
      <c r="S105" s="8"/>
    </row>
    <row r="106" spans="2:20" x14ac:dyDescent="0.2">
      <c r="B106" s="241" t="s">
        <v>162</v>
      </c>
      <c r="C106" s="87"/>
      <c r="D106" s="88"/>
      <c r="E106" s="88">
        <v>5000</v>
      </c>
      <c r="F106"/>
      <c r="G106"/>
      <c r="H106"/>
      <c r="I106"/>
      <c r="J106"/>
      <c r="K106"/>
      <c r="L106"/>
      <c r="M106"/>
      <c r="N106"/>
      <c r="O106" s="8"/>
      <c r="P106" s="8"/>
      <c r="S106" s="8"/>
    </row>
    <row r="107" spans="2:20" ht="15" x14ac:dyDescent="0.25">
      <c r="B107" s="242" t="s">
        <v>100</v>
      </c>
      <c r="C107" s="86">
        <f>SUM(C93:C106)</f>
        <v>100000</v>
      </c>
      <c r="D107" s="86">
        <f>SUM(D93:D106)</f>
        <v>100000</v>
      </c>
      <c r="E107" s="86">
        <f>SUM(E93:E106)</f>
        <v>1890824.5967741932</v>
      </c>
      <c r="F107"/>
      <c r="G107"/>
      <c r="H107" s="8"/>
      <c r="I107"/>
      <c r="J107"/>
      <c r="K107"/>
      <c r="L107"/>
      <c r="M107"/>
      <c r="N107"/>
      <c r="O107" s="8"/>
      <c r="P107" s="8"/>
      <c r="S107" s="8"/>
    </row>
    <row r="108" spans="2:20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S108" s="8"/>
    </row>
    <row r="109" spans="2:20" x14ac:dyDescent="0.2">
      <c r="B109"/>
      <c r="C109"/>
      <c r="D109"/>
      <c r="E109" s="89"/>
      <c r="F109"/>
      <c r="G109"/>
      <c r="H109"/>
      <c r="I109"/>
      <c r="J109"/>
      <c r="K109"/>
      <c r="L109"/>
      <c r="M109"/>
      <c r="N109"/>
      <c r="O109" s="8"/>
      <c r="P109" s="8"/>
      <c r="S109" s="2"/>
    </row>
    <row r="110" spans="2:20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S110" s="8"/>
    </row>
    <row r="111" spans="2:20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71">
        <f>SUM(O91:O108)</f>
        <v>0</v>
      </c>
      <c r="P111" s="8"/>
    </row>
    <row r="112" spans="2:20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S112" s="8"/>
    </row>
    <row r="113" spans="2:20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89"/>
      <c r="S114" s="8"/>
    </row>
    <row r="115" spans="2:20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S115" s="2"/>
      <c r="T115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S116" s="2"/>
      <c r="T116"/>
    </row>
    <row r="117" spans="2:20" x14ac:dyDescent="0.2">
      <c r="B117"/>
      <c r="C117"/>
      <c r="D117"/>
      <c r="E117"/>
      <c r="J117"/>
      <c r="K117"/>
      <c r="L117"/>
      <c r="M117"/>
      <c r="N117"/>
      <c r="O117"/>
      <c r="P117"/>
      <c r="S117" s="8"/>
      <c r="T117"/>
    </row>
    <row r="118" spans="2:20" x14ac:dyDescent="0.2">
      <c r="B118"/>
      <c r="C118"/>
      <c r="D118"/>
      <c r="E118"/>
      <c r="J118"/>
      <c r="K118"/>
      <c r="L118"/>
      <c r="M118"/>
      <c r="N118"/>
      <c r="O118"/>
      <c r="P118"/>
      <c r="T118"/>
    </row>
    <row r="119" spans="2:20" x14ac:dyDescent="0.2">
      <c r="B119"/>
      <c r="C119"/>
      <c r="D119"/>
      <c r="E119"/>
      <c r="J119"/>
      <c r="K119"/>
      <c r="L119"/>
      <c r="M119"/>
      <c r="N119"/>
      <c r="O119"/>
      <c r="P119"/>
      <c r="S119" s="8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J122"/>
      <c r="K122"/>
      <c r="L122"/>
      <c r="M122"/>
      <c r="N122"/>
      <c r="O122"/>
      <c r="P122"/>
      <c r="T122"/>
    </row>
    <row r="123" spans="2:20" x14ac:dyDescent="0.2">
      <c r="K123"/>
      <c r="L123"/>
      <c r="M123"/>
      <c r="N123"/>
      <c r="O123"/>
      <c r="P123"/>
    </row>
    <row r="124" spans="2:20" x14ac:dyDescent="0.2">
      <c r="K124"/>
      <c r="L124"/>
      <c r="M124"/>
      <c r="N124"/>
      <c r="P124"/>
    </row>
    <row r="125" spans="2:20" x14ac:dyDescent="0.2">
      <c r="P125"/>
    </row>
    <row r="126" spans="2:20" x14ac:dyDescent="0.2">
      <c r="P126" s="3">
        <f>Q52+Q11</f>
        <v>163439.51612903224</v>
      </c>
    </row>
    <row r="127" spans="2:20" x14ac:dyDescent="0.2">
      <c r="P127" s="3">
        <v>14580</v>
      </c>
    </row>
    <row r="128" spans="2:20" x14ac:dyDescent="0.2">
      <c r="P128" s="3">
        <v>20000</v>
      </c>
      <c r="S128" s="8"/>
    </row>
    <row r="129" spans="16:19" x14ac:dyDescent="0.2">
      <c r="P129" s="3">
        <v>4150</v>
      </c>
      <c r="S129" s="2"/>
    </row>
    <row r="130" spans="16:19" x14ac:dyDescent="0.2">
      <c r="S130" s="2"/>
    </row>
    <row r="131" spans="16:19" x14ac:dyDescent="0.2">
      <c r="S131" s="8"/>
    </row>
    <row r="133" spans="16:19" x14ac:dyDescent="0.2">
      <c r="S133" s="8"/>
    </row>
  </sheetData>
  <autoFilter ref="A3:X107" xr:uid="{00000000-0009-0000-0000-000000000000}"/>
  <mergeCells count="25">
    <mergeCell ref="B91:L91"/>
    <mergeCell ref="N1:O2"/>
    <mergeCell ref="A1:M2"/>
    <mergeCell ref="A80:B80"/>
    <mergeCell ref="A81:P81"/>
    <mergeCell ref="A82:P82"/>
    <mergeCell ref="A54:Q54"/>
    <mergeCell ref="A68:Q68"/>
    <mergeCell ref="P1:P2"/>
    <mergeCell ref="A6:Q6"/>
    <mergeCell ref="C7:C10"/>
    <mergeCell ref="D7:D10"/>
    <mergeCell ref="A66:B66"/>
    <mergeCell ref="A78:B78"/>
    <mergeCell ref="A27:B27"/>
    <mergeCell ref="A13:Q13"/>
    <mergeCell ref="A22:Q22"/>
    <mergeCell ref="A11:B11"/>
    <mergeCell ref="A20:B20"/>
    <mergeCell ref="A52:B52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3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abSelected="1" topLeftCell="A799" zoomScale="90" zoomScaleNormal="90" zoomScaleSheetLayoutView="90" workbookViewId="0">
      <selection activeCell="P735" sqref="P735:R740"/>
    </sheetView>
  </sheetViews>
  <sheetFormatPr defaultColWidth="9.140625" defaultRowHeight="18.75" x14ac:dyDescent="0.3"/>
  <cols>
    <col min="1" max="1" width="1" style="275" customWidth="1"/>
    <col min="2" max="2" width="15.7109375" style="275" customWidth="1"/>
    <col min="3" max="3" width="8.42578125" style="275" customWidth="1"/>
    <col min="4" max="4" width="0.42578125" style="275" customWidth="1"/>
    <col min="5" max="5" width="1.7109375" style="275" customWidth="1"/>
    <col min="6" max="6" width="18.5703125" style="275" customWidth="1"/>
    <col min="7" max="7" width="12" style="275" customWidth="1"/>
    <col min="8" max="8" width="2.140625" style="275" customWidth="1"/>
    <col min="9" max="9" width="7.140625" style="275" customWidth="1"/>
    <col min="10" max="10" width="14.85546875" style="275" customWidth="1"/>
    <col min="11" max="11" width="14.140625" style="275" customWidth="1"/>
    <col min="12" max="12" width="1.28515625" style="275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0" t="s">
        <v>64</v>
      </c>
      <c r="D1" s="420"/>
      <c r="E1" s="420"/>
      <c r="F1" s="420"/>
      <c r="G1" s="420"/>
      <c r="H1" s="420"/>
      <c r="I1" s="420"/>
      <c r="J1" s="276" t="s">
        <v>43</v>
      </c>
      <c r="K1" s="277">
        <v>2024</v>
      </c>
      <c r="L1" s="277"/>
      <c r="R1" s="47" t="e">
        <f>K17+K32+#REF!+#REF!+#REF!+#REF!+K47+K62+#REF!+K557+#REF!+#REF!+#REF!+K122+K137+#REF!+K152+#REF!+K633+K242+K257+K212+#REF!+#REF!+K437+#REF!+K167+#REF!+K197+K92+#REF!+#REF!+K618+K332+K467+K392+K743+K822+K587+#REF!+K512+#REF!+#REF!+K407+#REF!+K317+K572+#REF!+K696+#REF!+K347+K665+K77+K362+K422+K649+#REF!+K272+#REF!+K452+#REF!+K527+K482+#REF!+K497+K287+K227+K377+#REF!+K107+K182+#REF!-12678</f>
        <v>#REF!</v>
      </c>
      <c r="U1" s="65" t="e">
        <f>K59+K74+K554+K119+K134+#REF!+K149+K569+K164+K194+K630+K269+#REF!+K209+#REF!+K89+K693+K284+K434+K615+K329+K359+K464+K389+K600+#REF!+K344+#REF!+#REF!+K404+K646+#REF!+#REF!+K104+K179+#REF!+K224+K374+K524+K479+K494+K509+#REF!+#REF!</f>
        <v>#REF!</v>
      </c>
    </row>
    <row r="2" spans="1:27" x14ac:dyDescent="0.3">
      <c r="J2" s="278" t="s">
        <v>58</v>
      </c>
      <c r="K2" s="275">
        <v>31</v>
      </c>
      <c r="R2" s="65"/>
      <c r="U2" s="65"/>
    </row>
    <row r="4" spans="1:27" s="49" customFormat="1" ht="21" customHeight="1" x14ac:dyDescent="0.2">
      <c r="A4" s="277"/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N4" s="27"/>
      <c r="O4" s="27"/>
      <c r="P4" s="27"/>
      <c r="Q4" s="27"/>
      <c r="R4" s="119"/>
      <c r="S4" s="27"/>
      <c r="T4" s="27"/>
      <c r="U4" s="119"/>
      <c r="V4" s="27"/>
      <c r="W4" s="27"/>
      <c r="X4" s="27"/>
      <c r="Y4" s="27"/>
      <c r="Z4" s="27"/>
    </row>
    <row r="5" spans="1:27" s="49" customFormat="1" ht="21" customHeight="1" x14ac:dyDescent="0.2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0" t="s">
        <v>38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2"/>
      <c r="M7" s="24"/>
      <c r="N7" s="28"/>
      <c r="O7" s="385" t="s">
        <v>40</v>
      </c>
      <c r="P7" s="386"/>
      <c r="Q7" s="386"/>
      <c r="R7" s="387"/>
      <c r="S7" s="29"/>
      <c r="T7" s="385" t="s">
        <v>41</v>
      </c>
      <c r="U7" s="386"/>
      <c r="V7" s="386"/>
      <c r="W7" s="386"/>
      <c r="X7" s="386"/>
      <c r="Y7" s="387"/>
      <c r="Z7" s="30"/>
      <c r="AA7" s="24"/>
    </row>
    <row r="8" spans="1:27" s="25" customFormat="1" ht="27.75" customHeight="1" x14ac:dyDescent="0.2">
      <c r="A8" s="279"/>
      <c r="B8" s="277"/>
      <c r="C8" s="396" t="s">
        <v>212</v>
      </c>
      <c r="D8" s="396"/>
      <c r="E8" s="396"/>
      <c r="F8" s="396"/>
      <c r="G8" s="280" t="str">
        <f>$J$1</f>
        <v>January</v>
      </c>
      <c r="H8" s="399">
        <f>$K$1</f>
        <v>2024</v>
      </c>
      <c r="I8" s="399"/>
      <c r="J8" s="277"/>
      <c r="K8" s="281"/>
      <c r="L8" s="282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9"/>
      <c r="B9" s="277"/>
      <c r="C9" s="277"/>
      <c r="D9" s="283"/>
      <c r="E9" s="283"/>
      <c r="F9" s="283"/>
      <c r="G9" s="283"/>
      <c r="H9" s="283"/>
      <c r="I9" s="277"/>
      <c r="J9" s="284" t="s">
        <v>1</v>
      </c>
      <c r="K9" s="285">
        <f>55000+5000+5000+10000</f>
        <v>75000</v>
      </c>
      <c r="L9" s="286"/>
      <c r="N9" s="35"/>
      <c r="O9" s="36" t="s">
        <v>43</v>
      </c>
      <c r="P9" s="36">
        <v>31</v>
      </c>
      <c r="Q9" s="36">
        <v>0</v>
      </c>
      <c r="R9" s="36">
        <f>15-Q9</f>
        <v>15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9"/>
      <c r="B10" s="277" t="s">
        <v>0</v>
      </c>
      <c r="C10" s="276" t="s">
        <v>70</v>
      </c>
      <c r="D10" s="277"/>
      <c r="E10" s="277"/>
      <c r="F10" s="277"/>
      <c r="G10" s="277"/>
      <c r="H10" s="287"/>
      <c r="I10" s="283"/>
      <c r="J10" s="277"/>
      <c r="K10" s="277"/>
      <c r="L10" s="288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15</v>
      </c>
      <c r="S10" s="27"/>
      <c r="T10" s="36" t="s">
        <v>69</v>
      </c>
      <c r="U10" s="64" t="str">
        <f>IF($J$1="February",Y9,"")</f>
        <v/>
      </c>
      <c r="V10" s="38"/>
      <c r="W10" s="64" t="str">
        <f>IF(U10="","",U10+V10)</f>
        <v/>
      </c>
      <c r="X10" s="38"/>
      <c r="Y10" s="64" t="str">
        <f>IF(W10="","",W10-X10)</f>
        <v/>
      </c>
      <c r="Z10" s="40"/>
      <c r="AA10" s="24"/>
    </row>
    <row r="11" spans="1:27" s="25" customFormat="1" ht="27.75" customHeight="1" x14ac:dyDescent="0.2">
      <c r="A11" s="279"/>
      <c r="B11" s="289" t="s">
        <v>39</v>
      </c>
      <c r="C11" s="290"/>
      <c r="D11" s="277"/>
      <c r="E11" s="277"/>
      <c r="F11" s="393" t="s">
        <v>41</v>
      </c>
      <c r="G11" s="395"/>
      <c r="H11" s="277"/>
      <c r="I11" s="393" t="s">
        <v>42</v>
      </c>
      <c r="J11" s="394"/>
      <c r="K11" s="395"/>
      <c r="L11" s="291"/>
      <c r="N11" s="35"/>
      <c r="O11" s="36" t="s">
        <v>44</v>
      </c>
      <c r="P11" s="36">
        <v>31</v>
      </c>
      <c r="Q11" s="36">
        <v>0</v>
      </c>
      <c r="R11" s="36">
        <f t="shared" si="0"/>
        <v>15</v>
      </c>
      <c r="S11" s="27"/>
      <c r="T11" s="36" t="s">
        <v>44</v>
      </c>
      <c r="U11" s="64" t="str">
        <f>IF($J$1="March",Y10,"")</f>
        <v/>
      </c>
      <c r="V11" s="38"/>
      <c r="W11" s="64" t="str">
        <f t="shared" ref="W11:W20" si="1">IF(U11="","",U11+V11)</f>
        <v/>
      </c>
      <c r="X11" s="38"/>
      <c r="Y11" s="64" t="str">
        <f t="shared" ref="Y11:Y20" si="2">IF(W11="","",W11-X11)</f>
        <v/>
      </c>
      <c r="Z11" s="40"/>
    </row>
    <row r="12" spans="1:27" s="25" customFormat="1" ht="27.75" customHeight="1" x14ac:dyDescent="0.2">
      <c r="A12" s="279"/>
      <c r="B12" s="277"/>
      <c r="C12" s="277"/>
      <c r="D12" s="277"/>
      <c r="E12" s="277"/>
      <c r="F12" s="277"/>
      <c r="G12" s="277"/>
      <c r="H12" s="292"/>
      <c r="I12" s="277"/>
      <c r="J12" s="277"/>
      <c r="K12" s="277"/>
      <c r="L12" s="293"/>
      <c r="N12" s="35"/>
      <c r="O12" s="36" t="s">
        <v>45</v>
      </c>
      <c r="P12" s="36">
        <v>30</v>
      </c>
      <c r="Q12" s="36">
        <v>0</v>
      </c>
      <c r="R12" s="36">
        <f t="shared" si="0"/>
        <v>15</v>
      </c>
      <c r="S12" s="27"/>
      <c r="T12" s="36" t="s">
        <v>45</v>
      </c>
      <c r="U12" s="64" t="str">
        <f>IF($J$1="April",Y11,"")</f>
        <v/>
      </c>
      <c r="V12" s="38"/>
      <c r="W12" s="64" t="str">
        <f t="shared" si="1"/>
        <v/>
      </c>
      <c r="X12" s="38"/>
      <c r="Y12" s="64" t="str">
        <f t="shared" si="2"/>
        <v/>
      </c>
      <c r="Z12" s="40"/>
    </row>
    <row r="13" spans="1:27" s="25" customFormat="1" ht="27.75" customHeight="1" x14ac:dyDescent="0.2">
      <c r="A13" s="279"/>
      <c r="B13" s="397" t="s">
        <v>40</v>
      </c>
      <c r="C13" s="398"/>
      <c r="D13" s="277"/>
      <c r="E13" s="277"/>
      <c r="F13" s="294" t="s">
        <v>62</v>
      </c>
      <c r="G13" s="295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292"/>
      <c r="I13" s="296">
        <f>K2</f>
        <v>31</v>
      </c>
      <c r="J13" s="297" t="s">
        <v>59</v>
      </c>
      <c r="K13" s="298">
        <f>K9/$K$2*I13</f>
        <v>75000</v>
      </c>
      <c r="L13" s="299"/>
      <c r="N13" s="35"/>
      <c r="O13" s="36" t="s">
        <v>46</v>
      </c>
      <c r="P13" s="36">
        <v>29</v>
      </c>
      <c r="Q13" s="36">
        <v>2</v>
      </c>
      <c r="R13" s="36">
        <f t="shared" si="0"/>
        <v>13</v>
      </c>
      <c r="S13" s="27"/>
      <c r="T13" s="36" t="s">
        <v>46</v>
      </c>
      <c r="U13" s="64" t="str">
        <f>IF($J$1="May",Y12,"")</f>
        <v/>
      </c>
      <c r="V13" s="38"/>
      <c r="W13" s="64" t="str">
        <f t="shared" si="1"/>
        <v/>
      </c>
      <c r="X13" s="38"/>
      <c r="Y13" s="64" t="str">
        <f t="shared" si="2"/>
        <v/>
      </c>
      <c r="Z13" s="40"/>
    </row>
    <row r="14" spans="1:27" s="25" customFormat="1" ht="27.75" customHeight="1" x14ac:dyDescent="0.2">
      <c r="A14" s="279"/>
      <c r="B14" s="300"/>
      <c r="C14" s="300"/>
      <c r="D14" s="277"/>
      <c r="E14" s="277"/>
      <c r="F14" s="294" t="s">
        <v>18</v>
      </c>
      <c r="G14" s="29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92"/>
      <c r="I14" s="296"/>
      <c r="J14" s="297" t="s">
        <v>60</v>
      </c>
      <c r="K14" s="301">
        <f>K9/$K$2/8*I14</f>
        <v>0</v>
      </c>
      <c r="L14" s="302"/>
      <c r="N14" s="35"/>
      <c r="O14" s="36" t="s">
        <v>47</v>
      </c>
      <c r="P14" s="36">
        <v>29</v>
      </c>
      <c r="Q14" s="36">
        <v>1</v>
      </c>
      <c r="R14" s="36">
        <f t="shared" si="0"/>
        <v>12</v>
      </c>
      <c r="S14" s="27"/>
      <c r="T14" s="36" t="s">
        <v>47</v>
      </c>
      <c r="U14" s="64" t="str">
        <f>IF($J$1="June",Y13,"")</f>
        <v/>
      </c>
      <c r="V14" s="38"/>
      <c r="W14" s="64" t="str">
        <f t="shared" si="1"/>
        <v/>
      </c>
      <c r="X14" s="38"/>
      <c r="Y14" s="64" t="str">
        <f t="shared" si="2"/>
        <v/>
      </c>
      <c r="Z14" s="40"/>
    </row>
    <row r="15" spans="1:27" s="25" customFormat="1" ht="27.75" customHeight="1" x14ac:dyDescent="0.2">
      <c r="A15" s="279"/>
      <c r="B15" s="294" t="s">
        <v>7</v>
      </c>
      <c r="C15" s="30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277"/>
      <c r="E15" s="277"/>
      <c r="F15" s="294" t="s">
        <v>63</v>
      </c>
      <c r="G15" s="295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292"/>
      <c r="I15" s="388" t="s">
        <v>67</v>
      </c>
      <c r="J15" s="389"/>
      <c r="K15" s="301">
        <f>K13+K14</f>
        <v>75000</v>
      </c>
      <c r="L15" s="302"/>
      <c r="N15" s="35"/>
      <c r="O15" s="36" t="s">
        <v>48</v>
      </c>
      <c r="P15" s="36">
        <v>30</v>
      </c>
      <c r="Q15" s="36">
        <v>1</v>
      </c>
      <c r="R15" s="36">
        <f t="shared" si="0"/>
        <v>11</v>
      </c>
      <c r="S15" s="27"/>
      <c r="T15" s="36" t="s">
        <v>48</v>
      </c>
      <c r="U15" s="64" t="str">
        <f>IF($J$1="July",Y14,"")</f>
        <v/>
      </c>
      <c r="V15" s="38"/>
      <c r="W15" s="64" t="str">
        <f t="shared" si="1"/>
        <v/>
      </c>
      <c r="X15" s="38"/>
      <c r="Y15" s="64" t="str">
        <f t="shared" si="2"/>
        <v/>
      </c>
      <c r="Z15" s="40"/>
    </row>
    <row r="16" spans="1:27" s="25" customFormat="1" ht="27.75" customHeight="1" x14ac:dyDescent="0.2">
      <c r="A16" s="279"/>
      <c r="B16" s="294" t="s">
        <v>6</v>
      </c>
      <c r="C16" s="30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7"/>
      <c r="E16" s="277"/>
      <c r="F16" s="294" t="s">
        <v>19</v>
      </c>
      <c r="G16" s="29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92"/>
      <c r="I16" s="388" t="s">
        <v>68</v>
      </c>
      <c r="J16" s="389"/>
      <c r="K16" s="295">
        <f>G16</f>
        <v>0</v>
      </c>
      <c r="L16" s="303"/>
      <c r="N16" s="35"/>
      <c r="O16" s="36" t="s">
        <v>49</v>
      </c>
      <c r="P16" s="36">
        <v>31</v>
      </c>
      <c r="Q16" s="36">
        <v>0</v>
      </c>
      <c r="R16" s="36">
        <f t="shared" si="0"/>
        <v>11</v>
      </c>
      <c r="S16" s="27"/>
      <c r="T16" s="36" t="s">
        <v>49</v>
      </c>
      <c r="U16" s="64" t="str">
        <f>IF($J$1="August",Y15,"")</f>
        <v/>
      </c>
      <c r="V16" s="38"/>
      <c r="W16" s="64" t="str">
        <f t="shared" si="1"/>
        <v/>
      </c>
      <c r="X16" s="38"/>
      <c r="Y16" s="64" t="str">
        <f t="shared" si="2"/>
        <v/>
      </c>
      <c r="Z16" s="40"/>
    </row>
    <row r="17" spans="1:27" s="25" customFormat="1" ht="27.75" customHeight="1" x14ac:dyDescent="0.2">
      <c r="A17" s="279"/>
      <c r="B17" s="294" t="s">
        <v>66</v>
      </c>
      <c r="C17" s="30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15</v>
      </c>
      <c r="D17" s="277"/>
      <c r="E17" s="277"/>
      <c r="F17" s="294" t="s">
        <v>201</v>
      </c>
      <c r="G17" s="295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277"/>
      <c r="I17" s="393" t="s">
        <v>61</v>
      </c>
      <c r="J17" s="395"/>
      <c r="K17" s="234">
        <f>K15-K16</f>
        <v>75000</v>
      </c>
      <c r="L17" s="304"/>
      <c r="N17" s="35"/>
      <c r="O17" s="36" t="s">
        <v>54</v>
      </c>
      <c r="P17" s="36">
        <v>30</v>
      </c>
      <c r="Q17" s="36">
        <v>0</v>
      </c>
      <c r="R17" s="36">
        <f t="shared" si="0"/>
        <v>11</v>
      </c>
      <c r="S17" s="27"/>
      <c r="T17" s="36" t="s">
        <v>54</v>
      </c>
      <c r="U17" s="64" t="str">
        <f>IF($J$1="September",Y16,"")</f>
        <v/>
      </c>
      <c r="V17" s="38"/>
      <c r="W17" s="64" t="str">
        <f t="shared" si="1"/>
        <v/>
      </c>
      <c r="X17" s="38"/>
      <c r="Y17" s="64" t="str">
        <f t="shared" si="2"/>
        <v/>
      </c>
      <c r="Z17" s="40"/>
    </row>
    <row r="18" spans="1:27" s="25" customFormat="1" ht="27.75" customHeight="1" x14ac:dyDescent="0.2">
      <c r="A18" s="279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91"/>
      <c r="N18" s="35"/>
      <c r="O18" s="36" t="s">
        <v>50</v>
      </c>
      <c r="P18" s="36">
        <v>31</v>
      </c>
      <c r="Q18" s="36">
        <v>0</v>
      </c>
      <c r="R18" s="36">
        <v>0</v>
      </c>
      <c r="S18" s="27"/>
      <c r="T18" s="36" t="s">
        <v>50</v>
      </c>
      <c r="U18" s="64" t="str">
        <f>IF($J$1="October",Y17,"")</f>
        <v/>
      </c>
      <c r="V18" s="38"/>
      <c r="W18" s="64" t="str">
        <f t="shared" si="1"/>
        <v/>
      </c>
      <c r="X18" s="38"/>
      <c r="Y18" s="64" t="str">
        <f t="shared" si="2"/>
        <v/>
      </c>
      <c r="Z18" s="40"/>
    </row>
    <row r="19" spans="1:27" s="25" customFormat="1" ht="27.75" customHeight="1" x14ac:dyDescent="0.3">
      <c r="A19" s="279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91"/>
      <c r="N19" s="35"/>
      <c r="O19" s="36" t="s">
        <v>55</v>
      </c>
      <c r="P19" s="36">
        <v>30</v>
      </c>
      <c r="Q19" s="36">
        <v>0</v>
      </c>
      <c r="R19" s="36">
        <v>0</v>
      </c>
      <c r="S19" s="27"/>
      <c r="T19" s="36" t="s">
        <v>55</v>
      </c>
      <c r="U19" s="64" t="str">
        <f>IF($J$1="November",Y18,"")</f>
        <v/>
      </c>
      <c r="V19" s="38"/>
      <c r="W19" s="64" t="str">
        <f t="shared" si="1"/>
        <v/>
      </c>
      <c r="X19" s="38"/>
      <c r="Y19" s="64" t="str">
        <f t="shared" si="2"/>
        <v/>
      </c>
      <c r="Z19" s="40"/>
    </row>
    <row r="20" spans="1:27" s="25" customFormat="1" ht="27.75" customHeight="1" thickBot="1" x14ac:dyDescent="0.35">
      <c r="A20" s="305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7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4" t="str">
        <f>IF($J$1="December",Y19,"")</f>
        <v/>
      </c>
      <c r="V20" s="38"/>
      <c r="W20" s="64" t="str">
        <f t="shared" si="1"/>
        <v/>
      </c>
      <c r="X20" s="38"/>
      <c r="Y20" s="64" t="str">
        <f t="shared" si="2"/>
        <v/>
      </c>
      <c r="Z20" s="40"/>
    </row>
    <row r="21" spans="1:27" s="57" customFormat="1" ht="27.75" customHeight="1" thickBot="1" x14ac:dyDescent="0.25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7" s="25" customFormat="1" ht="27.75" customHeight="1" thickBot="1" x14ac:dyDescent="0.25">
      <c r="A22" s="390" t="s">
        <v>38</v>
      </c>
      <c r="B22" s="391"/>
      <c r="C22" s="391"/>
      <c r="D22" s="391"/>
      <c r="E22" s="391"/>
      <c r="F22" s="391"/>
      <c r="G22" s="391"/>
      <c r="H22" s="391"/>
      <c r="I22" s="391"/>
      <c r="J22" s="391"/>
      <c r="K22" s="391"/>
      <c r="L22" s="392"/>
      <c r="M22" s="24"/>
      <c r="N22" s="39"/>
      <c r="O22" s="400" t="s">
        <v>40</v>
      </c>
      <c r="P22" s="401"/>
      <c r="Q22" s="401"/>
      <c r="R22" s="402"/>
      <c r="S22" s="27"/>
      <c r="T22" s="400" t="s">
        <v>41</v>
      </c>
      <c r="U22" s="401"/>
      <c r="V22" s="401"/>
      <c r="W22" s="401"/>
      <c r="X22" s="401"/>
      <c r="Y22" s="402"/>
      <c r="Z22" s="48"/>
      <c r="AA22" s="24"/>
    </row>
    <row r="23" spans="1:27" s="25" customFormat="1" ht="27.75" customHeight="1" x14ac:dyDescent="0.2">
      <c r="A23" s="279"/>
      <c r="B23" s="277"/>
      <c r="C23" s="396" t="s">
        <v>212</v>
      </c>
      <c r="D23" s="396"/>
      <c r="E23" s="396"/>
      <c r="F23" s="396"/>
      <c r="G23" s="280" t="str">
        <f>$J$1</f>
        <v>January</v>
      </c>
      <c r="H23" s="399">
        <f>$K$1</f>
        <v>2024</v>
      </c>
      <c r="I23" s="399"/>
      <c r="J23" s="277"/>
      <c r="K23" s="281"/>
      <c r="L23" s="282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9"/>
      <c r="B24" s="277"/>
      <c r="C24" s="277"/>
      <c r="D24" s="283"/>
      <c r="E24" s="283"/>
      <c r="F24" s="283"/>
      <c r="G24" s="283"/>
      <c r="H24" s="283"/>
      <c r="I24" s="277"/>
      <c r="J24" s="284" t="s">
        <v>1</v>
      </c>
      <c r="K24" s="285">
        <v>5000</v>
      </c>
      <c r="L24" s="286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9"/>
      <c r="B25" s="277" t="s">
        <v>0</v>
      </c>
      <c r="C25" s="276" t="s">
        <v>128</v>
      </c>
      <c r="D25" s="277"/>
      <c r="E25" s="277"/>
      <c r="F25" s="277"/>
      <c r="G25" s="277"/>
      <c r="H25" s="287"/>
      <c r="I25" s="283"/>
      <c r="J25" s="277"/>
      <c r="K25" s="277"/>
      <c r="L25" s="288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4">
        <f>Y24</f>
        <v>0</v>
      </c>
      <c r="V25" s="38"/>
      <c r="W25" s="64">
        <f>IF(U25="","",U25+V25)</f>
        <v>0</v>
      </c>
      <c r="X25" s="38"/>
      <c r="Y25" s="64">
        <f>IF(W25="","",W25-X25)</f>
        <v>0</v>
      </c>
      <c r="Z25" s="40"/>
      <c r="AA25" s="24"/>
    </row>
    <row r="26" spans="1:27" s="25" customFormat="1" ht="27.75" customHeight="1" x14ac:dyDescent="0.2">
      <c r="A26" s="279"/>
      <c r="B26" s="289" t="s">
        <v>39</v>
      </c>
      <c r="C26" s="290"/>
      <c r="D26" s="277"/>
      <c r="E26" s="277"/>
      <c r="F26" s="393" t="s">
        <v>41</v>
      </c>
      <c r="G26" s="395"/>
      <c r="H26" s="277"/>
      <c r="I26" s="393" t="s">
        <v>42</v>
      </c>
      <c r="J26" s="394"/>
      <c r="K26" s="395"/>
      <c r="L26" s="291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4"/>
      <c r="V26" s="38"/>
      <c r="W26" s="64" t="str">
        <f t="shared" ref="W26:W35" si="4">IF(U26="","",U26+V26)</f>
        <v/>
      </c>
      <c r="X26" s="38"/>
      <c r="Y26" s="64" t="str">
        <f t="shared" ref="Y26:Y35" si="5">IF(W26="","",W26-X26)</f>
        <v/>
      </c>
      <c r="Z26" s="40"/>
    </row>
    <row r="27" spans="1:27" s="25" customFormat="1" ht="27.75" customHeight="1" x14ac:dyDescent="0.2">
      <c r="A27" s="279"/>
      <c r="B27" s="277"/>
      <c r="C27" s="277"/>
      <c r="D27" s="277"/>
      <c r="E27" s="277"/>
      <c r="F27" s="277"/>
      <c r="G27" s="277"/>
      <c r="H27" s="292"/>
      <c r="I27" s="277"/>
      <c r="J27" s="277"/>
      <c r="K27" s="277"/>
      <c r="L27" s="293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4"/>
      <c r="V27" s="38"/>
      <c r="W27" s="64">
        <f>V27+U27</f>
        <v>0</v>
      </c>
      <c r="X27" s="38"/>
      <c r="Y27" s="64">
        <f t="shared" si="5"/>
        <v>0</v>
      </c>
      <c r="Z27" s="40"/>
    </row>
    <row r="28" spans="1:27" s="25" customFormat="1" ht="27.75" customHeight="1" x14ac:dyDescent="0.2">
      <c r="A28" s="279"/>
      <c r="B28" s="397" t="s">
        <v>40</v>
      </c>
      <c r="C28" s="398"/>
      <c r="D28" s="277"/>
      <c r="E28" s="277"/>
      <c r="F28" s="294" t="s">
        <v>62</v>
      </c>
      <c r="G28" s="29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92"/>
      <c r="I28" s="296"/>
      <c r="J28" s="297" t="s">
        <v>59</v>
      </c>
      <c r="K28" s="298">
        <v>5000</v>
      </c>
      <c r="L28" s="299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4">
        <f>Y27</f>
        <v>0</v>
      </c>
      <c r="V28" s="38"/>
      <c r="W28" s="64">
        <f t="shared" si="4"/>
        <v>0</v>
      </c>
      <c r="X28" s="38"/>
      <c r="Y28" s="64">
        <f t="shared" si="5"/>
        <v>0</v>
      </c>
      <c r="Z28" s="40"/>
    </row>
    <row r="29" spans="1:27" s="25" customFormat="1" ht="27.75" customHeight="1" x14ac:dyDescent="0.2">
      <c r="A29" s="279"/>
      <c r="B29" s="300"/>
      <c r="C29" s="300"/>
      <c r="D29" s="277"/>
      <c r="E29" s="277"/>
      <c r="F29" s="294" t="s">
        <v>18</v>
      </c>
      <c r="G29" s="29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92"/>
      <c r="I29" s="296"/>
      <c r="J29" s="297" t="s">
        <v>60</v>
      </c>
      <c r="K29" s="301">
        <f>K24/$K$2/8*I29</f>
        <v>0</v>
      </c>
      <c r="L29" s="302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4">
        <f>Y28</f>
        <v>0</v>
      </c>
      <c r="V29" s="38">
        <v>5000</v>
      </c>
      <c r="W29" s="64">
        <f t="shared" si="4"/>
        <v>5000</v>
      </c>
      <c r="X29" s="38">
        <v>5000</v>
      </c>
      <c r="Y29" s="64">
        <f t="shared" si="5"/>
        <v>0</v>
      </c>
      <c r="Z29" s="40"/>
    </row>
    <row r="30" spans="1:27" s="25" customFormat="1" ht="27.75" customHeight="1" x14ac:dyDescent="0.2">
      <c r="A30" s="279"/>
      <c r="B30" s="294" t="s">
        <v>7</v>
      </c>
      <c r="C30" s="30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7"/>
      <c r="E30" s="277"/>
      <c r="F30" s="294" t="s">
        <v>63</v>
      </c>
      <c r="G30" s="29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92"/>
      <c r="I30" s="388" t="s">
        <v>67</v>
      </c>
      <c r="J30" s="389"/>
      <c r="K30" s="301">
        <f>K28+K29</f>
        <v>5000</v>
      </c>
      <c r="L30" s="302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4"/>
      <c r="V30" s="38"/>
      <c r="W30" s="64" t="str">
        <f t="shared" si="4"/>
        <v/>
      </c>
      <c r="X30" s="38"/>
      <c r="Y30" s="64" t="str">
        <f t="shared" si="5"/>
        <v/>
      </c>
      <c r="Z30" s="40"/>
    </row>
    <row r="31" spans="1:27" s="25" customFormat="1" ht="27.75" customHeight="1" x14ac:dyDescent="0.2">
      <c r="A31" s="279"/>
      <c r="B31" s="294" t="s">
        <v>6</v>
      </c>
      <c r="C31" s="30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7"/>
      <c r="E31" s="277"/>
      <c r="F31" s="294" t="s">
        <v>19</v>
      </c>
      <c r="G31" s="29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92"/>
      <c r="I31" s="388" t="s">
        <v>68</v>
      </c>
      <c r="J31" s="389"/>
      <c r="K31" s="295">
        <f>X29</f>
        <v>5000</v>
      </c>
      <c r="L31" s="303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4"/>
      <c r="V31" s="38"/>
      <c r="W31" s="64" t="str">
        <f t="shared" si="4"/>
        <v/>
      </c>
      <c r="X31" s="38"/>
      <c r="Y31" s="64" t="str">
        <f t="shared" si="5"/>
        <v/>
      </c>
      <c r="Z31" s="40"/>
    </row>
    <row r="32" spans="1:27" s="25" customFormat="1" ht="27.75" customHeight="1" x14ac:dyDescent="0.2">
      <c r="A32" s="279"/>
      <c r="B32" s="294" t="s">
        <v>66</v>
      </c>
      <c r="C32" s="30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77"/>
      <c r="E32" s="277"/>
      <c r="F32" s="294" t="s">
        <v>201</v>
      </c>
      <c r="G32" s="29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7"/>
      <c r="I32" s="393" t="s">
        <v>61</v>
      </c>
      <c r="J32" s="395"/>
      <c r="K32" s="234">
        <f>K30-K31</f>
        <v>0</v>
      </c>
      <c r="L32" s="304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4" t="str">
        <f>IF($J$1="September",Y31,"")</f>
        <v/>
      </c>
      <c r="V32" s="38"/>
      <c r="W32" s="64" t="str">
        <f t="shared" si="4"/>
        <v/>
      </c>
      <c r="X32" s="38"/>
      <c r="Y32" s="64" t="str">
        <f t="shared" si="5"/>
        <v/>
      </c>
      <c r="Z32" s="40"/>
    </row>
    <row r="33" spans="1:27" s="25" customFormat="1" ht="27.75" customHeight="1" x14ac:dyDescent="0.2">
      <c r="A33" s="279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91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4" t="str">
        <f>IF($J$1="October",Y32,"")</f>
        <v/>
      </c>
      <c r="V33" s="38"/>
      <c r="W33" s="64" t="str">
        <f t="shared" si="4"/>
        <v/>
      </c>
      <c r="X33" s="38"/>
      <c r="Y33" s="64" t="str">
        <f t="shared" si="5"/>
        <v/>
      </c>
      <c r="Z33" s="40"/>
    </row>
    <row r="34" spans="1:27" s="25" customFormat="1" ht="27.75" customHeight="1" x14ac:dyDescent="0.3">
      <c r="A34" s="279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91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4"/>
      <c r="V34" s="38"/>
      <c r="W34" s="64" t="str">
        <f t="shared" si="4"/>
        <v/>
      </c>
      <c r="X34" s="38"/>
      <c r="Y34" s="64" t="str">
        <f t="shared" si="5"/>
        <v/>
      </c>
      <c r="Z34" s="40"/>
    </row>
    <row r="35" spans="1:27" s="25" customFormat="1" ht="27.75" customHeight="1" thickBot="1" x14ac:dyDescent="0.35">
      <c r="A35" s="305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7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4"/>
      <c r="V35" s="38"/>
      <c r="W35" s="64" t="str">
        <f t="shared" si="4"/>
        <v/>
      </c>
      <c r="X35" s="38"/>
      <c r="Y35" s="64" t="str">
        <f t="shared" si="5"/>
        <v/>
      </c>
      <c r="Z35" s="40"/>
    </row>
    <row r="36" spans="1:27" s="57" customFormat="1" ht="27.75" customHeight="1" thickBot="1" x14ac:dyDescent="0.25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7" s="25" customFormat="1" ht="27.75" customHeight="1" thickBot="1" x14ac:dyDescent="0.25">
      <c r="A37" s="390" t="s">
        <v>38</v>
      </c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2"/>
      <c r="M37" s="24"/>
      <c r="N37" s="28"/>
      <c r="O37" s="385" t="s">
        <v>40</v>
      </c>
      <c r="P37" s="386"/>
      <c r="Q37" s="386"/>
      <c r="R37" s="387"/>
      <c r="S37" s="29"/>
      <c r="T37" s="385" t="s">
        <v>41</v>
      </c>
      <c r="U37" s="386"/>
      <c r="V37" s="386"/>
      <c r="W37" s="386"/>
      <c r="X37" s="386"/>
      <c r="Y37" s="387"/>
      <c r="Z37" s="30"/>
      <c r="AA37" s="24"/>
    </row>
    <row r="38" spans="1:27" s="25" customFormat="1" ht="27.75" customHeight="1" x14ac:dyDescent="0.2">
      <c r="A38" s="279"/>
      <c r="B38" s="277"/>
      <c r="C38" s="396" t="s">
        <v>212</v>
      </c>
      <c r="D38" s="396"/>
      <c r="E38" s="396"/>
      <c r="F38" s="396"/>
      <c r="G38" s="280" t="str">
        <f>$J$1</f>
        <v>January</v>
      </c>
      <c r="H38" s="399">
        <f>$K$1</f>
        <v>2024</v>
      </c>
      <c r="I38" s="399"/>
      <c r="J38" s="277"/>
      <c r="K38" s="281"/>
      <c r="L38" s="282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9"/>
      <c r="B39" s="277"/>
      <c r="C39" s="277"/>
      <c r="D39" s="283"/>
      <c r="E39" s="283"/>
      <c r="F39" s="283"/>
      <c r="G39" s="283"/>
      <c r="H39" s="283"/>
      <c r="I39" s="277"/>
      <c r="J39" s="284" t="s">
        <v>1</v>
      </c>
      <c r="K39" s="285">
        <v>18000</v>
      </c>
      <c r="L39" s="286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/>
      <c r="W39" s="38">
        <f>V39+U39</f>
        <v>0</v>
      </c>
      <c r="X39" s="38"/>
      <c r="Y39" s="38">
        <f>W39-X39</f>
        <v>0</v>
      </c>
      <c r="Z39" s="34"/>
    </row>
    <row r="40" spans="1:27" s="25" customFormat="1" ht="27.75" customHeight="1" x14ac:dyDescent="0.2">
      <c r="A40" s="279"/>
      <c r="B40" s="277" t="s">
        <v>0</v>
      </c>
      <c r="C40" s="276" t="s">
        <v>155</v>
      </c>
      <c r="D40" s="277"/>
      <c r="E40" s="277"/>
      <c r="F40" s="277"/>
      <c r="G40" s="277"/>
      <c r="H40" s="287"/>
      <c r="I40" s="283"/>
      <c r="J40" s="277"/>
      <c r="K40" s="277"/>
      <c r="L40" s="288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4">
        <f t="shared" ref="U40:U45" si="6">Y39</f>
        <v>0</v>
      </c>
      <c r="V40" s="38"/>
      <c r="W40" s="38">
        <f>V40+U40</f>
        <v>0</v>
      </c>
      <c r="X40" s="38"/>
      <c r="Y40" s="64">
        <f>IF(W40="","",W40-X40)</f>
        <v>0</v>
      </c>
      <c r="Z40" s="40"/>
      <c r="AA40" s="24"/>
    </row>
    <row r="41" spans="1:27" s="25" customFormat="1" ht="27.75" customHeight="1" x14ac:dyDescent="0.2">
      <c r="A41" s="279"/>
      <c r="B41" s="289" t="s">
        <v>39</v>
      </c>
      <c r="C41" s="290"/>
      <c r="D41" s="277"/>
      <c r="E41" s="277"/>
      <c r="F41" s="393" t="s">
        <v>41</v>
      </c>
      <c r="G41" s="395"/>
      <c r="H41" s="277"/>
      <c r="I41" s="393" t="s">
        <v>42</v>
      </c>
      <c r="J41" s="394"/>
      <c r="K41" s="395"/>
      <c r="L41" s="291"/>
      <c r="N41" s="35"/>
      <c r="O41" s="36" t="s">
        <v>44</v>
      </c>
      <c r="P41" s="36"/>
      <c r="Q41" s="36"/>
      <c r="R41" s="36" t="str">
        <f t="shared" ref="R41:R50" si="7">IF(Q41="","",R40-Q41)</f>
        <v/>
      </c>
      <c r="S41" s="27"/>
      <c r="T41" s="36" t="s">
        <v>44</v>
      </c>
      <c r="U41" s="64">
        <f t="shared" si="6"/>
        <v>0</v>
      </c>
      <c r="V41" s="38"/>
      <c r="W41" s="38">
        <f>V41+U41</f>
        <v>0</v>
      </c>
      <c r="X41" s="38"/>
      <c r="Y41" s="64">
        <f t="shared" ref="Y41:Y50" si="8">IF(W41="","",W41-X41)</f>
        <v>0</v>
      </c>
      <c r="Z41" s="40"/>
    </row>
    <row r="42" spans="1:27" s="25" customFormat="1" ht="27.75" customHeight="1" x14ac:dyDescent="0.2">
      <c r="A42" s="279"/>
      <c r="B42" s="277"/>
      <c r="C42" s="277"/>
      <c r="D42" s="277"/>
      <c r="E42" s="277"/>
      <c r="F42" s="277"/>
      <c r="G42" s="277"/>
      <c r="H42" s="292"/>
      <c r="I42" s="277"/>
      <c r="J42" s="277"/>
      <c r="K42" s="277"/>
      <c r="L42" s="293"/>
      <c r="N42" s="35"/>
      <c r="O42" s="36" t="s">
        <v>45</v>
      </c>
      <c r="P42" s="36"/>
      <c r="Q42" s="36"/>
      <c r="R42" s="36" t="str">
        <f t="shared" si="7"/>
        <v/>
      </c>
      <c r="S42" s="27"/>
      <c r="T42" s="36" t="s">
        <v>45</v>
      </c>
      <c r="U42" s="64">
        <f t="shared" si="6"/>
        <v>0</v>
      </c>
      <c r="V42" s="38"/>
      <c r="W42" s="64">
        <f t="shared" ref="W42:W50" si="9">IF(U42="","",U42+V42)</f>
        <v>0</v>
      </c>
      <c r="X42" s="38"/>
      <c r="Y42" s="64">
        <f t="shared" si="8"/>
        <v>0</v>
      </c>
      <c r="Z42" s="40"/>
    </row>
    <row r="43" spans="1:27" s="25" customFormat="1" ht="27.75" customHeight="1" x14ac:dyDescent="0.2">
      <c r="A43" s="279"/>
      <c r="B43" s="397" t="s">
        <v>40</v>
      </c>
      <c r="C43" s="398"/>
      <c r="D43" s="277"/>
      <c r="E43" s="277"/>
      <c r="F43" s="294" t="s">
        <v>62</v>
      </c>
      <c r="G43" s="29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0</v>
      </c>
      <c r="H43" s="292"/>
      <c r="I43" s="296">
        <f>IF(C47&gt;=C46,$K$2,C45-C46+C47)</f>
        <v>31</v>
      </c>
      <c r="J43" s="297" t="s">
        <v>59</v>
      </c>
      <c r="K43" s="298">
        <f>K39/$K$2*I43</f>
        <v>18000</v>
      </c>
      <c r="L43" s="299"/>
      <c r="N43" s="35"/>
      <c r="O43" s="36" t="s">
        <v>46</v>
      </c>
      <c r="P43" s="36"/>
      <c r="Q43" s="36"/>
      <c r="R43" s="36" t="str">
        <f t="shared" si="7"/>
        <v/>
      </c>
      <c r="S43" s="27"/>
      <c r="T43" s="36" t="s">
        <v>46</v>
      </c>
      <c r="U43" s="64">
        <f t="shared" si="6"/>
        <v>0</v>
      </c>
      <c r="V43" s="38"/>
      <c r="W43" s="64">
        <f t="shared" si="9"/>
        <v>0</v>
      </c>
      <c r="X43" s="38"/>
      <c r="Y43" s="64">
        <f t="shared" si="8"/>
        <v>0</v>
      </c>
      <c r="Z43" s="40"/>
    </row>
    <row r="44" spans="1:27" s="25" customFormat="1" ht="27.75" customHeight="1" x14ac:dyDescent="0.2">
      <c r="A44" s="279"/>
      <c r="B44" s="300"/>
      <c r="C44" s="300"/>
      <c r="D44" s="277"/>
      <c r="E44" s="277"/>
      <c r="F44" s="294" t="s">
        <v>18</v>
      </c>
      <c r="G44" s="29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92"/>
      <c r="I44" s="296"/>
      <c r="J44" s="297" t="s">
        <v>60</v>
      </c>
      <c r="K44" s="301">
        <f>K39/$K$2/8*I44</f>
        <v>0</v>
      </c>
      <c r="L44" s="302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4">
        <f t="shared" si="6"/>
        <v>0</v>
      </c>
      <c r="V44" s="38"/>
      <c r="W44" s="64">
        <f t="shared" si="9"/>
        <v>0</v>
      </c>
      <c r="X44" s="38"/>
      <c r="Y44" s="64">
        <f t="shared" si="8"/>
        <v>0</v>
      </c>
      <c r="Z44" s="40"/>
    </row>
    <row r="45" spans="1:27" s="25" customFormat="1" ht="27.75" customHeight="1" x14ac:dyDescent="0.2">
      <c r="A45" s="279"/>
      <c r="B45" s="294" t="s">
        <v>7</v>
      </c>
      <c r="C45" s="30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7"/>
      <c r="E45" s="277"/>
      <c r="F45" s="294" t="s">
        <v>63</v>
      </c>
      <c r="G45" s="29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0</v>
      </c>
      <c r="H45" s="292"/>
      <c r="I45" s="388" t="s">
        <v>67</v>
      </c>
      <c r="J45" s="389"/>
      <c r="K45" s="301">
        <f>K43+K44</f>
        <v>18000</v>
      </c>
      <c r="L45" s="302"/>
      <c r="N45" s="35"/>
      <c r="O45" s="36" t="s">
        <v>48</v>
      </c>
      <c r="P45" s="36"/>
      <c r="Q45" s="36"/>
      <c r="R45" s="36" t="str">
        <f t="shared" si="7"/>
        <v/>
      </c>
      <c r="S45" s="27"/>
      <c r="T45" s="36" t="s">
        <v>48</v>
      </c>
      <c r="U45" s="64">
        <f t="shared" si="6"/>
        <v>0</v>
      </c>
      <c r="V45" s="38"/>
      <c r="W45" s="64">
        <f t="shared" si="9"/>
        <v>0</v>
      </c>
      <c r="X45" s="38"/>
      <c r="Y45" s="64">
        <f t="shared" si="8"/>
        <v>0</v>
      </c>
      <c r="Z45" s="40"/>
    </row>
    <row r="46" spans="1:27" s="25" customFormat="1" ht="27.75" customHeight="1" x14ac:dyDescent="0.2">
      <c r="A46" s="279"/>
      <c r="B46" s="294" t="s">
        <v>6</v>
      </c>
      <c r="C46" s="30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7"/>
      <c r="E46" s="277"/>
      <c r="F46" s="294" t="s">
        <v>19</v>
      </c>
      <c r="G46" s="29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292"/>
      <c r="I46" s="388" t="s">
        <v>68</v>
      </c>
      <c r="J46" s="389"/>
      <c r="K46" s="295">
        <f>G46</f>
        <v>0</v>
      </c>
      <c r="L46" s="303"/>
      <c r="N46" s="35"/>
      <c r="O46" s="36" t="s">
        <v>49</v>
      </c>
      <c r="P46" s="36"/>
      <c r="Q46" s="36"/>
      <c r="R46" s="36" t="str">
        <f t="shared" si="7"/>
        <v/>
      </c>
      <c r="S46" s="27"/>
      <c r="T46" s="36" t="s">
        <v>49</v>
      </c>
      <c r="U46" s="64"/>
      <c r="V46" s="38"/>
      <c r="W46" s="64" t="str">
        <f t="shared" si="9"/>
        <v/>
      </c>
      <c r="X46" s="38"/>
      <c r="Y46" s="64" t="str">
        <f t="shared" si="8"/>
        <v/>
      </c>
      <c r="Z46" s="40"/>
    </row>
    <row r="47" spans="1:27" s="25" customFormat="1" ht="27.75" customHeight="1" x14ac:dyDescent="0.2">
      <c r="A47" s="279"/>
      <c r="B47" s="309" t="s">
        <v>66</v>
      </c>
      <c r="C47" s="30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7"/>
      <c r="E47" s="277"/>
      <c r="F47" s="309" t="s">
        <v>201</v>
      </c>
      <c r="G47" s="29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0</v>
      </c>
      <c r="H47" s="277"/>
      <c r="I47" s="393" t="s">
        <v>61</v>
      </c>
      <c r="J47" s="395"/>
      <c r="K47" s="234">
        <f>K45-K46</f>
        <v>18000</v>
      </c>
      <c r="L47" s="304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4"/>
      <c r="V47" s="38"/>
      <c r="W47" s="64" t="str">
        <f t="shared" si="9"/>
        <v/>
      </c>
      <c r="X47" s="38"/>
      <c r="Y47" s="64" t="str">
        <f t="shared" si="8"/>
        <v/>
      </c>
      <c r="Z47" s="40"/>
    </row>
    <row r="48" spans="1:27" s="25" customFormat="1" ht="27.75" customHeight="1" x14ac:dyDescent="0.2">
      <c r="A48" s="279"/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91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4"/>
      <c r="V48" s="38"/>
      <c r="W48" s="64" t="str">
        <f t="shared" si="9"/>
        <v/>
      </c>
      <c r="X48" s="38"/>
      <c r="Y48" s="64" t="str">
        <f t="shared" si="8"/>
        <v/>
      </c>
      <c r="Z48" s="40"/>
    </row>
    <row r="49" spans="1:27" s="25" customFormat="1" ht="27.75" customHeight="1" x14ac:dyDescent="0.3">
      <c r="A49" s="279"/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91"/>
      <c r="N49" s="35"/>
      <c r="O49" s="36" t="s">
        <v>55</v>
      </c>
      <c r="P49" s="36"/>
      <c r="Q49" s="36"/>
      <c r="R49" s="36" t="str">
        <f t="shared" si="7"/>
        <v/>
      </c>
      <c r="S49" s="27"/>
      <c r="T49" s="36" t="s">
        <v>55</v>
      </c>
      <c r="U49" s="64"/>
      <c r="V49" s="38"/>
      <c r="W49" s="64" t="str">
        <f t="shared" si="9"/>
        <v/>
      </c>
      <c r="X49" s="38"/>
      <c r="Y49" s="64" t="str">
        <f t="shared" si="8"/>
        <v/>
      </c>
      <c r="Z49" s="40"/>
    </row>
    <row r="50" spans="1:27" s="25" customFormat="1" ht="27.75" customHeight="1" thickBot="1" x14ac:dyDescent="0.35">
      <c r="A50" s="305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7"/>
      <c r="N50" s="35"/>
      <c r="O50" s="36" t="s">
        <v>56</v>
      </c>
      <c r="P50" s="36"/>
      <c r="Q50" s="36"/>
      <c r="R50" s="36" t="str">
        <f t="shared" si="7"/>
        <v/>
      </c>
      <c r="S50" s="27"/>
      <c r="T50" s="36" t="s">
        <v>56</v>
      </c>
      <c r="U50" s="64"/>
      <c r="V50" s="38"/>
      <c r="W50" s="64" t="str">
        <f t="shared" si="9"/>
        <v/>
      </c>
      <c r="X50" s="38"/>
      <c r="Y50" s="64" t="str">
        <f t="shared" si="8"/>
        <v/>
      </c>
      <c r="Z50" s="40"/>
    </row>
    <row r="51" spans="1:27" s="57" customFormat="1" ht="18" customHeight="1" thickBot="1" x14ac:dyDescent="0.25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7" s="25" customFormat="1" ht="18" customHeight="1" thickBot="1" x14ac:dyDescent="0.25">
      <c r="A52" s="390" t="s">
        <v>38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2"/>
      <c r="M52" s="24"/>
      <c r="N52" s="28"/>
      <c r="O52" s="385" t="s">
        <v>40</v>
      </c>
      <c r="P52" s="386"/>
      <c r="Q52" s="386"/>
      <c r="R52" s="387"/>
      <c r="S52" s="29"/>
      <c r="T52" s="385" t="s">
        <v>41</v>
      </c>
      <c r="U52" s="386"/>
      <c r="V52" s="386"/>
      <c r="W52" s="386"/>
      <c r="X52" s="386"/>
      <c r="Y52" s="387"/>
      <c r="Z52" s="30"/>
      <c r="AA52" s="24"/>
    </row>
    <row r="53" spans="1:27" s="25" customFormat="1" ht="18" customHeight="1" x14ac:dyDescent="0.2">
      <c r="A53" s="279"/>
      <c r="B53" s="277"/>
      <c r="C53" s="396" t="s">
        <v>212</v>
      </c>
      <c r="D53" s="396"/>
      <c r="E53" s="396"/>
      <c r="F53" s="396"/>
      <c r="G53" s="280" t="str">
        <f>$J$1</f>
        <v>January</v>
      </c>
      <c r="H53" s="399">
        <f>$K$1</f>
        <v>2024</v>
      </c>
      <c r="I53" s="399"/>
      <c r="J53" s="277"/>
      <c r="K53" s="281"/>
      <c r="L53" s="282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9"/>
      <c r="B54" s="277"/>
      <c r="C54" s="277"/>
      <c r="D54" s="283"/>
      <c r="E54" s="283"/>
      <c r="F54" s="283"/>
      <c r="G54" s="283"/>
      <c r="H54" s="283"/>
      <c r="I54" s="277"/>
      <c r="J54" s="284" t="s">
        <v>1</v>
      </c>
      <c r="K54" s="285">
        <f>40000+5000+2000</f>
        <v>47000</v>
      </c>
      <c r="L54" s="286"/>
      <c r="N54" s="35"/>
      <c r="O54" s="36" t="s">
        <v>43</v>
      </c>
      <c r="P54" s="36">
        <v>30</v>
      </c>
      <c r="Q54" s="36">
        <v>1</v>
      </c>
      <c r="R54" s="36">
        <f>15-Q54</f>
        <v>14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9"/>
      <c r="B55" s="277" t="s">
        <v>0</v>
      </c>
      <c r="C55" s="276" t="s">
        <v>77</v>
      </c>
      <c r="D55" s="277"/>
      <c r="E55" s="277"/>
      <c r="F55" s="277"/>
      <c r="G55" s="277"/>
      <c r="H55" s="287"/>
      <c r="I55" s="283"/>
      <c r="J55" s="277"/>
      <c r="K55" s="277"/>
      <c r="L55" s="288"/>
      <c r="M55" s="24"/>
      <c r="N55" s="39"/>
      <c r="O55" s="36" t="s">
        <v>69</v>
      </c>
      <c r="P55" s="36">
        <v>27</v>
      </c>
      <c r="Q55" s="36">
        <v>1</v>
      </c>
      <c r="R55" s="36">
        <f t="shared" ref="R55:R65" si="10">IF(Q55="","",R54-Q55)</f>
        <v>13</v>
      </c>
      <c r="S55" s="27"/>
      <c r="T55" s="36" t="s">
        <v>69</v>
      </c>
      <c r="U55" s="64">
        <f t="shared" ref="U55:U60" si="11">Y54</f>
        <v>0</v>
      </c>
      <c r="V55" s="38"/>
      <c r="W55" s="64">
        <f>IF(U55="","",U55+V55)</f>
        <v>0</v>
      </c>
      <c r="X55" s="38"/>
      <c r="Y55" s="64">
        <f>IF(W55="","",W55-X55)</f>
        <v>0</v>
      </c>
      <c r="Z55" s="40"/>
      <c r="AA55" s="24"/>
    </row>
    <row r="56" spans="1:27" s="25" customFormat="1" ht="18" customHeight="1" x14ac:dyDescent="0.2">
      <c r="A56" s="279"/>
      <c r="B56" s="289" t="s">
        <v>39</v>
      </c>
      <c r="C56" s="290"/>
      <c r="D56" s="277"/>
      <c r="E56" s="277"/>
      <c r="F56" s="393" t="s">
        <v>41</v>
      </c>
      <c r="G56" s="395"/>
      <c r="H56" s="277"/>
      <c r="I56" s="393" t="s">
        <v>42</v>
      </c>
      <c r="J56" s="394"/>
      <c r="K56" s="395"/>
      <c r="L56" s="291"/>
      <c r="N56" s="35"/>
      <c r="O56" s="36" t="s">
        <v>44</v>
      </c>
      <c r="P56" s="36">
        <v>30</v>
      </c>
      <c r="Q56" s="36">
        <v>1</v>
      </c>
      <c r="R56" s="36">
        <f t="shared" si="10"/>
        <v>12</v>
      </c>
      <c r="S56" s="27"/>
      <c r="T56" s="36" t="s">
        <v>44</v>
      </c>
      <c r="U56" s="64">
        <f t="shared" si="11"/>
        <v>0</v>
      </c>
      <c r="V56" s="38"/>
      <c r="W56" s="64">
        <f t="shared" ref="W56:W65" si="12">IF(U56="","",U56+V56)</f>
        <v>0</v>
      </c>
      <c r="X56" s="38"/>
      <c r="Y56" s="64">
        <f t="shared" ref="Y56:Y65" si="13">IF(W56="","",W56-X56)</f>
        <v>0</v>
      </c>
      <c r="Z56" s="40"/>
    </row>
    <row r="57" spans="1:27" s="25" customFormat="1" ht="18" customHeight="1" x14ac:dyDescent="0.2">
      <c r="A57" s="279"/>
      <c r="B57" s="277"/>
      <c r="C57" s="277"/>
      <c r="D57" s="277"/>
      <c r="E57" s="277"/>
      <c r="F57" s="277"/>
      <c r="G57" s="277"/>
      <c r="H57" s="292"/>
      <c r="I57" s="277"/>
      <c r="J57" s="277"/>
      <c r="K57" s="277"/>
      <c r="L57" s="293"/>
      <c r="N57" s="35"/>
      <c r="O57" s="36" t="s">
        <v>45</v>
      </c>
      <c r="P57" s="36">
        <v>25</v>
      </c>
      <c r="Q57" s="36">
        <v>5</v>
      </c>
      <c r="R57" s="36">
        <f t="shared" si="10"/>
        <v>7</v>
      </c>
      <c r="S57" s="27"/>
      <c r="T57" s="36" t="s">
        <v>45</v>
      </c>
      <c r="U57" s="64">
        <f t="shared" si="11"/>
        <v>0</v>
      </c>
      <c r="V57" s="38"/>
      <c r="W57" s="64">
        <f t="shared" si="12"/>
        <v>0</v>
      </c>
      <c r="X57" s="38"/>
      <c r="Y57" s="64">
        <f t="shared" si="13"/>
        <v>0</v>
      </c>
      <c r="Z57" s="40"/>
    </row>
    <row r="58" spans="1:27" s="25" customFormat="1" ht="18" customHeight="1" x14ac:dyDescent="0.2">
      <c r="A58" s="279"/>
      <c r="B58" s="397" t="s">
        <v>40</v>
      </c>
      <c r="C58" s="398"/>
      <c r="D58" s="277"/>
      <c r="E58" s="277"/>
      <c r="F58" s="294" t="s">
        <v>62</v>
      </c>
      <c r="G58" s="295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92"/>
      <c r="I58" s="296">
        <f>IF(C62&gt;0,$K$2,C60)</f>
        <v>31</v>
      </c>
      <c r="J58" s="297" t="s">
        <v>59</v>
      </c>
      <c r="K58" s="298">
        <f>K54/$K$2*I58</f>
        <v>47000</v>
      </c>
      <c r="L58" s="299"/>
      <c r="N58" s="35"/>
      <c r="O58" s="36" t="s">
        <v>46</v>
      </c>
      <c r="P58" s="36">
        <v>31</v>
      </c>
      <c r="Q58" s="36">
        <v>0</v>
      </c>
      <c r="R58" s="36">
        <f t="shared" si="10"/>
        <v>7</v>
      </c>
      <c r="S58" s="27"/>
      <c r="T58" s="36" t="s">
        <v>46</v>
      </c>
      <c r="U58" s="64">
        <f t="shared" si="11"/>
        <v>0</v>
      </c>
      <c r="V58" s="38"/>
      <c r="W58" s="64">
        <f t="shared" si="12"/>
        <v>0</v>
      </c>
      <c r="X58" s="38"/>
      <c r="Y58" s="64">
        <f t="shared" si="13"/>
        <v>0</v>
      </c>
      <c r="Z58" s="40"/>
    </row>
    <row r="59" spans="1:27" s="25" customFormat="1" ht="18" customHeight="1" x14ac:dyDescent="0.2">
      <c r="A59" s="279"/>
      <c r="B59" s="300"/>
      <c r="C59" s="300"/>
      <c r="D59" s="277"/>
      <c r="E59" s="277"/>
      <c r="F59" s="294" t="s">
        <v>18</v>
      </c>
      <c r="G59" s="295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92"/>
      <c r="I59" s="296">
        <v>8</v>
      </c>
      <c r="J59" s="297" t="s">
        <v>60</v>
      </c>
      <c r="K59" s="301">
        <f>K54/$K$2/8*I59</f>
        <v>1516.1290322580646</v>
      </c>
      <c r="L59" s="302"/>
      <c r="N59" s="35"/>
      <c r="O59" s="36" t="s">
        <v>47</v>
      </c>
      <c r="P59" s="36">
        <v>29</v>
      </c>
      <c r="Q59" s="36">
        <v>1</v>
      </c>
      <c r="R59" s="36">
        <f t="shared" si="10"/>
        <v>6</v>
      </c>
      <c r="S59" s="27"/>
      <c r="T59" s="36" t="s">
        <v>47</v>
      </c>
      <c r="U59" s="64">
        <f t="shared" si="11"/>
        <v>0</v>
      </c>
      <c r="V59" s="38"/>
      <c r="W59" s="64">
        <f t="shared" si="12"/>
        <v>0</v>
      </c>
      <c r="X59" s="38"/>
      <c r="Y59" s="64">
        <f t="shared" si="13"/>
        <v>0</v>
      </c>
      <c r="Z59" s="40"/>
    </row>
    <row r="60" spans="1:27" s="25" customFormat="1" ht="18" customHeight="1" x14ac:dyDescent="0.2">
      <c r="A60" s="279"/>
      <c r="B60" s="294" t="s">
        <v>7</v>
      </c>
      <c r="C60" s="300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30</v>
      </c>
      <c r="D60" s="277"/>
      <c r="E60" s="277"/>
      <c r="F60" s="294" t="s">
        <v>63</v>
      </c>
      <c r="G60" s="295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92"/>
      <c r="I60" s="388" t="s">
        <v>67</v>
      </c>
      <c r="J60" s="389"/>
      <c r="K60" s="301">
        <f>K58+K59</f>
        <v>48516.129032258068</v>
      </c>
      <c r="L60" s="302"/>
      <c r="N60" s="35"/>
      <c r="O60" s="36" t="s">
        <v>48</v>
      </c>
      <c r="P60" s="36">
        <v>30</v>
      </c>
      <c r="Q60" s="36">
        <v>1</v>
      </c>
      <c r="R60" s="36">
        <f t="shared" si="10"/>
        <v>5</v>
      </c>
      <c r="S60" s="27"/>
      <c r="T60" s="36" t="s">
        <v>48</v>
      </c>
      <c r="U60" s="64">
        <f t="shared" si="11"/>
        <v>0</v>
      </c>
      <c r="V60" s="38"/>
      <c r="W60" s="64">
        <f t="shared" si="12"/>
        <v>0</v>
      </c>
      <c r="X60" s="38"/>
      <c r="Y60" s="64">
        <f t="shared" si="13"/>
        <v>0</v>
      </c>
      <c r="Z60" s="40"/>
    </row>
    <row r="61" spans="1:27" s="25" customFormat="1" ht="18" customHeight="1" x14ac:dyDescent="0.2">
      <c r="A61" s="279"/>
      <c r="B61" s="294" t="s">
        <v>6</v>
      </c>
      <c r="C61" s="300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D61" s="277"/>
      <c r="E61" s="277"/>
      <c r="F61" s="294" t="s">
        <v>19</v>
      </c>
      <c r="G61" s="295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92"/>
      <c r="I61" s="388" t="s">
        <v>68</v>
      </c>
      <c r="J61" s="389"/>
      <c r="K61" s="295">
        <f>G61</f>
        <v>0</v>
      </c>
      <c r="L61" s="303"/>
      <c r="N61" s="35"/>
      <c r="O61" s="36" t="s">
        <v>49</v>
      </c>
      <c r="P61" s="36">
        <v>29</v>
      </c>
      <c r="Q61" s="36">
        <v>2</v>
      </c>
      <c r="R61" s="36">
        <f t="shared" si="10"/>
        <v>3</v>
      </c>
      <c r="S61" s="27"/>
      <c r="T61" s="36" t="s">
        <v>49</v>
      </c>
      <c r="U61" s="64">
        <f>Y60</f>
        <v>0</v>
      </c>
      <c r="V61" s="38"/>
      <c r="W61" s="64">
        <f t="shared" si="12"/>
        <v>0</v>
      </c>
      <c r="X61" s="38"/>
      <c r="Y61" s="64">
        <f t="shared" si="13"/>
        <v>0</v>
      </c>
      <c r="Z61" s="40"/>
    </row>
    <row r="62" spans="1:27" s="25" customFormat="1" ht="18" customHeight="1" x14ac:dyDescent="0.2">
      <c r="A62" s="279"/>
      <c r="B62" s="309" t="s">
        <v>66</v>
      </c>
      <c r="C62" s="300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14</v>
      </c>
      <c r="D62" s="277"/>
      <c r="E62" s="277"/>
      <c r="F62" s="309" t="s">
        <v>201</v>
      </c>
      <c r="G62" s="295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7"/>
      <c r="I62" s="393" t="s">
        <v>61</v>
      </c>
      <c r="J62" s="395"/>
      <c r="K62" s="234">
        <f>K60-K61</f>
        <v>48516.129032258068</v>
      </c>
      <c r="L62" s="304"/>
      <c r="N62" s="35"/>
      <c r="O62" s="36" t="s">
        <v>54</v>
      </c>
      <c r="P62" s="36">
        <v>29</v>
      </c>
      <c r="Q62" s="36">
        <v>1</v>
      </c>
      <c r="R62" s="36">
        <f t="shared" si="10"/>
        <v>2</v>
      </c>
      <c r="S62" s="27"/>
      <c r="T62" s="36" t="s">
        <v>54</v>
      </c>
      <c r="U62" s="64">
        <v>0</v>
      </c>
      <c r="V62" s="38"/>
      <c r="W62" s="64">
        <f t="shared" si="12"/>
        <v>0</v>
      </c>
      <c r="X62" s="38"/>
      <c r="Y62" s="64">
        <f t="shared" si="13"/>
        <v>0</v>
      </c>
      <c r="Z62" s="40"/>
    </row>
    <row r="63" spans="1:27" s="25" customFormat="1" ht="18" customHeight="1" x14ac:dyDescent="0.2">
      <c r="A63" s="279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91"/>
      <c r="N63" s="35"/>
      <c r="O63" s="36" t="s">
        <v>50</v>
      </c>
      <c r="P63" s="36">
        <v>30</v>
      </c>
      <c r="Q63" s="36">
        <v>1</v>
      </c>
      <c r="R63" s="36">
        <f t="shared" si="10"/>
        <v>1</v>
      </c>
      <c r="S63" s="27"/>
      <c r="T63" s="36" t="s">
        <v>50</v>
      </c>
      <c r="U63" s="64">
        <f>Y62</f>
        <v>0</v>
      </c>
      <c r="V63" s="38"/>
      <c r="W63" s="64">
        <f t="shared" si="12"/>
        <v>0</v>
      </c>
      <c r="X63" s="38"/>
      <c r="Y63" s="64">
        <f t="shared" si="13"/>
        <v>0</v>
      </c>
      <c r="Z63" s="40"/>
    </row>
    <row r="64" spans="1:27" s="25" customFormat="1" ht="18" customHeight="1" x14ac:dyDescent="0.3">
      <c r="A64" s="279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91"/>
      <c r="N64" s="35"/>
      <c r="O64" s="36" t="s">
        <v>55</v>
      </c>
      <c r="P64" s="36">
        <v>27</v>
      </c>
      <c r="Q64" s="36">
        <v>3</v>
      </c>
      <c r="R64" s="36">
        <v>0</v>
      </c>
      <c r="S64" s="27"/>
      <c r="T64" s="36" t="s">
        <v>55</v>
      </c>
      <c r="U64" s="64">
        <f>Y63</f>
        <v>0</v>
      </c>
      <c r="V64" s="38"/>
      <c r="W64" s="64">
        <f t="shared" si="12"/>
        <v>0</v>
      </c>
      <c r="X64" s="38"/>
      <c r="Y64" s="64">
        <f t="shared" si="13"/>
        <v>0</v>
      </c>
      <c r="Z64" s="40"/>
    </row>
    <row r="65" spans="1:26" s="25" customFormat="1" ht="18" customHeight="1" thickBot="1" x14ac:dyDescent="0.35">
      <c r="A65" s="305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7"/>
      <c r="N65" s="35"/>
      <c r="O65" s="36" t="s">
        <v>56</v>
      </c>
      <c r="P65" s="36">
        <v>31</v>
      </c>
      <c r="Q65" s="36">
        <v>0</v>
      </c>
      <c r="R65" s="36">
        <f t="shared" si="10"/>
        <v>0</v>
      </c>
      <c r="S65" s="27"/>
      <c r="T65" s="36" t="s">
        <v>56</v>
      </c>
      <c r="U65" s="64">
        <f>Y64</f>
        <v>0</v>
      </c>
      <c r="V65" s="38"/>
      <c r="W65" s="64">
        <f t="shared" si="12"/>
        <v>0</v>
      </c>
      <c r="X65" s="38"/>
      <c r="Y65" s="64">
        <f t="shared" si="13"/>
        <v>0</v>
      </c>
      <c r="Z65" s="40"/>
    </row>
    <row r="66" spans="1:26" s="57" customFormat="1" ht="18" customHeight="1" thickBot="1" x14ac:dyDescent="0.25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s="25" customFormat="1" ht="18" customHeight="1" thickBot="1" x14ac:dyDescent="0.25">
      <c r="A67" s="390" t="s">
        <v>38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2"/>
      <c r="M67" s="24"/>
      <c r="N67" s="28"/>
      <c r="O67" s="385" t="s">
        <v>40</v>
      </c>
      <c r="P67" s="386"/>
      <c r="Q67" s="386"/>
      <c r="R67" s="387"/>
      <c r="S67" s="29"/>
      <c r="T67" s="385" t="s">
        <v>41</v>
      </c>
      <c r="U67" s="386"/>
      <c r="V67" s="386"/>
      <c r="W67" s="386"/>
      <c r="X67" s="386"/>
      <c r="Y67" s="387"/>
      <c r="Z67" s="30"/>
    </row>
    <row r="68" spans="1:26" s="25" customFormat="1" ht="18" customHeight="1" x14ac:dyDescent="0.2">
      <c r="A68" s="279"/>
      <c r="B68" s="277"/>
      <c r="C68" s="396" t="s">
        <v>212</v>
      </c>
      <c r="D68" s="396"/>
      <c r="E68" s="396"/>
      <c r="F68" s="396"/>
      <c r="G68" s="280" t="str">
        <f>$J$1</f>
        <v>January</v>
      </c>
      <c r="H68" s="399">
        <f>$K$1</f>
        <v>2024</v>
      </c>
      <c r="I68" s="399"/>
      <c r="J68" s="277"/>
      <c r="K68" s="281"/>
      <c r="L68" s="282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9"/>
      <c r="B69" s="277"/>
      <c r="C69" s="277"/>
      <c r="D69" s="283"/>
      <c r="E69" s="283"/>
      <c r="F69" s="283"/>
      <c r="G69" s="283"/>
      <c r="H69" s="283"/>
      <c r="I69" s="277"/>
      <c r="J69" s="284" t="s">
        <v>1</v>
      </c>
      <c r="K69" s="285">
        <f>50000+15000+15000</f>
        <v>80000</v>
      </c>
      <c r="L69" s="286"/>
      <c r="N69" s="35"/>
      <c r="O69" s="36" t="s">
        <v>43</v>
      </c>
      <c r="P69" s="36"/>
      <c r="Q69" s="36"/>
      <c r="R69" s="36">
        <v>0</v>
      </c>
      <c r="S69" s="37"/>
      <c r="T69" s="36" t="s">
        <v>43</v>
      </c>
      <c r="U69" s="38">
        <v>40000</v>
      </c>
      <c r="V69" s="38"/>
      <c r="W69" s="38">
        <f>V69+U69</f>
        <v>40000</v>
      </c>
      <c r="X69" s="38"/>
      <c r="Y69" s="38">
        <f>W69-X69</f>
        <v>40000</v>
      </c>
      <c r="Z69" s="34"/>
    </row>
    <row r="70" spans="1:26" s="25" customFormat="1" ht="18" customHeight="1" x14ac:dyDescent="0.2">
      <c r="A70" s="279"/>
      <c r="B70" s="277" t="s">
        <v>0</v>
      </c>
      <c r="C70" s="276" t="s">
        <v>173</v>
      </c>
      <c r="D70" s="277"/>
      <c r="E70" s="277"/>
      <c r="F70" s="277"/>
      <c r="G70" s="277"/>
      <c r="H70" s="287"/>
      <c r="I70" s="283"/>
      <c r="J70" s="277"/>
      <c r="K70" s="277"/>
      <c r="L70" s="288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4"/>
      <c r="V70" s="38"/>
      <c r="W70" s="64" t="str">
        <f>IF(U70="","",U70+V70)</f>
        <v/>
      </c>
      <c r="X70" s="38"/>
      <c r="Y70" s="64" t="str">
        <f>IF(W70="","",W70-X70)</f>
        <v/>
      </c>
      <c r="Z70" s="40"/>
    </row>
    <row r="71" spans="1:26" s="25" customFormat="1" ht="18" customHeight="1" x14ac:dyDescent="0.2">
      <c r="A71" s="279"/>
      <c r="B71" s="289"/>
      <c r="C71" s="290"/>
      <c r="D71" s="277"/>
      <c r="E71" s="277"/>
      <c r="F71" s="393" t="s">
        <v>41</v>
      </c>
      <c r="G71" s="395"/>
      <c r="H71" s="277"/>
      <c r="I71" s="393" t="s">
        <v>42</v>
      </c>
      <c r="J71" s="394"/>
      <c r="K71" s="395"/>
      <c r="L71" s="291"/>
      <c r="N71" s="35"/>
      <c r="O71" s="36" t="s">
        <v>44</v>
      </c>
      <c r="P71" s="443"/>
      <c r="Q71" s="443"/>
      <c r="R71" s="36">
        <v>0</v>
      </c>
      <c r="S71" s="27"/>
      <c r="T71" s="36" t="s">
        <v>44</v>
      </c>
      <c r="U71" s="64" t="str">
        <f>IF($J$1="February","",Y70)</f>
        <v/>
      </c>
      <c r="V71" s="38"/>
      <c r="W71" s="64" t="str">
        <f t="shared" ref="W71:W80" si="14">IF(U71="","",U71+V71)</f>
        <v/>
      </c>
      <c r="X71" s="38"/>
      <c r="Y71" s="64" t="str">
        <f t="shared" ref="Y71:Y80" si="15">IF(W71="","",W71-X71)</f>
        <v/>
      </c>
      <c r="Z71" s="40"/>
    </row>
    <row r="72" spans="1:26" s="25" customFormat="1" ht="18" customHeight="1" x14ac:dyDescent="0.2">
      <c r="A72" s="279"/>
      <c r="B72" s="277"/>
      <c r="C72" s="277"/>
      <c r="D72" s="277"/>
      <c r="E72" s="277"/>
      <c r="F72" s="277"/>
      <c r="G72" s="277"/>
      <c r="H72" s="292"/>
      <c r="I72" s="277"/>
      <c r="J72" s="277"/>
      <c r="K72" s="277"/>
      <c r="L72" s="293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4" t="str">
        <f>IF($J$1="March","",Y71)</f>
        <v/>
      </c>
      <c r="V72" s="38"/>
      <c r="W72" s="64" t="str">
        <f t="shared" si="14"/>
        <v/>
      </c>
      <c r="X72" s="38"/>
      <c r="Y72" s="64" t="str">
        <f t="shared" si="15"/>
        <v/>
      </c>
      <c r="Z72" s="40"/>
    </row>
    <row r="73" spans="1:26" s="25" customFormat="1" ht="18" customHeight="1" x14ac:dyDescent="0.2">
      <c r="A73" s="279"/>
      <c r="B73" s="397" t="s">
        <v>40</v>
      </c>
      <c r="C73" s="398"/>
      <c r="D73" s="277"/>
      <c r="E73" s="277"/>
      <c r="F73" s="294" t="s">
        <v>62</v>
      </c>
      <c r="G73" s="295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92"/>
      <c r="I73" s="296">
        <f>IF(C77&gt;0,$K$2,C75)</f>
        <v>0</v>
      </c>
      <c r="J73" s="297" t="s">
        <v>59</v>
      </c>
      <c r="K73" s="298">
        <f>K69/$K$2*I73</f>
        <v>0</v>
      </c>
      <c r="L73" s="299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4" t="str">
        <f>IF($J$1="April","",Y72)</f>
        <v/>
      </c>
      <c r="V73" s="38"/>
      <c r="W73" s="64" t="str">
        <f t="shared" si="14"/>
        <v/>
      </c>
      <c r="X73" s="38"/>
      <c r="Y73" s="64" t="str">
        <f t="shared" si="15"/>
        <v/>
      </c>
      <c r="Z73" s="40"/>
    </row>
    <row r="74" spans="1:26" s="25" customFormat="1" ht="18" customHeight="1" x14ac:dyDescent="0.2">
      <c r="A74" s="279"/>
      <c r="B74" s="300"/>
      <c r="C74" s="300"/>
      <c r="D74" s="277"/>
      <c r="E74" s="277"/>
      <c r="F74" s="294" t="s">
        <v>18</v>
      </c>
      <c r="G74" s="295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92"/>
      <c r="I74" s="296"/>
      <c r="J74" s="297" t="s">
        <v>60</v>
      </c>
      <c r="K74" s="301">
        <f>K69/$K$2/8*I74</f>
        <v>0</v>
      </c>
      <c r="L74" s="302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4"/>
      <c r="V74" s="38"/>
      <c r="W74" s="64">
        <f>V74+U74</f>
        <v>0</v>
      </c>
      <c r="X74" s="38"/>
      <c r="Y74" s="64">
        <f t="shared" si="15"/>
        <v>0</v>
      </c>
      <c r="Z74" s="40"/>
    </row>
    <row r="75" spans="1:26" s="25" customFormat="1" ht="18" customHeight="1" x14ac:dyDescent="0.2">
      <c r="A75" s="279"/>
      <c r="B75" s="294" t="s">
        <v>7</v>
      </c>
      <c r="C75" s="300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0</v>
      </c>
      <c r="D75" s="277"/>
      <c r="E75" s="277"/>
      <c r="F75" s="294" t="s">
        <v>63</v>
      </c>
      <c r="G75" s="295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92"/>
      <c r="I75" s="388" t="s">
        <v>67</v>
      </c>
      <c r="J75" s="389"/>
      <c r="K75" s="301">
        <f>K73+K74</f>
        <v>0</v>
      </c>
      <c r="L75" s="302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4">
        <f>IF($J$1="June","",Y74)</f>
        <v>0</v>
      </c>
      <c r="V75" s="38"/>
      <c r="W75" s="64">
        <f t="shared" si="14"/>
        <v>0</v>
      </c>
      <c r="X75" s="38"/>
      <c r="Y75" s="64">
        <f t="shared" si="15"/>
        <v>0</v>
      </c>
      <c r="Z75" s="40"/>
    </row>
    <row r="76" spans="1:26" s="25" customFormat="1" ht="18" customHeight="1" x14ac:dyDescent="0.2">
      <c r="A76" s="279"/>
      <c r="B76" s="294" t="s">
        <v>6</v>
      </c>
      <c r="C76" s="300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7"/>
      <c r="E76" s="277"/>
      <c r="F76" s="294" t="s">
        <v>19</v>
      </c>
      <c r="G76" s="295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92"/>
      <c r="I76" s="388" t="s">
        <v>68</v>
      </c>
      <c r="J76" s="389"/>
      <c r="K76" s="295">
        <f>G76</f>
        <v>0</v>
      </c>
      <c r="L76" s="303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4">
        <f>IF($J$1="July","",Y75)</f>
        <v>0</v>
      </c>
      <c r="V76" s="38"/>
      <c r="W76" s="64">
        <f t="shared" si="14"/>
        <v>0</v>
      </c>
      <c r="X76" s="38"/>
      <c r="Y76" s="64">
        <f t="shared" si="15"/>
        <v>0</v>
      </c>
      <c r="Z76" s="40"/>
    </row>
    <row r="77" spans="1:26" s="25" customFormat="1" ht="18" customHeight="1" x14ac:dyDescent="0.2">
      <c r="A77" s="279"/>
      <c r="B77" s="309" t="s">
        <v>66</v>
      </c>
      <c r="C77" s="300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7"/>
      <c r="E77" s="277"/>
      <c r="F77" s="309" t="s">
        <v>201</v>
      </c>
      <c r="G77" s="295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7"/>
      <c r="I77" s="393" t="s">
        <v>61</v>
      </c>
      <c r="J77" s="395"/>
      <c r="K77" s="234">
        <f>K75-K76</f>
        <v>0</v>
      </c>
      <c r="L77" s="304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4">
        <f>Y76</f>
        <v>0</v>
      </c>
      <c r="V77" s="38"/>
      <c r="W77" s="64">
        <f t="shared" si="14"/>
        <v>0</v>
      </c>
      <c r="X77" s="38"/>
      <c r="Y77" s="64">
        <f t="shared" si="15"/>
        <v>0</v>
      </c>
      <c r="Z77" s="40"/>
    </row>
    <row r="78" spans="1:26" s="25" customFormat="1" ht="18" customHeight="1" x14ac:dyDescent="0.2">
      <c r="A78" s="279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91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4">
        <f>Y77</f>
        <v>0</v>
      </c>
      <c r="V78" s="38"/>
      <c r="W78" s="64">
        <f t="shared" si="14"/>
        <v>0</v>
      </c>
      <c r="X78" s="38"/>
      <c r="Y78" s="64">
        <f t="shared" si="15"/>
        <v>0</v>
      </c>
      <c r="Z78" s="40"/>
    </row>
    <row r="79" spans="1:26" s="25" customFormat="1" ht="18" customHeight="1" x14ac:dyDescent="0.3">
      <c r="A79" s="279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91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4">
        <f>Y78</f>
        <v>0</v>
      </c>
      <c r="V79" s="38"/>
      <c r="W79" s="64">
        <f t="shared" si="14"/>
        <v>0</v>
      </c>
      <c r="X79" s="38"/>
      <c r="Y79" s="64">
        <f t="shared" si="15"/>
        <v>0</v>
      </c>
      <c r="Z79" s="40"/>
    </row>
    <row r="80" spans="1:26" s="25" customFormat="1" ht="18" customHeight="1" thickBot="1" x14ac:dyDescent="0.35">
      <c r="A80" s="305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7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4">
        <f>Y79</f>
        <v>0</v>
      </c>
      <c r="V80" s="38"/>
      <c r="W80" s="64">
        <f t="shared" si="14"/>
        <v>0</v>
      </c>
      <c r="X80" s="38"/>
      <c r="Y80" s="64">
        <f t="shared" si="15"/>
        <v>0</v>
      </c>
      <c r="Z80" s="40"/>
    </row>
    <row r="81" spans="1:27" s="57" customFormat="1" ht="18" customHeight="1" thickBot="1" x14ac:dyDescent="0.25">
      <c r="A81" s="308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7" s="25" customFormat="1" ht="18" customHeight="1" thickBot="1" x14ac:dyDescent="0.25">
      <c r="A82" s="390" t="s">
        <v>38</v>
      </c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2"/>
      <c r="M82" s="24"/>
      <c r="N82" s="28"/>
      <c r="O82" s="385" t="s">
        <v>40</v>
      </c>
      <c r="P82" s="386"/>
      <c r="Q82" s="386"/>
      <c r="R82" s="387"/>
      <c r="S82" s="29"/>
      <c r="T82" s="385" t="s">
        <v>41</v>
      </c>
      <c r="U82" s="386"/>
      <c r="V82" s="386"/>
      <c r="W82" s="386"/>
      <c r="X82" s="386"/>
      <c r="Y82" s="387"/>
      <c r="Z82" s="30"/>
      <c r="AA82" s="24"/>
    </row>
    <row r="83" spans="1:27" s="25" customFormat="1" ht="18" customHeight="1" x14ac:dyDescent="0.2">
      <c r="A83" s="279"/>
      <c r="B83" s="277"/>
      <c r="C83" s="396" t="s">
        <v>212</v>
      </c>
      <c r="D83" s="396"/>
      <c r="E83" s="396"/>
      <c r="F83" s="396"/>
      <c r="G83" s="280" t="str">
        <f>$J$1</f>
        <v>January</v>
      </c>
      <c r="H83" s="399">
        <f>$K$1</f>
        <v>2024</v>
      </c>
      <c r="I83" s="399"/>
      <c r="J83" s="277"/>
      <c r="K83" s="281"/>
      <c r="L83" s="282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9"/>
      <c r="B84" s="277"/>
      <c r="C84" s="277"/>
      <c r="D84" s="283"/>
      <c r="E84" s="283"/>
      <c r="F84" s="283"/>
      <c r="G84" s="283"/>
      <c r="H84" s="283"/>
      <c r="I84" s="277"/>
      <c r="J84" s="284" t="s">
        <v>1</v>
      </c>
      <c r="K84" s="285">
        <f>45000+5000+20000</f>
        <v>70000</v>
      </c>
      <c r="L84" s="286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9"/>
      <c r="B85" s="277" t="s">
        <v>0</v>
      </c>
      <c r="C85" s="276" t="s">
        <v>73</v>
      </c>
      <c r="D85" s="277"/>
      <c r="E85" s="277"/>
      <c r="F85" s="277"/>
      <c r="G85" s="277"/>
      <c r="H85" s="287"/>
      <c r="I85" s="283"/>
      <c r="J85" s="277"/>
      <c r="K85" s="277"/>
      <c r="L85" s="288"/>
      <c r="M85" s="24"/>
      <c r="N85" s="39"/>
      <c r="O85" s="36" t="s">
        <v>69</v>
      </c>
      <c r="P85" s="36"/>
      <c r="Q85" s="36"/>
      <c r="R85" s="36" t="str">
        <f t="shared" ref="R85:R95" si="16">IF(Q85="","",R84-Q85)</f>
        <v/>
      </c>
      <c r="S85" s="27"/>
      <c r="T85" s="36" t="s">
        <v>69</v>
      </c>
      <c r="U85" s="64">
        <f t="shared" ref="U85:U90" si="17">Y84</f>
        <v>0</v>
      </c>
      <c r="V85" s="38"/>
      <c r="W85" s="64">
        <f>IF(U85="","",U85+V85)</f>
        <v>0</v>
      </c>
      <c r="X85" s="38"/>
      <c r="Y85" s="64">
        <f>IF(W85="","",W85-X85)</f>
        <v>0</v>
      </c>
      <c r="Z85" s="40"/>
      <c r="AA85" s="24"/>
    </row>
    <row r="86" spans="1:27" s="25" customFormat="1" ht="18" customHeight="1" x14ac:dyDescent="0.2">
      <c r="A86" s="279"/>
      <c r="B86" s="289" t="s">
        <v>39</v>
      </c>
      <c r="C86" s="290"/>
      <c r="D86" s="277"/>
      <c r="E86" s="277"/>
      <c r="F86" s="393" t="s">
        <v>41</v>
      </c>
      <c r="G86" s="395"/>
      <c r="H86" s="277"/>
      <c r="I86" s="393" t="s">
        <v>42</v>
      </c>
      <c r="J86" s="394"/>
      <c r="K86" s="395"/>
      <c r="L86" s="291"/>
      <c r="N86" s="35"/>
      <c r="O86" s="36" t="s">
        <v>44</v>
      </c>
      <c r="P86" s="36"/>
      <c r="Q86" s="36"/>
      <c r="R86" s="36" t="str">
        <f t="shared" si="16"/>
        <v/>
      </c>
      <c r="S86" s="27"/>
      <c r="T86" s="36" t="s">
        <v>44</v>
      </c>
      <c r="U86" s="64">
        <f t="shared" si="17"/>
        <v>0</v>
      </c>
      <c r="V86" s="38"/>
      <c r="W86" s="64">
        <f t="shared" ref="W86:W95" si="18">IF(U86="","",U86+V86)</f>
        <v>0</v>
      </c>
      <c r="X86" s="38"/>
      <c r="Y86" s="64">
        <f t="shared" ref="Y86:Y95" si="19">IF(W86="","",W86-X86)</f>
        <v>0</v>
      </c>
      <c r="Z86" s="40"/>
    </row>
    <row r="87" spans="1:27" s="25" customFormat="1" ht="18" customHeight="1" x14ac:dyDescent="0.2">
      <c r="A87" s="279"/>
      <c r="B87" s="277"/>
      <c r="C87" s="277"/>
      <c r="D87" s="277"/>
      <c r="E87" s="277"/>
      <c r="F87" s="277"/>
      <c r="G87" s="277"/>
      <c r="H87" s="292"/>
      <c r="I87" s="277"/>
      <c r="J87" s="277"/>
      <c r="K87" s="277"/>
      <c r="L87" s="293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4">
        <f t="shared" si="17"/>
        <v>0</v>
      </c>
      <c r="V87" s="38"/>
      <c r="W87" s="64">
        <f t="shared" si="18"/>
        <v>0</v>
      </c>
      <c r="X87" s="38"/>
      <c r="Y87" s="64">
        <f t="shared" si="19"/>
        <v>0</v>
      </c>
      <c r="Z87" s="40"/>
    </row>
    <row r="88" spans="1:27" s="25" customFormat="1" ht="18" customHeight="1" x14ac:dyDescent="0.2">
      <c r="A88" s="279"/>
      <c r="B88" s="397" t="s">
        <v>40</v>
      </c>
      <c r="C88" s="398"/>
      <c r="D88" s="277"/>
      <c r="E88" s="277"/>
      <c r="F88" s="294" t="s">
        <v>62</v>
      </c>
      <c r="G88" s="295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92"/>
      <c r="I88" s="296">
        <f>IF(C92&gt;0,$K$2,C90)</f>
        <v>31</v>
      </c>
      <c r="J88" s="297" t="s">
        <v>59</v>
      </c>
      <c r="K88" s="298">
        <f>K84/$K$2*I88</f>
        <v>70000</v>
      </c>
      <c r="L88" s="299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4">
        <f t="shared" si="17"/>
        <v>0</v>
      </c>
      <c r="V88" s="38"/>
      <c r="W88" s="64">
        <f t="shared" si="18"/>
        <v>0</v>
      </c>
      <c r="X88" s="38"/>
      <c r="Y88" s="64">
        <f t="shared" si="19"/>
        <v>0</v>
      </c>
      <c r="Z88" s="40"/>
    </row>
    <row r="89" spans="1:27" s="25" customFormat="1" ht="18" customHeight="1" x14ac:dyDescent="0.2">
      <c r="A89" s="279"/>
      <c r="B89" s="300"/>
      <c r="C89" s="300"/>
      <c r="D89" s="277"/>
      <c r="E89" s="277"/>
      <c r="F89" s="294" t="s">
        <v>18</v>
      </c>
      <c r="G89" s="295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92"/>
      <c r="I89" s="296">
        <v>102</v>
      </c>
      <c r="J89" s="297" t="s">
        <v>60</v>
      </c>
      <c r="K89" s="301">
        <f>K84/$K$2/8*I89</f>
        <v>28790.322580645159</v>
      </c>
      <c r="L89" s="302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4">
        <f t="shared" si="17"/>
        <v>0</v>
      </c>
      <c r="V89" s="38"/>
      <c r="W89" s="64">
        <f t="shared" si="18"/>
        <v>0</v>
      </c>
      <c r="X89" s="38"/>
      <c r="Y89" s="64">
        <f t="shared" si="19"/>
        <v>0</v>
      </c>
      <c r="Z89" s="40"/>
    </row>
    <row r="90" spans="1:27" s="25" customFormat="1" ht="18" customHeight="1" x14ac:dyDescent="0.2">
      <c r="A90" s="279"/>
      <c r="B90" s="294" t="s">
        <v>7</v>
      </c>
      <c r="C90" s="300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90" s="277"/>
      <c r="E90" s="277"/>
      <c r="F90" s="294" t="s">
        <v>63</v>
      </c>
      <c r="G90" s="295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92"/>
      <c r="I90" s="388" t="s">
        <v>67</v>
      </c>
      <c r="J90" s="389"/>
      <c r="K90" s="301">
        <f>K88+K89</f>
        <v>98790.322580645152</v>
      </c>
      <c r="L90" s="302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4">
        <f t="shared" si="17"/>
        <v>0</v>
      </c>
      <c r="V90" s="38"/>
      <c r="W90" s="64">
        <f t="shared" si="18"/>
        <v>0</v>
      </c>
      <c r="X90" s="38"/>
      <c r="Y90" s="64">
        <f t="shared" si="19"/>
        <v>0</v>
      </c>
      <c r="Z90" s="40"/>
    </row>
    <row r="91" spans="1:27" s="25" customFormat="1" ht="18" customHeight="1" x14ac:dyDescent="0.2">
      <c r="A91" s="279"/>
      <c r="B91" s="294" t="s">
        <v>6</v>
      </c>
      <c r="C91" s="300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77"/>
      <c r="E91" s="277"/>
      <c r="F91" s="294" t="s">
        <v>19</v>
      </c>
      <c r="G91" s="295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92"/>
      <c r="I91" s="388" t="s">
        <v>68</v>
      </c>
      <c r="J91" s="389"/>
      <c r="K91" s="295">
        <f>G91</f>
        <v>0</v>
      </c>
      <c r="L91" s="303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4">
        <f>Y90</f>
        <v>0</v>
      </c>
      <c r="V91" s="38"/>
      <c r="W91" s="64">
        <f t="shared" si="18"/>
        <v>0</v>
      </c>
      <c r="X91" s="38"/>
      <c r="Y91" s="64">
        <f t="shared" si="19"/>
        <v>0</v>
      </c>
      <c r="Z91" s="40"/>
    </row>
    <row r="92" spans="1:27" s="25" customFormat="1" ht="18" customHeight="1" x14ac:dyDescent="0.2">
      <c r="A92" s="279"/>
      <c r="B92" s="309" t="s">
        <v>66</v>
      </c>
      <c r="C92" s="300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15</v>
      </c>
      <c r="D92" s="277"/>
      <c r="E92" s="277"/>
      <c r="F92" s="309" t="s">
        <v>201</v>
      </c>
      <c r="G92" s="295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7"/>
      <c r="I92" s="393" t="s">
        <v>61</v>
      </c>
      <c r="J92" s="395"/>
      <c r="K92" s="234">
        <f>K90-K91</f>
        <v>98790.322580645152</v>
      </c>
      <c r="L92" s="304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4">
        <f>Y91</f>
        <v>0</v>
      </c>
      <c r="V92" s="38"/>
      <c r="W92" s="64">
        <f t="shared" si="18"/>
        <v>0</v>
      </c>
      <c r="X92" s="38"/>
      <c r="Y92" s="64">
        <f t="shared" si="19"/>
        <v>0</v>
      </c>
      <c r="Z92" s="40"/>
    </row>
    <row r="93" spans="1:27" s="25" customFormat="1" ht="18" customHeight="1" x14ac:dyDescent="0.2">
      <c r="A93" s="279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91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4">
        <f>Y92</f>
        <v>0</v>
      </c>
      <c r="V93" s="38"/>
      <c r="W93" s="64">
        <f t="shared" si="18"/>
        <v>0</v>
      </c>
      <c r="X93" s="38"/>
      <c r="Y93" s="64">
        <f t="shared" si="19"/>
        <v>0</v>
      </c>
      <c r="Z93" s="40"/>
    </row>
    <row r="94" spans="1:27" s="25" customFormat="1" ht="18" customHeight="1" x14ac:dyDescent="0.3">
      <c r="A94" s="279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91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4">
        <f>Y93</f>
        <v>0</v>
      </c>
      <c r="V94" s="38"/>
      <c r="W94" s="64">
        <f t="shared" si="18"/>
        <v>0</v>
      </c>
      <c r="X94" s="38"/>
      <c r="Y94" s="64">
        <f t="shared" si="19"/>
        <v>0</v>
      </c>
      <c r="Z94" s="40"/>
    </row>
    <row r="95" spans="1:27" s="25" customFormat="1" ht="18" customHeight="1" thickBot="1" x14ac:dyDescent="0.35">
      <c r="A95" s="305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7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4">
        <f>Y94</f>
        <v>0</v>
      </c>
      <c r="V95" s="38"/>
      <c r="W95" s="64">
        <f t="shared" si="18"/>
        <v>0</v>
      </c>
      <c r="X95" s="38"/>
      <c r="Y95" s="64">
        <f t="shared" si="19"/>
        <v>0</v>
      </c>
      <c r="Z95" s="40"/>
    </row>
    <row r="96" spans="1:27" s="57" customFormat="1" ht="18" customHeight="1" thickBot="1" x14ac:dyDescent="0.25">
      <c r="A96" s="308"/>
      <c r="B96" s="308"/>
      <c r="C96" s="308"/>
      <c r="D96" s="308"/>
      <c r="E96" s="308"/>
      <c r="F96" s="308"/>
      <c r="G96" s="308"/>
      <c r="H96" s="308"/>
      <c r="I96" s="308"/>
      <c r="J96" s="308"/>
      <c r="K96" s="308"/>
      <c r="L96" s="30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7" s="25" customFormat="1" ht="18" customHeight="1" thickBot="1" x14ac:dyDescent="0.25">
      <c r="A97" s="390" t="s">
        <v>38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2"/>
      <c r="M97" s="24"/>
      <c r="N97" s="28"/>
      <c r="O97" s="385" t="s">
        <v>40</v>
      </c>
      <c r="P97" s="386"/>
      <c r="Q97" s="386"/>
      <c r="R97" s="387"/>
      <c r="S97" s="29"/>
      <c r="T97" s="385" t="s">
        <v>41</v>
      </c>
      <c r="U97" s="386"/>
      <c r="V97" s="386"/>
      <c r="W97" s="386"/>
      <c r="X97" s="386"/>
      <c r="Y97" s="387"/>
      <c r="Z97" s="30"/>
    </row>
    <row r="98" spans="1:27" s="25" customFormat="1" ht="18" customHeight="1" x14ac:dyDescent="0.2">
      <c r="A98" s="279"/>
      <c r="B98" s="277"/>
      <c r="C98" s="396" t="s">
        <v>212</v>
      </c>
      <c r="D98" s="396"/>
      <c r="E98" s="396"/>
      <c r="F98" s="396"/>
      <c r="G98" s="280" t="str">
        <f>$J$1</f>
        <v>January</v>
      </c>
      <c r="H98" s="399">
        <f>$K$1</f>
        <v>2024</v>
      </c>
      <c r="I98" s="399"/>
      <c r="J98" s="277"/>
      <c r="K98" s="281"/>
      <c r="L98" s="282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9"/>
      <c r="B99" s="277"/>
      <c r="C99" s="277"/>
      <c r="D99" s="283"/>
      <c r="E99" s="283"/>
      <c r="F99" s="283"/>
      <c r="G99" s="283"/>
      <c r="H99" s="283"/>
      <c r="I99" s="277"/>
      <c r="J99" s="284" t="s">
        <v>1</v>
      </c>
      <c r="K99" s="285">
        <f>38000+3000</f>
        <v>41000</v>
      </c>
      <c r="L99" s="286"/>
      <c r="N99" s="35"/>
      <c r="O99" s="36" t="s">
        <v>43</v>
      </c>
      <c r="P99" s="36"/>
      <c r="Q99" s="36"/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9"/>
      <c r="B100" s="277" t="s">
        <v>0</v>
      </c>
      <c r="C100" s="276" t="s">
        <v>166</v>
      </c>
      <c r="D100" s="277"/>
      <c r="E100" s="277"/>
      <c r="F100" s="277"/>
      <c r="G100" s="277"/>
      <c r="H100" s="287"/>
      <c r="I100" s="283"/>
      <c r="J100" s="277"/>
      <c r="K100" s="277"/>
      <c r="L100" s="288"/>
      <c r="M100" s="24"/>
      <c r="N100" s="39"/>
      <c r="O100" s="36" t="s">
        <v>69</v>
      </c>
      <c r="P100" s="36"/>
      <c r="Q100" s="36"/>
      <c r="R100" s="36">
        <v>0</v>
      </c>
      <c r="S100" s="27"/>
      <c r="T100" s="36" t="s">
        <v>69</v>
      </c>
      <c r="U100" s="64"/>
      <c r="V100" s="38"/>
      <c r="W100" s="64" t="str">
        <f>IF(U100="","",U100+V100)</f>
        <v/>
      </c>
      <c r="X100" s="38"/>
      <c r="Y100" s="64" t="str">
        <f>IF(W100="","",W100-X100)</f>
        <v/>
      </c>
      <c r="Z100" s="40"/>
    </row>
    <row r="101" spans="1:27" s="25" customFormat="1" ht="18" customHeight="1" x14ac:dyDescent="0.2">
      <c r="A101" s="279"/>
      <c r="B101" s="289" t="s">
        <v>39</v>
      </c>
      <c r="C101" s="290"/>
      <c r="D101" s="277"/>
      <c r="E101" s="277"/>
      <c r="F101" s="393" t="s">
        <v>41</v>
      </c>
      <c r="G101" s="395"/>
      <c r="H101" s="277"/>
      <c r="I101" s="393" t="s">
        <v>42</v>
      </c>
      <c r="J101" s="394"/>
      <c r="K101" s="395"/>
      <c r="L101" s="291"/>
      <c r="N101" s="35"/>
      <c r="O101" s="36" t="s">
        <v>44</v>
      </c>
      <c r="P101" s="36"/>
      <c r="Q101" s="36"/>
      <c r="R101" s="36">
        <v>0</v>
      </c>
      <c r="S101" s="27"/>
      <c r="T101" s="36" t="s">
        <v>44</v>
      </c>
      <c r="U101" s="64"/>
      <c r="V101" s="38"/>
      <c r="W101" s="64" t="str">
        <f t="shared" ref="W101:W110" si="20">IF(U101="","",U101+V101)</f>
        <v/>
      </c>
      <c r="X101" s="38"/>
      <c r="Y101" s="64" t="str">
        <f t="shared" ref="Y101:Y110" si="21">IF(W101="","",W101-X101)</f>
        <v/>
      </c>
      <c r="Z101" s="40"/>
    </row>
    <row r="102" spans="1:27" s="25" customFormat="1" ht="18" customHeight="1" x14ac:dyDescent="0.2">
      <c r="A102" s="279"/>
      <c r="B102" s="277"/>
      <c r="C102" s="277"/>
      <c r="D102" s="277"/>
      <c r="E102" s="277"/>
      <c r="F102" s="277"/>
      <c r="G102" s="277"/>
      <c r="H102" s="292"/>
      <c r="I102" s="277"/>
      <c r="J102" s="277"/>
      <c r="K102" s="277"/>
      <c r="L102" s="293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4"/>
      <c r="V102" s="38"/>
      <c r="W102" s="64" t="str">
        <f t="shared" si="20"/>
        <v/>
      </c>
      <c r="X102" s="38"/>
      <c r="Y102" s="64" t="str">
        <f t="shared" si="21"/>
        <v/>
      </c>
      <c r="Z102" s="40"/>
    </row>
    <row r="103" spans="1:27" s="25" customFormat="1" ht="18" customHeight="1" x14ac:dyDescent="0.2">
      <c r="A103" s="279"/>
      <c r="B103" s="397" t="s">
        <v>40</v>
      </c>
      <c r="C103" s="398"/>
      <c r="D103" s="277"/>
      <c r="E103" s="277"/>
      <c r="F103" s="294" t="s">
        <v>62</v>
      </c>
      <c r="G103" s="295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92"/>
      <c r="I103" s="296">
        <f>IF(C107&gt;0,$K$2,C105)</f>
        <v>31</v>
      </c>
      <c r="J103" s="297" t="s">
        <v>59</v>
      </c>
      <c r="K103" s="298">
        <f>K99/$K$2*I103</f>
        <v>41000</v>
      </c>
      <c r="L103" s="299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4"/>
      <c r="V103" s="38"/>
      <c r="W103" s="64" t="str">
        <f t="shared" si="20"/>
        <v/>
      </c>
      <c r="X103" s="38"/>
      <c r="Y103" s="64" t="str">
        <f t="shared" si="21"/>
        <v/>
      </c>
      <c r="Z103" s="40"/>
    </row>
    <row r="104" spans="1:27" s="25" customFormat="1" ht="18" customHeight="1" x14ac:dyDescent="0.2">
      <c r="A104" s="279"/>
      <c r="B104" s="300"/>
      <c r="C104" s="300"/>
      <c r="D104" s="277"/>
      <c r="E104" s="277"/>
      <c r="F104" s="294" t="s">
        <v>18</v>
      </c>
      <c r="G104" s="295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92"/>
      <c r="I104" s="296"/>
      <c r="J104" s="297" t="s">
        <v>60</v>
      </c>
      <c r="K104" s="301">
        <f>K99/$K$2/8*I104</f>
        <v>0</v>
      </c>
      <c r="L104" s="302"/>
      <c r="N104" s="35"/>
      <c r="O104" s="36" t="s">
        <v>47</v>
      </c>
      <c r="P104" s="443"/>
      <c r="Q104" s="443"/>
      <c r="R104" s="36">
        <v>14</v>
      </c>
      <c r="S104" s="27"/>
      <c r="T104" s="36" t="s">
        <v>47</v>
      </c>
      <c r="U104" s="64"/>
      <c r="V104" s="38"/>
      <c r="W104" s="64" t="str">
        <f t="shared" si="20"/>
        <v/>
      </c>
      <c r="X104" s="38"/>
      <c r="Y104" s="64" t="str">
        <f t="shared" si="21"/>
        <v/>
      </c>
      <c r="Z104" s="40"/>
    </row>
    <row r="105" spans="1:27" s="25" customFormat="1" ht="18" customHeight="1" x14ac:dyDescent="0.2">
      <c r="A105" s="279"/>
      <c r="B105" s="294" t="s">
        <v>7</v>
      </c>
      <c r="C105" s="300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0</v>
      </c>
      <c r="D105" s="277"/>
      <c r="E105" s="277"/>
      <c r="F105" s="294" t="s">
        <v>63</v>
      </c>
      <c r="G105" s="295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92"/>
      <c r="I105" s="388" t="s">
        <v>67</v>
      </c>
      <c r="J105" s="389"/>
      <c r="K105" s="301">
        <f>K103+K104</f>
        <v>41000</v>
      </c>
      <c r="L105" s="302"/>
      <c r="N105" s="35"/>
      <c r="O105" s="36" t="s">
        <v>48</v>
      </c>
      <c r="P105" s="36"/>
      <c r="Q105" s="36"/>
      <c r="R105" s="36">
        <f>R104-Q105+1</f>
        <v>15</v>
      </c>
      <c r="S105" s="27"/>
      <c r="T105" s="36" t="s">
        <v>48</v>
      </c>
      <c r="U105" s="64"/>
      <c r="V105" s="38"/>
      <c r="W105" s="64" t="str">
        <f t="shared" si="20"/>
        <v/>
      </c>
      <c r="X105" s="38"/>
      <c r="Y105" s="64" t="str">
        <f t="shared" si="21"/>
        <v/>
      </c>
      <c r="Z105" s="40"/>
    </row>
    <row r="106" spans="1:27" s="25" customFormat="1" ht="18" customHeight="1" x14ac:dyDescent="0.2">
      <c r="A106" s="279"/>
      <c r="B106" s="294" t="s">
        <v>6</v>
      </c>
      <c r="C106" s="300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7"/>
      <c r="E106" s="277"/>
      <c r="F106" s="294" t="s">
        <v>19</v>
      </c>
      <c r="G106" s="295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92"/>
      <c r="I106" s="388" t="s">
        <v>68</v>
      </c>
      <c r="J106" s="389"/>
      <c r="K106" s="295">
        <f>G106</f>
        <v>0</v>
      </c>
      <c r="L106" s="303"/>
      <c r="N106" s="35"/>
      <c r="O106" s="36" t="s">
        <v>49</v>
      </c>
      <c r="P106" s="36"/>
      <c r="Q106" s="36"/>
      <c r="R106" s="36">
        <f t="shared" ref="R106:R110" si="22">R105-Q106</f>
        <v>15</v>
      </c>
      <c r="S106" s="27"/>
      <c r="T106" s="36" t="s">
        <v>49</v>
      </c>
      <c r="U106" s="64"/>
      <c r="V106" s="38"/>
      <c r="W106" s="64" t="str">
        <f t="shared" si="20"/>
        <v/>
      </c>
      <c r="X106" s="38"/>
      <c r="Y106" s="64" t="str">
        <f t="shared" si="21"/>
        <v/>
      </c>
      <c r="Z106" s="40"/>
    </row>
    <row r="107" spans="1:27" s="25" customFormat="1" ht="18" customHeight="1" x14ac:dyDescent="0.2">
      <c r="A107" s="279"/>
      <c r="B107" s="309" t="s">
        <v>66</v>
      </c>
      <c r="C107" s="300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5</v>
      </c>
      <c r="D107" s="277"/>
      <c r="E107" s="277"/>
      <c r="F107" s="309" t="s">
        <v>201</v>
      </c>
      <c r="G107" s="295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7"/>
      <c r="I107" s="393" t="s">
        <v>61</v>
      </c>
      <c r="J107" s="395"/>
      <c r="K107" s="234">
        <f>K105-K106</f>
        <v>41000</v>
      </c>
      <c r="L107" s="304"/>
      <c r="N107" s="35"/>
      <c r="O107" s="36" t="s">
        <v>54</v>
      </c>
      <c r="P107" s="36"/>
      <c r="Q107" s="36"/>
      <c r="R107" s="36">
        <f t="shared" si="22"/>
        <v>15</v>
      </c>
      <c r="S107" s="27"/>
      <c r="T107" s="36" t="s">
        <v>54</v>
      </c>
      <c r="U107" s="64"/>
      <c r="V107" s="38"/>
      <c r="W107" s="64" t="str">
        <f t="shared" si="20"/>
        <v/>
      </c>
      <c r="X107" s="38"/>
      <c r="Y107" s="64" t="str">
        <f t="shared" si="21"/>
        <v/>
      </c>
      <c r="Z107" s="40"/>
    </row>
    <row r="108" spans="1:27" s="25" customFormat="1" ht="18" customHeight="1" x14ac:dyDescent="0.2">
      <c r="A108" s="279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91"/>
      <c r="N108" s="35"/>
      <c r="O108" s="36" t="s">
        <v>50</v>
      </c>
      <c r="P108" s="36"/>
      <c r="Q108" s="36"/>
      <c r="R108" s="36">
        <f t="shared" si="22"/>
        <v>15</v>
      </c>
      <c r="S108" s="27"/>
      <c r="T108" s="36" t="s">
        <v>50</v>
      </c>
      <c r="U108" s="64"/>
      <c r="V108" s="38"/>
      <c r="W108" s="64" t="str">
        <f t="shared" si="20"/>
        <v/>
      </c>
      <c r="X108" s="38"/>
      <c r="Y108" s="64" t="str">
        <f t="shared" si="21"/>
        <v/>
      </c>
      <c r="Z108" s="40"/>
    </row>
    <row r="109" spans="1:27" s="25" customFormat="1" ht="18" customHeight="1" x14ac:dyDescent="0.3">
      <c r="A109" s="279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91"/>
      <c r="N109" s="35"/>
      <c r="O109" s="36" t="s">
        <v>55</v>
      </c>
      <c r="P109" s="36"/>
      <c r="Q109" s="36"/>
      <c r="R109" s="36">
        <f t="shared" si="22"/>
        <v>15</v>
      </c>
      <c r="S109" s="27"/>
      <c r="T109" s="36" t="s">
        <v>55</v>
      </c>
      <c r="U109" s="64"/>
      <c r="V109" s="38"/>
      <c r="W109" s="64" t="str">
        <f t="shared" si="20"/>
        <v/>
      </c>
      <c r="X109" s="38"/>
      <c r="Y109" s="64" t="str">
        <f t="shared" si="21"/>
        <v/>
      </c>
      <c r="Z109" s="40"/>
    </row>
    <row r="110" spans="1:27" s="25" customFormat="1" ht="18" customHeight="1" thickBot="1" x14ac:dyDescent="0.35">
      <c r="A110" s="305"/>
      <c r="B110" s="306"/>
      <c r="C110" s="306"/>
      <c r="D110" s="306"/>
      <c r="E110" s="306"/>
      <c r="F110" s="306" t="s">
        <v>195</v>
      </c>
      <c r="G110" s="306"/>
      <c r="H110" s="306"/>
      <c r="I110" s="306"/>
      <c r="J110" s="306"/>
      <c r="K110" s="306"/>
      <c r="L110" s="307"/>
      <c r="N110" s="35"/>
      <c r="O110" s="36" t="s">
        <v>56</v>
      </c>
      <c r="P110" s="36"/>
      <c r="Q110" s="36"/>
      <c r="R110" s="36">
        <f t="shared" si="22"/>
        <v>15</v>
      </c>
      <c r="S110" s="27"/>
      <c r="T110" s="36" t="s">
        <v>56</v>
      </c>
      <c r="U110" s="64"/>
      <c r="V110" s="38"/>
      <c r="W110" s="64" t="str">
        <f t="shared" si="20"/>
        <v/>
      </c>
      <c r="X110" s="38"/>
      <c r="Y110" s="64" t="str">
        <f t="shared" si="21"/>
        <v/>
      </c>
      <c r="Z110" s="40"/>
    </row>
    <row r="111" spans="1:27" s="57" customFormat="1" ht="18" customHeight="1" thickBot="1" x14ac:dyDescent="0.25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7" s="25" customFormat="1" ht="18" customHeight="1" thickBot="1" x14ac:dyDescent="0.25">
      <c r="A112" s="390" t="s">
        <v>38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2"/>
      <c r="M112" s="24"/>
      <c r="N112" s="28"/>
      <c r="O112" s="385" t="s">
        <v>40</v>
      </c>
      <c r="P112" s="386"/>
      <c r="Q112" s="386"/>
      <c r="R112" s="387"/>
      <c r="S112" s="29"/>
      <c r="T112" s="385" t="s">
        <v>41</v>
      </c>
      <c r="U112" s="386"/>
      <c r="V112" s="386"/>
      <c r="W112" s="386"/>
      <c r="X112" s="386"/>
      <c r="Y112" s="387"/>
      <c r="Z112" s="30"/>
      <c r="AA112" s="24"/>
    </row>
    <row r="113" spans="1:27" s="25" customFormat="1" ht="18" customHeight="1" x14ac:dyDescent="0.2">
      <c r="A113" s="279"/>
      <c r="B113" s="277"/>
      <c r="C113" s="396" t="s">
        <v>212</v>
      </c>
      <c r="D113" s="396"/>
      <c r="E113" s="396"/>
      <c r="F113" s="396"/>
      <c r="G113" s="280" t="str">
        <f>$J$1</f>
        <v>January</v>
      </c>
      <c r="H113" s="399">
        <f>$K$1</f>
        <v>2024</v>
      </c>
      <c r="I113" s="399"/>
      <c r="J113" s="277"/>
      <c r="K113" s="281"/>
      <c r="L113" s="282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9"/>
      <c r="B114" s="277"/>
      <c r="C114" s="277"/>
      <c r="D114" s="283"/>
      <c r="E114" s="283"/>
      <c r="F114" s="283"/>
      <c r="G114" s="283"/>
      <c r="H114" s="283"/>
      <c r="I114" s="277"/>
      <c r="J114" s="284" t="s">
        <v>1</v>
      </c>
      <c r="K114" s="285">
        <f>35000+3000+5000</f>
        <v>43000</v>
      </c>
      <c r="L114" s="286"/>
      <c r="N114" s="35"/>
      <c r="O114" s="36" t="s">
        <v>43</v>
      </c>
      <c r="P114" s="36"/>
      <c r="Q114" s="36"/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/>
      <c r="Y114" s="38">
        <f>W114-X114</f>
        <v>63500</v>
      </c>
      <c r="Z114" s="34"/>
    </row>
    <row r="115" spans="1:27" s="25" customFormat="1" ht="18" customHeight="1" x14ac:dyDescent="0.2">
      <c r="A115" s="279"/>
      <c r="B115" s="277" t="s">
        <v>0</v>
      </c>
      <c r="C115" s="276" t="s">
        <v>79</v>
      </c>
      <c r="D115" s="277"/>
      <c r="E115" s="277"/>
      <c r="F115" s="277"/>
      <c r="G115" s="277"/>
      <c r="H115" s="287"/>
      <c r="I115" s="283"/>
      <c r="J115" s="277"/>
      <c r="K115" s="277"/>
      <c r="L115" s="288"/>
      <c r="M115" s="24"/>
      <c r="N115" s="39"/>
      <c r="O115" s="36" t="s">
        <v>69</v>
      </c>
      <c r="P115" s="36"/>
      <c r="Q115" s="36"/>
      <c r="R115" s="36" t="str">
        <f t="shared" ref="R115:R125" si="23">IF(Q115="","",R114-Q115)</f>
        <v/>
      </c>
      <c r="S115" s="27"/>
      <c r="T115" s="36" t="s">
        <v>69</v>
      </c>
      <c r="U115" s="64"/>
      <c r="V115" s="38"/>
      <c r="W115" s="64" t="str">
        <f>IF(U115="","",U115+V115)</f>
        <v/>
      </c>
      <c r="X115" s="38"/>
      <c r="Y115" s="64" t="str">
        <f>IF(W115="","",W115-X115)</f>
        <v/>
      </c>
      <c r="Z115" s="40"/>
      <c r="AA115" s="24"/>
    </row>
    <row r="116" spans="1:27" s="25" customFormat="1" ht="18" customHeight="1" x14ac:dyDescent="0.2">
      <c r="A116" s="279"/>
      <c r="B116" s="289" t="s">
        <v>39</v>
      </c>
      <c r="C116" s="290" t="s">
        <v>80</v>
      </c>
      <c r="D116" s="277"/>
      <c r="E116" s="277"/>
      <c r="F116" s="393" t="s">
        <v>41</v>
      </c>
      <c r="G116" s="395"/>
      <c r="H116" s="277"/>
      <c r="I116" s="393" t="s">
        <v>42</v>
      </c>
      <c r="J116" s="394"/>
      <c r="K116" s="395"/>
      <c r="L116" s="291"/>
      <c r="N116" s="35"/>
      <c r="O116" s="36" t="s">
        <v>44</v>
      </c>
      <c r="P116" s="36"/>
      <c r="Q116" s="36"/>
      <c r="R116" s="36" t="str">
        <f t="shared" si="23"/>
        <v/>
      </c>
      <c r="S116" s="27"/>
      <c r="T116" s="36" t="s">
        <v>44</v>
      </c>
      <c r="U116" s="64"/>
      <c r="V116" s="38"/>
      <c r="W116" s="64" t="str">
        <f t="shared" ref="W116:W125" si="24">IF(U116="","",U116+V116)</f>
        <v/>
      </c>
      <c r="X116" s="38"/>
      <c r="Y116" s="64" t="str">
        <f t="shared" ref="Y116:Y125" si="25">IF(W116="","",W116-X116)</f>
        <v/>
      </c>
      <c r="Z116" s="40"/>
    </row>
    <row r="117" spans="1:27" s="25" customFormat="1" ht="18" customHeight="1" x14ac:dyDescent="0.2">
      <c r="A117" s="279"/>
      <c r="B117" s="277"/>
      <c r="C117" s="277"/>
      <c r="D117" s="277"/>
      <c r="E117" s="277"/>
      <c r="F117" s="277"/>
      <c r="G117" s="277"/>
      <c r="H117" s="292"/>
      <c r="I117" s="277"/>
      <c r="J117" s="277"/>
      <c r="K117" s="277"/>
      <c r="L117" s="293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4"/>
      <c r="V117" s="38"/>
      <c r="W117" s="64" t="str">
        <f t="shared" si="24"/>
        <v/>
      </c>
      <c r="X117" s="38"/>
      <c r="Y117" s="64" t="str">
        <f t="shared" si="25"/>
        <v/>
      </c>
      <c r="Z117" s="40"/>
    </row>
    <row r="118" spans="1:27" s="25" customFormat="1" ht="18" customHeight="1" x14ac:dyDescent="0.2">
      <c r="A118" s="279"/>
      <c r="B118" s="397" t="s">
        <v>40</v>
      </c>
      <c r="C118" s="398"/>
      <c r="D118" s="277"/>
      <c r="E118" s="277"/>
      <c r="F118" s="294" t="s">
        <v>62</v>
      </c>
      <c r="G118" s="295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63500</v>
      </c>
      <c r="H118" s="292"/>
      <c r="I118" s="296">
        <f>IF(C122&gt;0,$K$2,C120)</f>
        <v>31</v>
      </c>
      <c r="J118" s="297" t="s">
        <v>59</v>
      </c>
      <c r="K118" s="298">
        <f>K114/$K$2*I118</f>
        <v>43000</v>
      </c>
      <c r="L118" s="299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4"/>
      <c r="V118" s="38"/>
      <c r="W118" s="64" t="str">
        <f t="shared" si="24"/>
        <v/>
      </c>
      <c r="X118" s="38"/>
      <c r="Y118" s="64" t="str">
        <f t="shared" si="25"/>
        <v/>
      </c>
      <c r="Z118" s="40"/>
    </row>
    <row r="119" spans="1:27" s="25" customFormat="1" ht="18" customHeight="1" x14ac:dyDescent="0.2">
      <c r="A119" s="279"/>
      <c r="B119" s="300"/>
      <c r="C119" s="300"/>
      <c r="D119" s="277"/>
      <c r="E119" s="277"/>
      <c r="F119" s="294" t="s">
        <v>18</v>
      </c>
      <c r="G119" s="295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92"/>
      <c r="I119" s="296"/>
      <c r="J119" s="297" t="s">
        <v>60</v>
      </c>
      <c r="K119" s="301">
        <f>K114/$K$2/8*I119</f>
        <v>0</v>
      </c>
      <c r="L119" s="302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4"/>
      <c r="V119" s="38"/>
      <c r="W119" s="64" t="str">
        <f t="shared" si="24"/>
        <v/>
      </c>
      <c r="X119" s="38"/>
      <c r="Y119" s="64" t="str">
        <f t="shared" si="25"/>
        <v/>
      </c>
      <c r="Z119" s="40"/>
    </row>
    <row r="120" spans="1:27" s="25" customFormat="1" ht="18" customHeight="1" x14ac:dyDescent="0.2">
      <c r="A120" s="279"/>
      <c r="B120" s="294" t="s">
        <v>7</v>
      </c>
      <c r="C120" s="300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20" s="277"/>
      <c r="E120" s="277"/>
      <c r="F120" s="294" t="s">
        <v>63</v>
      </c>
      <c r="G120" s="295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63500</v>
      </c>
      <c r="H120" s="292"/>
      <c r="I120" s="388" t="s">
        <v>67</v>
      </c>
      <c r="J120" s="389"/>
      <c r="K120" s="301">
        <f>K118+K119</f>
        <v>43000</v>
      </c>
      <c r="L120" s="302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4"/>
      <c r="V120" s="38"/>
      <c r="W120" s="64" t="str">
        <f t="shared" si="24"/>
        <v/>
      </c>
      <c r="X120" s="38"/>
      <c r="Y120" s="64" t="str">
        <f t="shared" si="25"/>
        <v/>
      </c>
      <c r="Z120" s="40"/>
    </row>
    <row r="121" spans="1:27" s="25" customFormat="1" ht="18" customHeight="1" x14ac:dyDescent="0.2">
      <c r="A121" s="279"/>
      <c r="B121" s="294" t="s">
        <v>6</v>
      </c>
      <c r="C121" s="300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7"/>
      <c r="E121" s="277"/>
      <c r="F121" s="294" t="s">
        <v>19</v>
      </c>
      <c r="G121" s="295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292"/>
      <c r="I121" s="388" t="s">
        <v>68</v>
      </c>
      <c r="J121" s="389"/>
      <c r="K121" s="295">
        <f>G121</f>
        <v>0</v>
      </c>
      <c r="L121" s="303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4"/>
      <c r="V121" s="38"/>
      <c r="W121" s="64" t="str">
        <f t="shared" si="24"/>
        <v/>
      </c>
      <c r="X121" s="38"/>
      <c r="Y121" s="64" t="str">
        <f t="shared" si="25"/>
        <v/>
      </c>
      <c r="Z121" s="40"/>
    </row>
    <row r="122" spans="1:27" s="25" customFormat="1" ht="18" customHeight="1" x14ac:dyDescent="0.2">
      <c r="A122" s="279"/>
      <c r="B122" s="309" t="s">
        <v>66</v>
      </c>
      <c r="C122" s="300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15</v>
      </c>
      <c r="D122" s="277"/>
      <c r="E122" s="277"/>
      <c r="F122" s="309" t="s">
        <v>201</v>
      </c>
      <c r="G122" s="295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63500</v>
      </c>
      <c r="H122" s="277"/>
      <c r="I122" s="393" t="s">
        <v>61</v>
      </c>
      <c r="J122" s="395"/>
      <c r="K122" s="234">
        <f>K120-K121</f>
        <v>43000</v>
      </c>
      <c r="L122" s="304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4"/>
      <c r="V122" s="38"/>
      <c r="W122" s="64" t="str">
        <f t="shared" si="24"/>
        <v/>
      </c>
      <c r="X122" s="38"/>
      <c r="Y122" s="64" t="str">
        <f t="shared" si="25"/>
        <v/>
      </c>
      <c r="Z122" s="40"/>
    </row>
    <row r="123" spans="1:27" s="25" customFormat="1" ht="18" customHeight="1" x14ac:dyDescent="0.2">
      <c r="A123" s="279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291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4"/>
      <c r="V123" s="38"/>
      <c r="W123" s="64" t="str">
        <f t="shared" si="24"/>
        <v/>
      </c>
      <c r="X123" s="38"/>
      <c r="Y123" s="64" t="str">
        <f t="shared" si="25"/>
        <v/>
      </c>
      <c r="Z123" s="40"/>
    </row>
    <row r="124" spans="1:27" s="25" customFormat="1" ht="18" customHeight="1" x14ac:dyDescent="0.3">
      <c r="A124" s="279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91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4"/>
      <c r="V124" s="38"/>
      <c r="W124" s="64" t="str">
        <f t="shared" si="24"/>
        <v/>
      </c>
      <c r="X124" s="38"/>
      <c r="Y124" s="64" t="str">
        <f t="shared" si="25"/>
        <v/>
      </c>
      <c r="Z124" s="40"/>
    </row>
    <row r="125" spans="1:27" s="25" customFormat="1" ht="18" customHeight="1" thickBot="1" x14ac:dyDescent="0.35">
      <c r="A125" s="305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07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4"/>
      <c r="V125" s="38"/>
      <c r="W125" s="64" t="str">
        <f t="shared" si="24"/>
        <v/>
      </c>
      <c r="X125" s="38"/>
      <c r="Y125" s="64" t="str">
        <f t="shared" si="25"/>
        <v/>
      </c>
      <c r="Z125" s="40"/>
    </row>
    <row r="126" spans="1:27" s="57" customFormat="1" ht="18" customHeight="1" thickBot="1" x14ac:dyDescent="0.25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7" s="25" customFormat="1" ht="18" customHeight="1" thickBot="1" x14ac:dyDescent="0.25">
      <c r="A127" s="390" t="s">
        <v>38</v>
      </c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2"/>
      <c r="M127" s="24"/>
      <c r="N127" s="28"/>
      <c r="O127" s="385" t="s">
        <v>40</v>
      </c>
      <c r="P127" s="386"/>
      <c r="Q127" s="386"/>
      <c r="R127" s="387"/>
      <c r="S127" s="29"/>
      <c r="T127" s="385" t="s">
        <v>41</v>
      </c>
      <c r="U127" s="386"/>
      <c r="V127" s="386"/>
      <c r="W127" s="386"/>
      <c r="X127" s="386"/>
      <c r="Y127" s="387"/>
      <c r="Z127" s="30"/>
      <c r="AA127" s="24"/>
    </row>
    <row r="128" spans="1:27" s="25" customFormat="1" ht="18" customHeight="1" x14ac:dyDescent="0.2">
      <c r="A128" s="279"/>
      <c r="B128" s="277"/>
      <c r="C128" s="396" t="s">
        <v>212</v>
      </c>
      <c r="D128" s="396"/>
      <c r="E128" s="396"/>
      <c r="F128" s="396"/>
      <c r="G128" s="280" t="str">
        <f>$J$1</f>
        <v>January</v>
      </c>
      <c r="H128" s="399">
        <f>$K$1</f>
        <v>2024</v>
      </c>
      <c r="I128" s="399"/>
      <c r="J128" s="277"/>
      <c r="K128" s="281"/>
      <c r="L128" s="282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9"/>
      <c r="B129" s="277"/>
      <c r="C129" s="277"/>
      <c r="D129" s="283"/>
      <c r="E129" s="283"/>
      <c r="F129" s="283"/>
      <c r="G129" s="283"/>
      <c r="H129" s="283"/>
      <c r="I129" s="277"/>
      <c r="J129" s="284" t="s">
        <v>1</v>
      </c>
      <c r="K129" s="285">
        <v>35000</v>
      </c>
      <c r="L129" s="286"/>
      <c r="N129" s="35"/>
      <c r="O129" s="36" t="s">
        <v>43</v>
      </c>
      <c r="P129" s="36"/>
      <c r="Q129" s="36"/>
      <c r="R129" s="36">
        <f>15-Q129</f>
        <v>15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9"/>
      <c r="B130" s="277" t="s">
        <v>0</v>
      </c>
      <c r="C130" s="276" t="s">
        <v>75</v>
      </c>
      <c r="D130" s="277"/>
      <c r="E130" s="277"/>
      <c r="F130" s="277"/>
      <c r="G130" s="277"/>
      <c r="H130" s="287"/>
      <c r="I130" s="283"/>
      <c r="J130" s="277"/>
      <c r="K130" s="277"/>
      <c r="L130" s="288"/>
      <c r="M130" s="24"/>
      <c r="N130" s="39"/>
      <c r="O130" s="36" t="s">
        <v>69</v>
      </c>
      <c r="P130" s="36"/>
      <c r="Q130" s="36"/>
      <c r="R130" s="36" t="str">
        <f t="shared" ref="R130:R140" si="26">IF(Q130="","",R129-Q130)</f>
        <v/>
      </c>
      <c r="S130" s="27"/>
      <c r="T130" s="36" t="s">
        <v>69</v>
      </c>
      <c r="U130" s="64">
        <f t="shared" ref="U130:U135" si="27">Y129</f>
        <v>0</v>
      </c>
      <c r="V130" s="38"/>
      <c r="W130" s="64">
        <f>IF(U130="","",U130+V130)</f>
        <v>0</v>
      </c>
      <c r="X130" s="38"/>
      <c r="Y130" s="64">
        <f>IF(W130="","",W130-X130)</f>
        <v>0</v>
      </c>
      <c r="Z130" s="40"/>
      <c r="AA130" s="24"/>
    </row>
    <row r="131" spans="1:28" s="25" customFormat="1" ht="18" customHeight="1" x14ac:dyDescent="0.2">
      <c r="A131" s="279"/>
      <c r="B131" s="289" t="s">
        <v>39</v>
      </c>
      <c r="C131" s="290"/>
      <c r="D131" s="277"/>
      <c r="E131" s="277"/>
      <c r="F131" s="393" t="s">
        <v>41</v>
      </c>
      <c r="G131" s="395"/>
      <c r="H131" s="277"/>
      <c r="I131" s="393" t="s">
        <v>42</v>
      </c>
      <c r="J131" s="394"/>
      <c r="K131" s="395"/>
      <c r="L131" s="291"/>
      <c r="N131" s="35"/>
      <c r="O131" s="36" t="s">
        <v>44</v>
      </c>
      <c r="P131" s="36"/>
      <c r="Q131" s="36"/>
      <c r="R131" s="36" t="str">
        <f t="shared" si="26"/>
        <v/>
      </c>
      <c r="S131" s="27"/>
      <c r="T131" s="36" t="s">
        <v>44</v>
      </c>
      <c r="U131" s="64">
        <f t="shared" si="27"/>
        <v>0</v>
      </c>
      <c r="V131" s="38"/>
      <c r="W131" s="64">
        <f t="shared" ref="W131:W140" si="28">IF(U131="","",U131+V131)</f>
        <v>0</v>
      </c>
      <c r="X131" s="38"/>
      <c r="Y131" s="64">
        <f t="shared" ref="Y131:Y140" si="29">IF(W131="","",W131-X131)</f>
        <v>0</v>
      </c>
      <c r="Z131" s="40"/>
    </row>
    <row r="132" spans="1:28" s="25" customFormat="1" ht="18" customHeight="1" x14ac:dyDescent="0.2">
      <c r="A132" s="279"/>
      <c r="B132" s="277"/>
      <c r="C132" s="277"/>
      <c r="D132" s="277"/>
      <c r="E132" s="277"/>
      <c r="F132" s="277"/>
      <c r="G132" s="277"/>
      <c r="H132" s="292"/>
      <c r="I132" s="277"/>
      <c r="J132" s="277"/>
      <c r="K132" s="277"/>
      <c r="L132" s="293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4">
        <f t="shared" si="27"/>
        <v>0</v>
      </c>
      <c r="V132" s="38"/>
      <c r="W132" s="64">
        <f t="shared" si="28"/>
        <v>0</v>
      </c>
      <c r="X132" s="38"/>
      <c r="Y132" s="64">
        <f t="shared" si="29"/>
        <v>0</v>
      </c>
      <c r="Z132" s="40"/>
      <c r="AB132" s="66">
        <f>K137+K122</f>
        <v>80258.06451612903</v>
      </c>
    </row>
    <row r="133" spans="1:28" s="25" customFormat="1" ht="18" customHeight="1" x14ac:dyDescent="0.2">
      <c r="A133" s="279"/>
      <c r="B133" s="397" t="s">
        <v>40</v>
      </c>
      <c r="C133" s="398"/>
      <c r="D133" s="277"/>
      <c r="E133" s="277"/>
      <c r="F133" s="294" t="s">
        <v>62</v>
      </c>
      <c r="G133" s="295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92"/>
      <c r="I133" s="296">
        <f>IF(C137&gt;0,$K$2,C135)</f>
        <v>31</v>
      </c>
      <c r="J133" s="297" t="s">
        <v>59</v>
      </c>
      <c r="K133" s="298">
        <f>K129/$K$2*I133</f>
        <v>35000</v>
      </c>
      <c r="L133" s="299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4">
        <f t="shared" si="27"/>
        <v>0</v>
      </c>
      <c r="V133" s="38"/>
      <c r="W133" s="64">
        <f t="shared" si="28"/>
        <v>0</v>
      </c>
      <c r="X133" s="38"/>
      <c r="Y133" s="64">
        <f t="shared" si="29"/>
        <v>0</v>
      </c>
      <c r="Z133" s="40"/>
    </row>
    <row r="134" spans="1:28" s="25" customFormat="1" ht="18" customHeight="1" x14ac:dyDescent="0.2">
      <c r="A134" s="279"/>
      <c r="B134" s="300"/>
      <c r="C134" s="300"/>
      <c r="D134" s="277"/>
      <c r="E134" s="277"/>
      <c r="F134" s="294" t="s">
        <v>18</v>
      </c>
      <c r="G134" s="295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92"/>
      <c r="I134" s="296">
        <v>16</v>
      </c>
      <c r="J134" s="297" t="s">
        <v>60</v>
      </c>
      <c r="K134" s="301">
        <f>K129/$K$2/8*I134</f>
        <v>2258.0645161290322</v>
      </c>
      <c r="L134" s="302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4">
        <f t="shared" si="27"/>
        <v>0</v>
      </c>
      <c r="V134" s="38"/>
      <c r="W134" s="64">
        <f t="shared" si="28"/>
        <v>0</v>
      </c>
      <c r="X134" s="38"/>
      <c r="Y134" s="64">
        <f t="shared" si="29"/>
        <v>0</v>
      </c>
      <c r="Z134" s="40"/>
    </row>
    <row r="135" spans="1:28" s="25" customFormat="1" ht="18" customHeight="1" x14ac:dyDescent="0.2">
      <c r="A135" s="279"/>
      <c r="B135" s="294" t="s">
        <v>7</v>
      </c>
      <c r="C135" s="300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0</v>
      </c>
      <c r="D135" s="277"/>
      <c r="E135" s="277"/>
      <c r="F135" s="294" t="s">
        <v>63</v>
      </c>
      <c r="G135" s="295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92"/>
      <c r="I135" s="388" t="s">
        <v>67</v>
      </c>
      <c r="J135" s="389"/>
      <c r="K135" s="301">
        <f>K133+K134</f>
        <v>37258.06451612903</v>
      </c>
      <c r="L135" s="302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4">
        <f t="shared" si="27"/>
        <v>0</v>
      </c>
      <c r="V135" s="38"/>
      <c r="W135" s="64">
        <f t="shared" si="28"/>
        <v>0</v>
      </c>
      <c r="X135" s="38"/>
      <c r="Y135" s="64">
        <f t="shared" si="29"/>
        <v>0</v>
      </c>
      <c r="Z135" s="40"/>
    </row>
    <row r="136" spans="1:28" s="25" customFormat="1" ht="18" customHeight="1" x14ac:dyDescent="0.2">
      <c r="A136" s="279"/>
      <c r="B136" s="294" t="s">
        <v>6</v>
      </c>
      <c r="C136" s="300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7"/>
      <c r="E136" s="277"/>
      <c r="F136" s="294" t="s">
        <v>19</v>
      </c>
      <c r="G136" s="295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92"/>
      <c r="I136" s="388" t="s">
        <v>68</v>
      </c>
      <c r="J136" s="389"/>
      <c r="K136" s="295">
        <f>G136</f>
        <v>0</v>
      </c>
      <c r="L136" s="303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4">
        <f>Y135</f>
        <v>0</v>
      </c>
      <c r="V136" s="38"/>
      <c r="W136" s="64">
        <f t="shared" si="28"/>
        <v>0</v>
      </c>
      <c r="X136" s="38"/>
      <c r="Y136" s="64">
        <f t="shared" si="29"/>
        <v>0</v>
      </c>
      <c r="Z136" s="40"/>
    </row>
    <row r="137" spans="1:28" s="25" customFormat="1" ht="18" customHeight="1" x14ac:dyDescent="0.2">
      <c r="A137" s="279"/>
      <c r="B137" s="309" t="s">
        <v>66</v>
      </c>
      <c r="C137" s="300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7" s="277"/>
      <c r="E137" s="277"/>
      <c r="F137" s="309" t="s">
        <v>201</v>
      </c>
      <c r="G137" s="295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7"/>
      <c r="I137" s="393" t="s">
        <v>61</v>
      </c>
      <c r="J137" s="395"/>
      <c r="K137" s="234">
        <f>K135-K136</f>
        <v>37258.06451612903</v>
      </c>
      <c r="L137" s="304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4" t="str">
        <f>IF($J$1="September",Y136,"")</f>
        <v/>
      </c>
      <c r="V137" s="38"/>
      <c r="W137" s="64" t="str">
        <f t="shared" si="28"/>
        <v/>
      </c>
      <c r="X137" s="38"/>
      <c r="Y137" s="64" t="str">
        <f t="shared" si="29"/>
        <v/>
      </c>
      <c r="Z137" s="40"/>
    </row>
    <row r="138" spans="1:28" s="25" customFormat="1" ht="18" customHeight="1" x14ac:dyDescent="0.2">
      <c r="A138" s="279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91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4" t="str">
        <f>IF($J$1="October",Y137,"")</f>
        <v/>
      </c>
      <c r="V138" s="38"/>
      <c r="W138" s="64" t="str">
        <f t="shared" si="28"/>
        <v/>
      </c>
      <c r="X138" s="38"/>
      <c r="Y138" s="64" t="str">
        <f t="shared" si="29"/>
        <v/>
      </c>
      <c r="Z138" s="40"/>
    </row>
    <row r="139" spans="1:28" s="25" customFormat="1" ht="18" customHeight="1" x14ac:dyDescent="0.3">
      <c r="A139" s="279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91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4" t="str">
        <f>Y138</f>
        <v/>
      </c>
      <c r="V139" s="38"/>
      <c r="W139" s="64" t="str">
        <f t="shared" si="28"/>
        <v/>
      </c>
      <c r="X139" s="38"/>
      <c r="Y139" s="64" t="str">
        <f t="shared" si="29"/>
        <v/>
      </c>
      <c r="Z139" s="40"/>
    </row>
    <row r="140" spans="1:28" s="25" customFormat="1" ht="18" customHeight="1" thickBot="1" x14ac:dyDescent="0.35">
      <c r="A140" s="305"/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7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4">
        <v>0</v>
      </c>
      <c r="V140" s="38"/>
      <c r="W140" s="64">
        <f t="shared" si="28"/>
        <v>0</v>
      </c>
      <c r="X140" s="38"/>
      <c r="Y140" s="64">
        <f t="shared" si="29"/>
        <v>0</v>
      </c>
      <c r="Z140" s="40"/>
    </row>
    <row r="141" spans="1:28" s="57" customFormat="1" ht="18" customHeight="1" thickBot="1" x14ac:dyDescent="0.25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8" s="25" customFormat="1" ht="18" customHeight="1" thickBot="1" x14ac:dyDescent="0.25">
      <c r="A142" s="390" t="s">
        <v>38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2"/>
      <c r="M142" s="24"/>
      <c r="N142" s="28"/>
      <c r="O142" s="385" t="s">
        <v>40</v>
      </c>
      <c r="P142" s="386"/>
      <c r="Q142" s="386"/>
      <c r="R142" s="387"/>
      <c r="S142" s="29"/>
      <c r="T142" s="385" t="s">
        <v>41</v>
      </c>
      <c r="U142" s="386"/>
      <c r="V142" s="386"/>
      <c r="W142" s="386"/>
      <c r="X142" s="386"/>
      <c r="Y142" s="387"/>
      <c r="Z142" s="30"/>
      <c r="AA142" s="24"/>
    </row>
    <row r="143" spans="1:28" s="25" customFormat="1" ht="18" customHeight="1" x14ac:dyDescent="0.2">
      <c r="A143" s="279"/>
      <c r="B143" s="277"/>
      <c r="C143" s="396" t="s">
        <v>212</v>
      </c>
      <c r="D143" s="396"/>
      <c r="E143" s="396"/>
      <c r="F143" s="396"/>
      <c r="G143" s="280" t="str">
        <f>$J$1</f>
        <v>January</v>
      </c>
      <c r="H143" s="399">
        <f>$K$1</f>
        <v>2024</v>
      </c>
      <c r="I143" s="399"/>
      <c r="J143" s="277"/>
      <c r="K143" s="281"/>
      <c r="L143" s="282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9"/>
      <c r="B144" s="277"/>
      <c r="C144" s="277"/>
      <c r="D144" s="283"/>
      <c r="E144" s="283"/>
      <c r="F144" s="283"/>
      <c r="G144" s="283"/>
      <c r="H144" s="283"/>
      <c r="I144" s="277"/>
      <c r="J144" s="284" t="s">
        <v>1</v>
      </c>
      <c r="K144" s="285">
        <f>30000+5000</f>
        <v>35000</v>
      </c>
      <c r="L144" s="286"/>
      <c r="N144" s="35"/>
      <c r="O144" s="36" t="s">
        <v>43</v>
      </c>
      <c r="P144" s="36"/>
      <c r="Q144" s="36"/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/>
      <c r="Y144" s="38">
        <f>W144-X144</f>
        <v>40867</v>
      </c>
      <c r="Z144" s="34"/>
    </row>
    <row r="145" spans="1:27" s="25" customFormat="1" ht="18" customHeight="1" x14ac:dyDescent="0.2">
      <c r="A145" s="279"/>
      <c r="B145" s="277" t="s">
        <v>0</v>
      </c>
      <c r="C145" s="276" t="s">
        <v>21</v>
      </c>
      <c r="D145" s="277"/>
      <c r="E145" s="277"/>
      <c r="F145" s="277"/>
      <c r="G145" s="277"/>
      <c r="H145" s="287"/>
      <c r="I145" s="283"/>
      <c r="J145" s="277"/>
      <c r="K145" s="277"/>
      <c r="L145" s="288"/>
      <c r="M145" s="24"/>
      <c r="N145" s="39"/>
      <c r="O145" s="36" t="s">
        <v>69</v>
      </c>
      <c r="P145" s="36"/>
      <c r="Q145" s="36"/>
      <c r="R145" s="36" t="str">
        <f t="shared" ref="R145:R155" si="30">IF(Q145="","",R144-Q145)</f>
        <v/>
      </c>
      <c r="S145" s="27"/>
      <c r="T145" s="36" t="s">
        <v>69</v>
      </c>
      <c r="U145" s="64"/>
      <c r="V145" s="38"/>
      <c r="W145" s="64" t="str">
        <f>IF(U145="","",U145+V145)</f>
        <v/>
      </c>
      <c r="X145" s="38"/>
      <c r="Y145" s="64" t="str">
        <f>IF(W145="","",W145-X145)</f>
        <v/>
      </c>
      <c r="Z145" s="40"/>
      <c r="AA145" s="24"/>
    </row>
    <row r="146" spans="1:27" s="25" customFormat="1" ht="18" customHeight="1" x14ac:dyDescent="0.2">
      <c r="A146" s="279"/>
      <c r="B146" s="289" t="s">
        <v>39</v>
      </c>
      <c r="C146" s="290"/>
      <c r="D146" s="277"/>
      <c r="E146" s="277"/>
      <c r="F146" s="393" t="s">
        <v>41</v>
      </c>
      <c r="G146" s="395"/>
      <c r="H146" s="277"/>
      <c r="I146" s="393" t="s">
        <v>42</v>
      </c>
      <c r="J146" s="394"/>
      <c r="K146" s="395"/>
      <c r="L146" s="291"/>
      <c r="N146" s="35"/>
      <c r="O146" s="36" t="s">
        <v>44</v>
      </c>
      <c r="P146" s="36"/>
      <c r="Q146" s="36"/>
      <c r="R146" s="36" t="str">
        <f t="shared" si="30"/>
        <v/>
      </c>
      <c r="S146" s="27"/>
      <c r="T146" s="36" t="s">
        <v>44</v>
      </c>
      <c r="U146" s="64"/>
      <c r="V146" s="38"/>
      <c r="W146" s="64" t="str">
        <f t="shared" ref="W146:W155" si="31">IF(U146="","",U146+V146)</f>
        <v/>
      </c>
      <c r="X146" s="38"/>
      <c r="Y146" s="64" t="str">
        <f t="shared" ref="Y146:Y155" si="32">IF(W146="","",W146-X146)</f>
        <v/>
      </c>
      <c r="Z146" s="40"/>
    </row>
    <row r="147" spans="1:27" s="25" customFormat="1" ht="18" customHeight="1" x14ac:dyDescent="0.2">
      <c r="A147" s="279"/>
      <c r="B147" s="277"/>
      <c r="C147" s="277"/>
      <c r="D147" s="277"/>
      <c r="E147" s="277"/>
      <c r="F147" s="277"/>
      <c r="G147" s="277"/>
      <c r="H147" s="292"/>
      <c r="I147" s="277"/>
      <c r="J147" s="277"/>
      <c r="K147" s="277"/>
      <c r="L147" s="293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4"/>
      <c r="V147" s="38"/>
      <c r="W147" s="64" t="str">
        <f t="shared" si="31"/>
        <v/>
      </c>
      <c r="X147" s="38"/>
      <c r="Y147" s="64" t="str">
        <f t="shared" si="32"/>
        <v/>
      </c>
      <c r="Z147" s="40"/>
    </row>
    <row r="148" spans="1:27" s="25" customFormat="1" ht="18" customHeight="1" x14ac:dyDescent="0.2">
      <c r="A148" s="279"/>
      <c r="B148" s="397" t="s">
        <v>40</v>
      </c>
      <c r="C148" s="398"/>
      <c r="D148" s="277"/>
      <c r="E148" s="277"/>
      <c r="F148" s="294" t="s">
        <v>62</v>
      </c>
      <c r="G148" s="295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92"/>
      <c r="I148" s="296">
        <f>IF(C152&gt;0,$K$2,C150)</f>
        <v>31</v>
      </c>
      <c r="J148" s="297" t="s">
        <v>59</v>
      </c>
      <c r="K148" s="298">
        <f>K144/$K$2*I148</f>
        <v>35000</v>
      </c>
      <c r="L148" s="299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4"/>
      <c r="V148" s="38"/>
      <c r="W148" s="64" t="str">
        <f t="shared" si="31"/>
        <v/>
      </c>
      <c r="X148" s="38"/>
      <c r="Y148" s="64" t="str">
        <f t="shared" si="32"/>
        <v/>
      </c>
      <c r="Z148" s="40"/>
    </row>
    <row r="149" spans="1:27" s="25" customFormat="1" ht="18" customHeight="1" x14ac:dyDescent="0.2">
      <c r="A149" s="279"/>
      <c r="B149" s="300"/>
      <c r="C149" s="300"/>
      <c r="D149" s="277"/>
      <c r="E149" s="277"/>
      <c r="F149" s="294" t="s">
        <v>18</v>
      </c>
      <c r="G149" s="295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92"/>
      <c r="I149" s="296">
        <v>21</v>
      </c>
      <c r="J149" s="297" t="s">
        <v>60</v>
      </c>
      <c r="K149" s="301">
        <f>K144/$K$2/8*I149</f>
        <v>2963.7096774193546</v>
      </c>
      <c r="L149" s="302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4"/>
      <c r="V149" s="38"/>
      <c r="W149" s="64" t="str">
        <f t="shared" si="31"/>
        <v/>
      </c>
      <c r="X149" s="38"/>
      <c r="Y149" s="64" t="str">
        <f t="shared" si="32"/>
        <v/>
      </c>
      <c r="Z149" s="40"/>
    </row>
    <row r="150" spans="1:27" s="25" customFormat="1" ht="18" customHeight="1" x14ac:dyDescent="0.2">
      <c r="A150" s="279"/>
      <c r="B150" s="294" t="s">
        <v>7</v>
      </c>
      <c r="C150" s="300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50" s="277"/>
      <c r="E150" s="277"/>
      <c r="F150" s="294" t="s">
        <v>63</v>
      </c>
      <c r="G150" s="295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40867</v>
      </c>
      <c r="H150" s="292"/>
      <c r="I150" s="388" t="s">
        <v>67</v>
      </c>
      <c r="J150" s="389"/>
      <c r="K150" s="301">
        <f>K148+K149</f>
        <v>37963.709677419356</v>
      </c>
      <c r="L150" s="302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4"/>
      <c r="V150" s="38"/>
      <c r="W150" s="64" t="str">
        <f t="shared" si="31"/>
        <v/>
      </c>
      <c r="X150" s="38"/>
      <c r="Y150" s="64" t="str">
        <f t="shared" si="32"/>
        <v/>
      </c>
      <c r="Z150" s="40"/>
    </row>
    <row r="151" spans="1:27" s="25" customFormat="1" ht="18" customHeight="1" x14ac:dyDescent="0.2">
      <c r="A151" s="279"/>
      <c r="B151" s="294" t="s">
        <v>6</v>
      </c>
      <c r="C151" s="300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7"/>
      <c r="E151" s="277"/>
      <c r="F151" s="294" t="s">
        <v>19</v>
      </c>
      <c r="G151" s="295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51" s="292"/>
      <c r="I151" s="388" t="s">
        <v>68</v>
      </c>
      <c r="J151" s="389"/>
      <c r="K151" s="295">
        <f>G151</f>
        <v>0</v>
      </c>
      <c r="L151" s="303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4"/>
      <c r="V151" s="38"/>
      <c r="W151" s="64" t="str">
        <f t="shared" si="31"/>
        <v/>
      </c>
      <c r="X151" s="38"/>
      <c r="Y151" s="64" t="str">
        <f t="shared" si="32"/>
        <v/>
      </c>
      <c r="Z151" s="40"/>
    </row>
    <row r="152" spans="1:27" s="25" customFormat="1" ht="18" customHeight="1" x14ac:dyDescent="0.2">
      <c r="A152" s="279"/>
      <c r="B152" s="309" t="s">
        <v>66</v>
      </c>
      <c r="C152" s="300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7"/>
      <c r="E152" s="277"/>
      <c r="F152" s="309" t="s">
        <v>201</v>
      </c>
      <c r="G152" s="295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7"/>
      <c r="I152" s="393" t="s">
        <v>61</v>
      </c>
      <c r="J152" s="395"/>
      <c r="K152" s="234">
        <f>K150-K151</f>
        <v>37963.709677419356</v>
      </c>
      <c r="L152" s="304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4"/>
      <c r="V152" s="38"/>
      <c r="W152" s="64" t="str">
        <f t="shared" si="31"/>
        <v/>
      </c>
      <c r="X152" s="38"/>
      <c r="Y152" s="64" t="str">
        <f t="shared" si="32"/>
        <v/>
      </c>
      <c r="Z152" s="40"/>
    </row>
    <row r="153" spans="1:27" s="25" customFormat="1" ht="18" customHeight="1" x14ac:dyDescent="0.2">
      <c r="A153" s="279"/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91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4"/>
      <c r="V153" s="38"/>
      <c r="W153" s="64" t="str">
        <f t="shared" si="31"/>
        <v/>
      </c>
      <c r="X153" s="38"/>
      <c r="Y153" s="64" t="str">
        <f t="shared" si="32"/>
        <v/>
      </c>
      <c r="Z153" s="40"/>
    </row>
    <row r="154" spans="1:27" s="25" customFormat="1" ht="18" customHeight="1" x14ac:dyDescent="0.3">
      <c r="A154" s="279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91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4"/>
      <c r="V154" s="38"/>
      <c r="W154" s="64" t="str">
        <f t="shared" si="31"/>
        <v/>
      </c>
      <c r="X154" s="38"/>
      <c r="Y154" s="64" t="str">
        <f t="shared" si="32"/>
        <v/>
      </c>
      <c r="Z154" s="40"/>
    </row>
    <row r="155" spans="1:27" s="25" customFormat="1" ht="18" customHeight="1" thickBot="1" x14ac:dyDescent="0.35">
      <c r="A155" s="305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7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4"/>
      <c r="V155" s="38"/>
      <c r="W155" s="64" t="str">
        <f t="shared" si="31"/>
        <v/>
      </c>
      <c r="X155" s="38"/>
      <c r="Y155" s="64" t="str">
        <f t="shared" si="32"/>
        <v/>
      </c>
      <c r="Z155" s="40"/>
    </row>
    <row r="156" spans="1:27" s="57" customFormat="1" ht="18" customHeight="1" thickBot="1" x14ac:dyDescent="0.2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7" s="25" customFormat="1" ht="18" customHeight="1" thickBot="1" x14ac:dyDescent="0.25">
      <c r="A157" s="390" t="s">
        <v>38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2"/>
      <c r="M157" s="24"/>
      <c r="N157" s="28"/>
      <c r="O157" s="385" t="s">
        <v>40</v>
      </c>
      <c r="P157" s="386"/>
      <c r="Q157" s="386"/>
      <c r="R157" s="387"/>
      <c r="S157" s="29"/>
      <c r="T157" s="385" t="s">
        <v>41</v>
      </c>
      <c r="U157" s="386"/>
      <c r="V157" s="386"/>
      <c r="W157" s="386"/>
      <c r="X157" s="386"/>
      <c r="Y157" s="387"/>
      <c r="Z157" s="30"/>
      <c r="AA157" s="24"/>
    </row>
    <row r="158" spans="1:27" s="25" customFormat="1" ht="18" customHeight="1" x14ac:dyDescent="0.2">
      <c r="A158" s="279"/>
      <c r="B158" s="277"/>
      <c r="C158" s="396" t="s">
        <v>212</v>
      </c>
      <c r="D158" s="396"/>
      <c r="E158" s="396"/>
      <c r="F158" s="396"/>
      <c r="G158" s="280" t="str">
        <f>$J$1</f>
        <v>January</v>
      </c>
      <c r="H158" s="399">
        <f>$K$1</f>
        <v>2024</v>
      </c>
      <c r="I158" s="399"/>
      <c r="J158" s="277"/>
      <c r="K158" s="281"/>
      <c r="L158" s="282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9"/>
      <c r="B159" s="277"/>
      <c r="C159" s="277"/>
      <c r="D159" s="283"/>
      <c r="E159" s="283"/>
      <c r="F159" s="283"/>
      <c r="G159" s="283"/>
      <c r="H159" s="283"/>
      <c r="I159" s="277"/>
      <c r="J159" s="284" t="s">
        <v>1</v>
      </c>
      <c r="K159" s="285">
        <v>60000</v>
      </c>
      <c r="L159" s="286"/>
      <c r="N159" s="35"/>
      <c r="O159" s="36" t="s">
        <v>43</v>
      </c>
      <c r="P159" s="36"/>
      <c r="Q159" s="36"/>
      <c r="R159" s="36">
        <v>29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/>
      <c r="Y159" s="38">
        <f>W159-X159</f>
        <v>48200</v>
      </c>
      <c r="Z159" s="34"/>
    </row>
    <row r="160" spans="1:27" s="25" customFormat="1" ht="18" customHeight="1" x14ac:dyDescent="0.2">
      <c r="A160" s="279"/>
      <c r="B160" s="277" t="s">
        <v>0</v>
      </c>
      <c r="C160" s="276" t="s">
        <v>71</v>
      </c>
      <c r="D160" s="277"/>
      <c r="E160" s="277"/>
      <c r="F160" s="277"/>
      <c r="G160" s="277"/>
      <c r="H160" s="287"/>
      <c r="I160" s="283"/>
      <c r="J160" s="277"/>
      <c r="K160" s="277"/>
      <c r="L160" s="288"/>
      <c r="M160" s="24"/>
      <c r="N160" s="39"/>
      <c r="O160" s="36" t="s">
        <v>69</v>
      </c>
      <c r="P160" s="36"/>
      <c r="Q160" s="36"/>
      <c r="R160" s="36" t="str">
        <f t="shared" ref="R160:R170" si="33">IF(Q160="","",R159-Q160)</f>
        <v/>
      </c>
      <c r="S160" s="27"/>
      <c r="T160" s="36" t="s">
        <v>69</v>
      </c>
      <c r="U160" s="64"/>
      <c r="V160" s="38"/>
      <c r="W160" s="64" t="str">
        <f>IF(U160="","",U160+V160)</f>
        <v/>
      </c>
      <c r="X160" s="38"/>
      <c r="Y160" s="64" t="str">
        <f>IF(W160="","",W160-X160)</f>
        <v/>
      </c>
      <c r="Z160" s="40"/>
      <c r="AA160" s="24"/>
    </row>
    <row r="161" spans="1:27" s="25" customFormat="1" ht="18" customHeight="1" x14ac:dyDescent="0.2">
      <c r="A161" s="279"/>
      <c r="B161" s="289" t="s">
        <v>39</v>
      </c>
      <c r="C161" s="290"/>
      <c r="D161" s="277"/>
      <c r="E161" s="277"/>
      <c r="F161" s="393" t="s">
        <v>41</v>
      </c>
      <c r="G161" s="395"/>
      <c r="H161" s="277"/>
      <c r="I161" s="393" t="s">
        <v>42</v>
      </c>
      <c r="J161" s="394"/>
      <c r="K161" s="395"/>
      <c r="L161" s="291"/>
      <c r="N161" s="35"/>
      <c r="O161" s="36" t="s">
        <v>44</v>
      </c>
      <c r="P161" s="36"/>
      <c r="Q161" s="36"/>
      <c r="R161" s="36" t="str">
        <f t="shared" si="33"/>
        <v/>
      </c>
      <c r="S161" s="27"/>
      <c r="T161" s="36" t="s">
        <v>44</v>
      </c>
      <c r="U161" s="64"/>
      <c r="V161" s="38"/>
      <c r="W161" s="64" t="str">
        <f t="shared" ref="W161:W170" si="34">IF(U161="","",U161+V161)</f>
        <v/>
      </c>
      <c r="X161" s="38"/>
      <c r="Y161" s="64" t="str">
        <f t="shared" ref="Y161:Y170" si="35">IF(W161="","",W161-X161)</f>
        <v/>
      </c>
      <c r="Z161" s="40"/>
    </row>
    <row r="162" spans="1:27" s="25" customFormat="1" ht="18" customHeight="1" x14ac:dyDescent="0.2">
      <c r="A162" s="279"/>
      <c r="B162" s="277"/>
      <c r="C162" s="277"/>
      <c r="D162" s="277"/>
      <c r="E162" s="277"/>
      <c r="F162" s="277"/>
      <c r="G162" s="277"/>
      <c r="H162" s="292"/>
      <c r="I162" s="277"/>
      <c r="J162" s="277"/>
      <c r="K162" s="277"/>
      <c r="L162" s="293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4"/>
      <c r="V162" s="38"/>
      <c r="W162" s="64" t="str">
        <f t="shared" si="34"/>
        <v/>
      </c>
      <c r="X162" s="38"/>
      <c r="Y162" s="64" t="str">
        <f t="shared" si="35"/>
        <v/>
      </c>
      <c r="Z162" s="40"/>
    </row>
    <row r="163" spans="1:27" s="25" customFormat="1" ht="18" customHeight="1" x14ac:dyDescent="0.2">
      <c r="A163" s="279"/>
      <c r="B163" s="397" t="s">
        <v>40</v>
      </c>
      <c r="C163" s="398"/>
      <c r="D163" s="277"/>
      <c r="E163" s="277"/>
      <c r="F163" s="294" t="s">
        <v>62</v>
      </c>
      <c r="G163" s="295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48200</v>
      </c>
      <c r="H163" s="292"/>
      <c r="I163" s="296">
        <f>IF(C167&gt;=C166,$K$2,C165+C167)</f>
        <v>31</v>
      </c>
      <c r="J163" s="297" t="s">
        <v>59</v>
      </c>
      <c r="K163" s="298">
        <f>K159/$K$2*I163</f>
        <v>60000</v>
      </c>
      <c r="L163" s="299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4"/>
      <c r="V163" s="38"/>
      <c r="W163" s="64" t="str">
        <f t="shared" si="34"/>
        <v/>
      </c>
      <c r="X163" s="38"/>
      <c r="Y163" s="64" t="str">
        <f t="shared" si="35"/>
        <v/>
      </c>
      <c r="Z163" s="40"/>
    </row>
    <row r="164" spans="1:27" s="25" customFormat="1" ht="18" customHeight="1" x14ac:dyDescent="0.2">
      <c r="A164" s="279"/>
      <c r="B164" s="300"/>
      <c r="C164" s="300"/>
      <c r="D164" s="277"/>
      <c r="E164" s="277"/>
      <c r="F164" s="294" t="s">
        <v>18</v>
      </c>
      <c r="G164" s="295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92"/>
      <c r="I164" s="296">
        <v>12</v>
      </c>
      <c r="J164" s="297" t="s">
        <v>60</v>
      </c>
      <c r="K164" s="301">
        <f>K159/$K$2/8*I164</f>
        <v>2903.2258064516127</v>
      </c>
      <c r="L164" s="302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4"/>
      <c r="V164" s="38"/>
      <c r="W164" s="64" t="str">
        <f t="shared" si="34"/>
        <v/>
      </c>
      <c r="X164" s="38"/>
      <c r="Y164" s="64" t="str">
        <f t="shared" si="35"/>
        <v/>
      </c>
      <c r="Z164" s="40"/>
    </row>
    <row r="165" spans="1:27" s="25" customFormat="1" ht="18" customHeight="1" x14ac:dyDescent="0.2">
      <c r="A165" s="279"/>
      <c r="B165" s="294" t="s">
        <v>7</v>
      </c>
      <c r="C165" s="300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0</v>
      </c>
      <c r="D165" s="277"/>
      <c r="E165" s="277"/>
      <c r="F165" s="294" t="s">
        <v>63</v>
      </c>
      <c r="G165" s="295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48200</v>
      </c>
      <c r="H165" s="292"/>
      <c r="I165" s="388" t="s">
        <v>67</v>
      </c>
      <c r="J165" s="389"/>
      <c r="K165" s="301">
        <f>K163+K164</f>
        <v>62903.225806451614</v>
      </c>
      <c r="L165" s="302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4"/>
      <c r="V165" s="38"/>
      <c r="W165" s="64" t="str">
        <f t="shared" si="34"/>
        <v/>
      </c>
      <c r="X165" s="38"/>
      <c r="Y165" s="64" t="str">
        <f t="shared" si="35"/>
        <v/>
      </c>
      <c r="Z165" s="40"/>
    </row>
    <row r="166" spans="1:27" s="25" customFormat="1" ht="18" customHeight="1" x14ac:dyDescent="0.2">
      <c r="A166" s="279"/>
      <c r="B166" s="294" t="s">
        <v>6</v>
      </c>
      <c r="C166" s="300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7"/>
      <c r="E166" s="277"/>
      <c r="F166" s="294" t="s">
        <v>19</v>
      </c>
      <c r="G166" s="295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0</v>
      </c>
      <c r="H166" s="292"/>
      <c r="I166" s="388" t="s">
        <v>68</v>
      </c>
      <c r="J166" s="389"/>
      <c r="K166" s="295">
        <f>G166</f>
        <v>0</v>
      </c>
      <c r="L166" s="303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4"/>
      <c r="V166" s="38"/>
      <c r="W166" s="64" t="str">
        <f t="shared" si="34"/>
        <v/>
      </c>
      <c r="X166" s="38"/>
      <c r="Y166" s="64" t="str">
        <f t="shared" si="35"/>
        <v/>
      </c>
      <c r="Z166" s="40"/>
    </row>
    <row r="167" spans="1:27" s="25" customFormat="1" ht="18" customHeight="1" x14ac:dyDescent="0.2">
      <c r="A167" s="279"/>
      <c r="B167" s="309" t="s">
        <v>66</v>
      </c>
      <c r="C167" s="300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29</v>
      </c>
      <c r="D167" s="277"/>
      <c r="E167" s="277"/>
      <c r="F167" s="309" t="s">
        <v>201</v>
      </c>
      <c r="G167" s="295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48200</v>
      </c>
      <c r="H167" s="277"/>
      <c r="I167" s="393" t="s">
        <v>61</v>
      </c>
      <c r="J167" s="395"/>
      <c r="K167" s="234">
        <f>K165-K166</f>
        <v>62903.225806451614</v>
      </c>
      <c r="L167" s="304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4"/>
      <c r="V167" s="38"/>
      <c r="W167" s="64" t="str">
        <f t="shared" si="34"/>
        <v/>
      </c>
      <c r="X167" s="38"/>
      <c r="Y167" s="64" t="str">
        <f t="shared" si="35"/>
        <v/>
      </c>
      <c r="Z167" s="40"/>
    </row>
    <row r="168" spans="1:27" s="25" customFormat="1" ht="18" customHeight="1" x14ac:dyDescent="0.2">
      <c r="A168" s="279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91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4"/>
      <c r="V168" s="38"/>
      <c r="W168" s="64" t="str">
        <f t="shared" si="34"/>
        <v/>
      </c>
      <c r="X168" s="38"/>
      <c r="Y168" s="64" t="str">
        <f t="shared" si="35"/>
        <v/>
      </c>
      <c r="Z168" s="40"/>
    </row>
    <row r="169" spans="1:27" s="25" customFormat="1" ht="18" customHeight="1" x14ac:dyDescent="0.3">
      <c r="A169" s="279"/>
      <c r="B169" s="275"/>
      <c r="C169" s="275"/>
      <c r="D169" s="275"/>
      <c r="E169" s="275"/>
      <c r="F169" s="275"/>
      <c r="G169" s="275"/>
      <c r="H169" s="275"/>
      <c r="I169" s="275"/>
      <c r="J169" s="275"/>
      <c r="K169" s="277"/>
      <c r="L169" s="291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4"/>
      <c r="V169" s="38"/>
      <c r="W169" s="64" t="str">
        <f t="shared" si="34"/>
        <v/>
      </c>
      <c r="X169" s="38"/>
      <c r="Y169" s="64" t="str">
        <f t="shared" si="35"/>
        <v/>
      </c>
      <c r="Z169" s="40"/>
    </row>
    <row r="170" spans="1:27" s="25" customFormat="1" ht="18" customHeight="1" thickBot="1" x14ac:dyDescent="0.35">
      <c r="A170" s="305"/>
      <c r="B170" s="306"/>
      <c r="C170" s="306"/>
      <c r="D170" s="306"/>
      <c r="E170" s="306"/>
      <c r="F170" s="306"/>
      <c r="G170" s="306"/>
      <c r="H170" s="306"/>
      <c r="I170" s="306"/>
      <c r="J170" s="306"/>
      <c r="K170" s="306"/>
      <c r="L170" s="307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4"/>
      <c r="V170" s="38"/>
      <c r="W170" s="64" t="str">
        <f t="shared" si="34"/>
        <v/>
      </c>
      <c r="X170" s="38"/>
      <c r="Y170" s="64" t="str">
        <f t="shared" si="35"/>
        <v/>
      </c>
      <c r="Z170" s="40"/>
    </row>
    <row r="171" spans="1:27" s="57" customFormat="1" ht="18" customHeight="1" thickBot="1" x14ac:dyDescent="0.25">
      <c r="A171" s="308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7" s="25" customFormat="1" ht="18" customHeight="1" thickBot="1" x14ac:dyDescent="0.25">
      <c r="A172" s="390" t="s">
        <v>38</v>
      </c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2"/>
      <c r="M172" s="24"/>
      <c r="N172" s="28"/>
      <c r="O172" s="385" t="s">
        <v>40</v>
      </c>
      <c r="P172" s="386"/>
      <c r="Q172" s="386"/>
      <c r="R172" s="387"/>
      <c r="S172" s="29"/>
      <c r="T172" s="385" t="s">
        <v>41</v>
      </c>
      <c r="U172" s="386"/>
      <c r="V172" s="386"/>
      <c r="W172" s="386"/>
      <c r="X172" s="386"/>
      <c r="Y172" s="387"/>
      <c r="Z172" s="30"/>
      <c r="AA172" s="24"/>
    </row>
    <row r="173" spans="1:27" s="25" customFormat="1" ht="18" customHeight="1" x14ac:dyDescent="0.2">
      <c r="A173" s="279"/>
      <c r="B173" s="277"/>
      <c r="C173" s="396" t="s">
        <v>212</v>
      </c>
      <c r="D173" s="396"/>
      <c r="E173" s="396"/>
      <c r="F173" s="396"/>
      <c r="G173" s="280" t="str">
        <f>$J$1</f>
        <v>January</v>
      </c>
      <c r="H173" s="399">
        <f>$K$1</f>
        <v>2024</v>
      </c>
      <c r="I173" s="399"/>
      <c r="J173" s="277"/>
      <c r="K173" s="281"/>
      <c r="L173" s="282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9"/>
      <c r="B174" s="277"/>
      <c r="C174" s="277"/>
      <c r="D174" s="283"/>
      <c r="E174" s="283"/>
      <c r="F174" s="283"/>
      <c r="G174" s="283"/>
      <c r="H174" s="283"/>
      <c r="I174" s="277"/>
      <c r="J174" s="284" t="s">
        <v>1</v>
      </c>
      <c r="K174" s="285">
        <f>45000+2000+3000</f>
        <v>50000</v>
      </c>
      <c r="L174" s="286"/>
      <c r="N174" s="35"/>
      <c r="O174" s="36" t="s">
        <v>43</v>
      </c>
      <c r="P174" s="36"/>
      <c r="Q174" s="36"/>
      <c r="R174" s="36">
        <f>15-Q174</f>
        <v>15</v>
      </c>
      <c r="S174" s="37"/>
      <c r="T174" s="36" t="s">
        <v>43</v>
      </c>
      <c r="U174" s="38">
        <v>72000</v>
      </c>
      <c r="V174" s="38"/>
      <c r="W174" s="38">
        <f>V174+U174</f>
        <v>72000</v>
      </c>
      <c r="X174" s="38"/>
      <c r="Y174" s="38">
        <f>W174-X174</f>
        <v>72000</v>
      </c>
      <c r="Z174" s="34"/>
    </row>
    <row r="175" spans="1:27" s="25" customFormat="1" ht="18" customHeight="1" x14ac:dyDescent="0.2">
      <c r="A175" s="279"/>
      <c r="B175" s="277" t="s">
        <v>0</v>
      </c>
      <c r="C175" s="276" t="s">
        <v>142</v>
      </c>
      <c r="D175" s="277"/>
      <c r="E175" s="277"/>
      <c r="F175" s="277"/>
      <c r="G175" s="277"/>
      <c r="H175" s="287"/>
      <c r="I175" s="283"/>
      <c r="J175" s="277"/>
      <c r="K175" s="277"/>
      <c r="L175" s="288"/>
      <c r="M175" s="24"/>
      <c r="N175" s="39"/>
      <c r="O175" s="36" t="s">
        <v>69</v>
      </c>
      <c r="P175" s="36"/>
      <c r="Q175" s="36"/>
      <c r="R175" s="36" t="str">
        <f t="shared" ref="R175:R185" si="36">IF(Q175="","",R174-Q175)</f>
        <v/>
      </c>
      <c r="S175" s="27"/>
      <c r="T175" s="36" t="s">
        <v>69</v>
      </c>
      <c r="U175" s="64"/>
      <c r="V175" s="38"/>
      <c r="W175" s="64" t="str">
        <f>IF(U175="","",U175+V175)</f>
        <v/>
      </c>
      <c r="X175" s="38"/>
      <c r="Y175" s="64" t="str">
        <f>IF(W175="","",W175-X175)</f>
        <v/>
      </c>
      <c r="Z175" s="40"/>
      <c r="AA175" s="24"/>
    </row>
    <row r="176" spans="1:27" s="25" customFormat="1" ht="18" customHeight="1" x14ac:dyDescent="0.2">
      <c r="A176" s="279"/>
      <c r="B176" s="289" t="s">
        <v>39</v>
      </c>
      <c r="C176" s="290"/>
      <c r="D176" s="277"/>
      <c r="E176" s="277"/>
      <c r="F176" s="393" t="s">
        <v>41</v>
      </c>
      <c r="G176" s="395"/>
      <c r="H176" s="277"/>
      <c r="I176" s="393" t="s">
        <v>42</v>
      </c>
      <c r="J176" s="394"/>
      <c r="K176" s="395"/>
      <c r="L176" s="291"/>
      <c r="N176" s="35"/>
      <c r="O176" s="36" t="s">
        <v>44</v>
      </c>
      <c r="P176" s="36"/>
      <c r="Q176" s="36"/>
      <c r="R176" s="36" t="str">
        <f t="shared" si="36"/>
        <v/>
      </c>
      <c r="S176" s="27"/>
      <c r="T176" s="36" t="s">
        <v>44</v>
      </c>
      <c r="U176" s="64"/>
      <c r="V176" s="38"/>
      <c r="W176" s="64" t="str">
        <f t="shared" ref="W176:W185" si="37">IF(U176="","",U176+V176)</f>
        <v/>
      </c>
      <c r="X176" s="38"/>
      <c r="Y176" s="64" t="str">
        <f t="shared" ref="Y176:Y185" si="38">IF(W176="","",W176-X176)</f>
        <v/>
      </c>
      <c r="Z176" s="40"/>
    </row>
    <row r="177" spans="1:27" s="25" customFormat="1" ht="18" customHeight="1" x14ac:dyDescent="0.2">
      <c r="A177" s="279"/>
      <c r="B177" s="277"/>
      <c r="C177" s="277"/>
      <c r="D177" s="277"/>
      <c r="E177" s="277"/>
      <c r="F177" s="277"/>
      <c r="G177" s="277"/>
      <c r="H177" s="292"/>
      <c r="I177" s="277"/>
      <c r="J177" s="277"/>
      <c r="K177" s="277"/>
      <c r="L177" s="293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4"/>
      <c r="V177" s="38"/>
      <c r="W177" s="64" t="str">
        <f t="shared" si="37"/>
        <v/>
      </c>
      <c r="X177" s="38"/>
      <c r="Y177" s="64" t="str">
        <f t="shared" si="38"/>
        <v/>
      </c>
      <c r="Z177" s="40"/>
    </row>
    <row r="178" spans="1:27" s="25" customFormat="1" ht="18" customHeight="1" x14ac:dyDescent="0.2">
      <c r="A178" s="279"/>
      <c r="B178" s="397" t="s">
        <v>40</v>
      </c>
      <c r="C178" s="398"/>
      <c r="D178" s="277"/>
      <c r="E178" s="277"/>
      <c r="F178" s="294" t="s">
        <v>62</v>
      </c>
      <c r="G178" s="29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92"/>
      <c r="I178" s="341">
        <f>IF(C182&gt;0,$K$2,C180)+2</f>
        <v>33</v>
      </c>
      <c r="J178" s="297" t="s">
        <v>59</v>
      </c>
      <c r="K178" s="298">
        <f>K174/$K$2*I178</f>
        <v>53225.806451612909</v>
      </c>
      <c r="L178" s="299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4"/>
      <c r="V178" s="38"/>
      <c r="W178" s="64" t="str">
        <f t="shared" si="37"/>
        <v/>
      </c>
      <c r="X178" s="38"/>
      <c r="Y178" s="64" t="str">
        <f t="shared" si="38"/>
        <v/>
      </c>
      <c r="Z178" s="40"/>
    </row>
    <row r="179" spans="1:27" s="25" customFormat="1" ht="18" customHeight="1" x14ac:dyDescent="0.2">
      <c r="A179" s="279"/>
      <c r="B179" s="300"/>
      <c r="C179" s="300"/>
      <c r="D179" s="277"/>
      <c r="E179" s="277"/>
      <c r="F179" s="294" t="s">
        <v>18</v>
      </c>
      <c r="G179" s="29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292"/>
      <c r="I179" s="296">
        <v>0</v>
      </c>
      <c r="J179" s="297" t="s">
        <v>60</v>
      </c>
      <c r="K179" s="301">
        <f>K174/$K$2/8*I179</f>
        <v>0</v>
      </c>
      <c r="L179" s="302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4"/>
      <c r="V179" s="38"/>
      <c r="W179" s="64" t="str">
        <f t="shared" si="37"/>
        <v/>
      </c>
      <c r="X179" s="38"/>
      <c r="Y179" s="64" t="str">
        <f t="shared" si="38"/>
        <v/>
      </c>
      <c r="Z179" s="40"/>
    </row>
    <row r="180" spans="1:27" s="25" customFormat="1" ht="18" customHeight="1" x14ac:dyDescent="0.2">
      <c r="A180" s="279"/>
      <c r="B180" s="294" t="s">
        <v>7</v>
      </c>
      <c r="C180" s="30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0</v>
      </c>
      <c r="D180" s="277"/>
      <c r="E180" s="277"/>
      <c r="F180" s="294" t="s">
        <v>63</v>
      </c>
      <c r="G180" s="29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72000</v>
      </c>
      <c r="H180" s="292"/>
      <c r="I180" s="388" t="s">
        <v>67</v>
      </c>
      <c r="J180" s="389"/>
      <c r="K180" s="301">
        <f>K178+K179</f>
        <v>53225.806451612909</v>
      </c>
      <c r="L180" s="302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4"/>
      <c r="V180" s="38"/>
      <c r="W180" s="64" t="str">
        <f t="shared" si="37"/>
        <v/>
      </c>
      <c r="X180" s="38"/>
      <c r="Y180" s="64" t="str">
        <f t="shared" si="38"/>
        <v/>
      </c>
      <c r="Z180" s="40"/>
    </row>
    <row r="181" spans="1:27" s="25" customFormat="1" ht="18" customHeight="1" x14ac:dyDescent="0.2">
      <c r="A181" s="279"/>
      <c r="B181" s="294" t="s">
        <v>6</v>
      </c>
      <c r="C181" s="30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7"/>
      <c r="E181" s="277"/>
      <c r="F181" s="294" t="s">
        <v>19</v>
      </c>
      <c r="G181" s="29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92"/>
      <c r="I181" s="388" t="s">
        <v>68</v>
      </c>
      <c r="J181" s="389"/>
      <c r="K181" s="295">
        <f>G181</f>
        <v>0</v>
      </c>
      <c r="L181" s="303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4"/>
      <c r="V181" s="38"/>
      <c r="W181" s="64" t="str">
        <f t="shared" si="37"/>
        <v/>
      </c>
      <c r="X181" s="38"/>
      <c r="Y181" s="64" t="str">
        <f t="shared" si="38"/>
        <v/>
      </c>
      <c r="Z181" s="40"/>
    </row>
    <row r="182" spans="1:27" s="25" customFormat="1" ht="18" customHeight="1" x14ac:dyDescent="0.2">
      <c r="A182" s="279"/>
      <c r="B182" s="309" t="s">
        <v>66</v>
      </c>
      <c r="C182" s="300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15</v>
      </c>
      <c r="D182" s="277"/>
      <c r="E182" s="277"/>
      <c r="F182" s="309" t="s">
        <v>201</v>
      </c>
      <c r="G182" s="29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72000</v>
      </c>
      <c r="H182" s="277"/>
      <c r="I182" s="393" t="s">
        <v>61</v>
      </c>
      <c r="J182" s="395"/>
      <c r="K182" s="234">
        <f>K180-K181</f>
        <v>53225.806451612909</v>
      </c>
      <c r="L182" s="304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4"/>
      <c r="V182" s="38"/>
      <c r="W182" s="64" t="str">
        <f t="shared" si="37"/>
        <v/>
      </c>
      <c r="X182" s="38"/>
      <c r="Y182" s="64" t="str">
        <f t="shared" si="38"/>
        <v/>
      </c>
      <c r="Z182" s="40"/>
    </row>
    <row r="183" spans="1:27" s="25" customFormat="1" ht="18" customHeight="1" x14ac:dyDescent="0.2">
      <c r="A183" s="279"/>
      <c r="B183" s="277"/>
      <c r="C183" s="277"/>
      <c r="D183" s="277"/>
      <c r="E183" s="277"/>
      <c r="F183" s="277"/>
      <c r="G183" s="277"/>
      <c r="H183" s="277"/>
      <c r="I183" s="277"/>
      <c r="J183" s="277"/>
      <c r="K183" s="311"/>
      <c r="L183" s="291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4"/>
      <c r="V183" s="38"/>
      <c r="W183" s="64" t="str">
        <f t="shared" si="37"/>
        <v/>
      </c>
      <c r="X183" s="38"/>
      <c r="Y183" s="64" t="str">
        <f t="shared" si="38"/>
        <v/>
      </c>
      <c r="Z183" s="40"/>
    </row>
    <row r="184" spans="1:27" s="25" customFormat="1" ht="18" customHeight="1" x14ac:dyDescent="0.3">
      <c r="A184" s="279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91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4"/>
      <c r="V184" s="38"/>
      <c r="W184" s="64" t="str">
        <f t="shared" si="37"/>
        <v/>
      </c>
      <c r="X184" s="38"/>
      <c r="Y184" s="64" t="str">
        <f t="shared" si="38"/>
        <v/>
      </c>
      <c r="Z184" s="40"/>
    </row>
    <row r="185" spans="1:27" s="25" customFormat="1" ht="18" customHeight="1" thickBot="1" x14ac:dyDescent="0.35">
      <c r="A185" s="305"/>
      <c r="B185" s="306"/>
      <c r="C185" s="306"/>
      <c r="D185" s="306"/>
      <c r="E185" s="306"/>
      <c r="F185" s="306"/>
      <c r="G185" s="306"/>
      <c r="H185" s="306"/>
      <c r="I185" s="306"/>
      <c r="J185" s="306"/>
      <c r="K185" s="306"/>
      <c r="L185" s="307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4"/>
      <c r="V185" s="38"/>
      <c r="W185" s="64" t="str">
        <f t="shared" si="37"/>
        <v/>
      </c>
      <c r="X185" s="38"/>
      <c r="Y185" s="64" t="str">
        <f t="shared" si="38"/>
        <v/>
      </c>
      <c r="Z185" s="40"/>
    </row>
    <row r="186" spans="1:27" s="57" customFormat="1" ht="18" customHeight="1" thickBot="1" x14ac:dyDescent="0.25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7" s="25" customFormat="1" ht="18" customHeight="1" thickBot="1" x14ac:dyDescent="0.25">
      <c r="A187" s="390" t="s">
        <v>38</v>
      </c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2"/>
      <c r="M187" s="24"/>
      <c r="N187" s="28"/>
      <c r="O187" s="385" t="s">
        <v>40</v>
      </c>
      <c r="P187" s="386"/>
      <c r="Q187" s="386"/>
      <c r="R187" s="387"/>
      <c r="S187" s="29"/>
      <c r="T187" s="385" t="s">
        <v>41</v>
      </c>
      <c r="U187" s="386"/>
      <c r="V187" s="386"/>
      <c r="W187" s="386"/>
      <c r="X187" s="386"/>
      <c r="Y187" s="387"/>
      <c r="Z187" s="30"/>
      <c r="AA187" s="24"/>
    </row>
    <row r="188" spans="1:27" s="25" customFormat="1" ht="18" customHeight="1" x14ac:dyDescent="0.2">
      <c r="A188" s="279"/>
      <c r="B188" s="277"/>
      <c r="C188" s="396" t="s">
        <v>212</v>
      </c>
      <c r="D188" s="396"/>
      <c r="E188" s="396"/>
      <c r="F188" s="396"/>
      <c r="G188" s="280" t="str">
        <f>$J$1</f>
        <v>January</v>
      </c>
      <c r="H188" s="399">
        <f>$K$1</f>
        <v>2024</v>
      </c>
      <c r="I188" s="399"/>
      <c r="J188" s="277"/>
      <c r="K188" s="281"/>
      <c r="L188" s="282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9"/>
      <c r="B189" s="277"/>
      <c r="C189" s="277"/>
      <c r="D189" s="283"/>
      <c r="E189" s="283"/>
      <c r="F189" s="283"/>
      <c r="G189" s="283"/>
      <c r="H189" s="283"/>
      <c r="I189" s="277"/>
      <c r="J189" s="284" t="s">
        <v>1</v>
      </c>
      <c r="K189" s="285">
        <f>24000+3000+3000+5000</f>
        <v>35000</v>
      </c>
      <c r="L189" s="286"/>
      <c r="N189" s="35"/>
      <c r="O189" s="36" t="s">
        <v>43</v>
      </c>
      <c r="P189" s="36"/>
      <c r="Q189" s="36"/>
      <c r="R189" s="36">
        <f>15-Q189</f>
        <v>15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/>
      <c r="Y189" s="38">
        <f>W189-X189</f>
        <v>84000</v>
      </c>
      <c r="Z189" s="34"/>
    </row>
    <row r="190" spans="1:27" s="25" customFormat="1" ht="18" customHeight="1" x14ac:dyDescent="0.2">
      <c r="A190" s="279"/>
      <c r="B190" s="277" t="s">
        <v>0</v>
      </c>
      <c r="C190" s="276" t="s">
        <v>72</v>
      </c>
      <c r="D190" s="277"/>
      <c r="E190" s="277"/>
      <c r="F190" s="277"/>
      <c r="G190" s="277"/>
      <c r="H190" s="287"/>
      <c r="I190" s="283"/>
      <c r="J190" s="277"/>
      <c r="K190" s="277"/>
      <c r="L190" s="288"/>
      <c r="M190" s="24"/>
      <c r="N190" s="39"/>
      <c r="O190" s="36" t="s">
        <v>69</v>
      </c>
      <c r="P190" s="36"/>
      <c r="Q190" s="36"/>
      <c r="R190" s="36" t="str">
        <f t="shared" ref="R190:R196" si="39">IF(Q190="","",R189-Q190)</f>
        <v/>
      </c>
      <c r="S190" s="27"/>
      <c r="T190" s="36" t="s">
        <v>69</v>
      </c>
      <c r="U190" s="64"/>
      <c r="V190" s="38"/>
      <c r="W190" s="64" t="str">
        <f>IF(U190="","",U190+V190)</f>
        <v/>
      </c>
      <c r="X190" s="38"/>
      <c r="Y190" s="64" t="str">
        <f>IF(W190="","",W190-X190)</f>
        <v/>
      </c>
      <c r="Z190" s="40"/>
      <c r="AA190" s="24"/>
    </row>
    <row r="191" spans="1:27" s="25" customFormat="1" ht="18" customHeight="1" x14ac:dyDescent="0.2">
      <c r="A191" s="279"/>
      <c r="B191" s="289" t="s">
        <v>39</v>
      </c>
      <c r="C191" s="290"/>
      <c r="D191" s="277"/>
      <c r="E191" s="277"/>
      <c r="F191" s="393" t="s">
        <v>41</v>
      </c>
      <c r="G191" s="395"/>
      <c r="H191" s="277"/>
      <c r="I191" s="393" t="s">
        <v>42</v>
      </c>
      <c r="J191" s="394"/>
      <c r="K191" s="395"/>
      <c r="L191" s="291"/>
      <c r="N191" s="35"/>
      <c r="O191" s="36" t="s">
        <v>44</v>
      </c>
      <c r="P191" s="36"/>
      <c r="Q191" s="36"/>
      <c r="R191" s="36" t="str">
        <f t="shared" si="39"/>
        <v/>
      </c>
      <c r="S191" s="27"/>
      <c r="T191" s="36" t="s">
        <v>44</v>
      </c>
      <c r="U191" s="64" t="str">
        <f t="shared" ref="U191:U195" si="40">Y190</f>
        <v/>
      </c>
      <c r="V191" s="38"/>
      <c r="W191" s="64" t="str">
        <f t="shared" ref="W191:W200" si="41">IF(U191="","",U191+V191)</f>
        <v/>
      </c>
      <c r="X191" s="38"/>
      <c r="Y191" s="64" t="str">
        <f t="shared" ref="Y191:Y200" si="42">IF(W191="","",W191-X191)</f>
        <v/>
      </c>
      <c r="Z191" s="40"/>
    </row>
    <row r="192" spans="1:27" s="25" customFormat="1" ht="18" customHeight="1" x14ac:dyDescent="0.2">
      <c r="A192" s="279"/>
      <c r="B192" s="277"/>
      <c r="C192" s="277"/>
      <c r="D192" s="277"/>
      <c r="E192" s="277"/>
      <c r="F192" s="277"/>
      <c r="G192" s="277"/>
      <c r="H192" s="292"/>
      <c r="I192" s="277"/>
      <c r="J192" s="277"/>
      <c r="K192" s="277"/>
      <c r="L192" s="293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4" t="str">
        <f t="shared" si="40"/>
        <v/>
      </c>
      <c r="V192" s="38"/>
      <c r="W192" s="64" t="str">
        <f t="shared" si="41"/>
        <v/>
      </c>
      <c r="X192" s="38"/>
      <c r="Y192" s="64" t="str">
        <f t="shared" si="42"/>
        <v/>
      </c>
      <c r="Z192" s="40"/>
    </row>
    <row r="193" spans="1:26" s="25" customFormat="1" ht="18" customHeight="1" x14ac:dyDescent="0.2">
      <c r="A193" s="279"/>
      <c r="B193" s="397" t="s">
        <v>40</v>
      </c>
      <c r="C193" s="398"/>
      <c r="D193" s="277"/>
      <c r="E193" s="277"/>
      <c r="F193" s="294" t="s">
        <v>62</v>
      </c>
      <c r="G193" s="295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84000</v>
      </c>
      <c r="H193" s="292"/>
      <c r="I193" s="296">
        <f>IF(C197&gt;=C196,$K$2,C195+C197)+5</f>
        <v>36</v>
      </c>
      <c r="J193" s="297" t="s">
        <v>59</v>
      </c>
      <c r="K193" s="298">
        <f>K189/$K$2*I193</f>
        <v>40645.161290322576</v>
      </c>
      <c r="L193" s="299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4" t="str">
        <f t="shared" si="40"/>
        <v/>
      </c>
      <c r="V193" s="38"/>
      <c r="W193" s="64" t="str">
        <f t="shared" si="41"/>
        <v/>
      </c>
      <c r="X193" s="38"/>
      <c r="Y193" s="64" t="str">
        <f t="shared" si="42"/>
        <v/>
      </c>
      <c r="Z193" s="40"/>
    </row>
    <row r="194" spans="1:26" s="25" customFormat="1" ht="18" customHeight="1" x14ac:dyDescent="0.2">
      <c r="A194" s="279"/>
      <c r="B194" s="300"/>
      <c r="C194" s="300"/>
      <c r="D194" s="277"/>
      <c r="E194" s="277"/>
      <c r="F194" s="294" t="s">
        <v>18</v>
      </c>
      <c r="G194" s="295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92"/>
      <c r="I194" s="296">
        <v>29</v>
      </c>
      <c r="J194" s="297" t="s">
        <v>60</v>
      </c>
      <c r="K194" s="301">
        <f>K189/$K$2/8*I194</f>
        <v>4092.7419354838707</v>
      </c>
      <c r="L194" s="302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4" t="str">
        <f t="shared" si="40"/>
        <v/>
      </c>
      <c r="V194" s="38"/>
      <c r="W194" s="64" t="str">
        <f t="shared" si="41"/>
        <v/>
      </c>
      <c r="X194" s="38"/>
      <c r="Y194" s="64" t="str">
        <f t="shared" si="42"/>
        <v/>
      </c>
      <c r="Z194" s="40"/>
    </row>
    <row r="195" spans="1:26" s="25" customFormat="1" ht="18" customHeight="1" x14ac:dyDescent="0.2">
      <c r="A195" s="279"/>
      <c r="B195" s="294" t="s">
        <v>7</v>
      </c>
      <c r="C195" s="300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5" s="277"/>
      <c r="E195" s="277"/>
      <c r="F195" s="294" t="s">
        <v>63</v>
      </c>
      <c r="G195" s="295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84000</v>
      </c>
      <c r="H195" s="292"/>
      <c r="I195" s="388" t="s">
        <v>67</v>
      </c>
      <c r="J195" s="389"/>
      <c r="K195" s="301">
        <f>K193+K194</f>
        <v>44737.903225806447</v>
      </c>
      <c r="L195" s="302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4" t="str">
        <f t="shared" si="40"/>
        <v/>
      </c>
      <c r="V195" s="38"/>
      <c r="W195" s="64" t="str">
        <f t="shared" si="41"/>
        <v/>
      </c>
      <c r="X195" s="38"/>
      <c r="Y195" s="64" t="str">
        <f t="shared" si="42"/>
        <v/>
      </c>
      <c r="Z195" s="40"/>
    </row>
    <row r="196" spans="1:26" s="25" customFormat="1" ht="18" customHeight="1" x14ac:dyDescent="0.2">
      <c r="A196" s="279"/>
      <c r="B196" s="294" t="s">
        <v>6</v>
      </c>
      <c r="C196" s="300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7"/>
      <c r="E196" s="277"/>
      <c r="F196" s="294" t="s">
        <v>19</v>
      </c>
      <c r="G196" s="295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292"/>
      <c r="I196" s="388" t="s">
        <v>68</v>
      </c>
      <c r="J196" s="389"/>
      <c r="K196" s="295">
        <f>G196</f>
        <v>0</v>
      </c>
      <c r="L196" s="303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4" t="str">
        <f>Y195</f>
        <v/>
      </c>
      <c r="V196" s="38"/>
      <c r="W196" s="64" t="str">
        <f t="shared" si="41"/>
        <v/>
      </c>
      <c r="X196" s="38"/>
      <c r="Y196" s="64" t="str">
        <f t="shared" si="42"/>
        <v/>
      </c>
      <c r="Z196" s="40"/>
    </row>
    <row r="197" spans="1:26" s="25" customFormat="1" ht="18" customHeight="1" x14ac:dyDescent="0.2">
      <c r="A197" s="279"/>
      <c r="B197" s="309" t="s">
        <v>66</v>
      </c>
      <c r="C197" s="300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15</v>
      </c>
      <c r="D197" s="277"/>
      <c r="E197" s="277"/>
      <c r="F197" s="309" t="s">
        <v>201</v>
      </c>
      <c r="G197" s="295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84000</v>
      </c>
      <c r="H197" s="277"/>
      <c r="I197" s="393" t="s">
        <v>61</v>
      </c>
      <c r="J197" s="395"/>
      <c r="K197" s="234">
        <f>K195-K196</f>
        <v>44737.903225806447</v>
      </c>
      <c r="L197" s="304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4" t="str">
        <f>Y196</f>
        <v/>
      </c>
      <c r="V197" s="38"/>
      <c r="W197" s="64" t="str">
        <f t="shared" si="41"/>
        <v/>
      </c>
      <c r="X197" s="38"/>
      <c r="Y197" s="64" t="str">
        <f t="shared" si="42"/>
        <v/>
      </c>
      <c r="Z197" s="40"/>
    </row>
    <row r="198" spans="1:26" s="25" customFormat="1" ht="18" customHeight="1" x14ac:dyDescent="0.2">
      <c r="A198" s="279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91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4" t="str">
        <f>Y197</f>
        <v/>
      </c>
      <c r="V198" s="38"/>
      <c r="W198" s="64" t="str">
        <f t="shared" si="41"/>
        <v/>
      </c>
      <c r="X198" s="38"/>
      <c r="Y198" s="64" t="str">
        <f t="shared" si="42"/>
        <v/>
      </c>
      <c r="Z198" s="40"/>
    </row>
    <row r="199" spans="1:26" s="25" customFormat="1" ht="18" customHeight="1" x14ac:dyDescent="0.3">
      <c r="A199" s="279"/>
      <c r="B199" s="275"/>
      <c r="C199" s="275"/>
      <c r="D199" s="275"/>
      <c r="E199" s="275"/>
      <c r="F199" s="346" t="s">
        <v>227</v>
      </c>
      <c r="G199" s="275"/>
      <c r="H199" s="275"/>
      <c r="I199" s="275"/>
      <c r="J199" s="275"/>
      <c r="K199" s="275"/>
      <c r="L199" s="291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4" t="str">
        <f>Y198</f>
        <v/>
      </c>
      <c r="V199" s="38"/>
      <c r="W199" s="64" t="str">
        <f t="shared" si="41"/>
        <v/>
      </c>
      <c r="X199" s="38"/>
      <c r="Y199" s="64" t="str">
        <f t="shared" si="42"/>
        <v/>
      </c>
      <c r="Z199" s="40"/>
    </row>
    <row r="200" spans="1:26" s="25" customFormat="1" ht="18" customHeight="1" thickBot="1" x14ac:dyDescent="0.35">
      <c r="A200" s="305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7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4" t="str">
        <f>Y199</f>
        <v/>
      </c>
      <c r="V200" s="38"/>
      <c r="W200" s="64" t="str">
        <f t="shared" si="41"/>
        <v/>
      </c>
      <c r="X200" s="38"/>
      <c r="Y200" s="64" t="str">
        <f t="shared" si="42"/>
        <v/>
      </c>
      <c r="Z200" s="40"/>
    </row>
    <row r="201" spans="1:26" s="57" customFormat="1" ht="18" customHeight="1" thickBot="1" x14ac:dyDescent="0.25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s="25" customFormat="1" ht="18" customHeight="1" thickBot="1" x14ac:dyDescent="0.25">
      <c r="A202" s="390" t="s">
        <v>38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2"/>
      <c r="M202" s="24"/>
      <c r="N202" s="28"/>
      <c r="O202" s="385" t="s">
        <v>40</v>
      </c>
      <c r="P202" s="386"/>
      <c r="Q202" s="386"/>
      <c r="R202" s="387"/>
      <c r="S202" s="29"/>
      <c r="T202" s="385" t="s">
        <v>41</v>
      </c>
      <c r="U202" s="386"/>
      <c r="V202" s="386"/>
      <c r="W202" s="386"/>
      <c r="X202" s="386"/>
      <c r="Y202" s="387"/>
      <c r="Z202" s="30"/>
    </row>
    <row r="203" spans="1:26" s="25" customFormat="1" ht="18" customHeight="1" x14ac:dyDescent="0.2">
      <c r="A203" s="279"/>
      <c r="B203" s="277"/>
      <c r="C203" s="396" t="s">
        <v>212</v>
      </c>
      <c r="D203" s="396"/>
      <c r="E203" s="396"/>
      <c r="F203" s="396"/>
      <c r="G203" s="280" t="str">
        <f>$J$1</f>
        <v>January</v>
      </c>
      <c r="H203" s="399">
        <f>$K$1</f>
        <v>2024</v>
      </c>
      <c r="I203" s="399"/>
      <c r="J203" s="277"/>
      <c r="K203" s="281"/>
      <c r="L203" s="282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9"/>
      <c r="B204" s="277"/>
      <c r="C204" s="277"/>
      <c r="D204" s="283"/>
      <c r="E204" s="283"/>
      <c r="F204" s="283"/>
      <c r="G204" s="283"/>
      <c r="H204" s="283"/>
      <c r="I204" s="277"/>
      <c r="J204" s="284" t="s">
        <v>1</v>
      </c>
      <c r="K204" s="285">
        <f>22000+2000+2000</f>
        <v>26000</v>
      </c>
      <c r="L204" s="286"/>
      <c r="N204" s="35"/>
      <c r="O204" s="36" t="s">
        <v>43</v>
      </c>
      <c r="P204" s="36"/>
      <c r="Q204" s="36"/>
      <c r="R204" s="36">
        <v>15</v>
      </c>
      <c r="S204" s="37"/>
      <c r="T204" s="36" t="s">
        <v>43</v>
      </c>
      <c r="U204" s="38">
        <v>11225</v>
      </c>
      <c r="V204" s="38"/>
      <c r="W204" s="38">
        <f>V204+U204</f>
        <v>11225</v>
      </c>
      <c r="X204" s="38"/>
      <c r="Y204" s="38">
        <f>W204-X204</f>
        <v>11225</v>
      </c>
      <c r="Z204" s="34"/>
    </row>
    <row r="205" spans="1:26" s="25" customFormat="1" ht="18" customHeight="1" x14ac:dyDescent="0.2">
      <c r="A205" s="279"/>
      <c r="B205" s="277" t="s">
        <v>0</v>
      </c>
      <c r="C205" s="276" t="s">
        <v>81</v>
      </c>
      <c r="D205" s="277"/>
      <c r="E205" s="277"/>
      <c r="F205" s="277"/>
      <c r="G205" s="277"/>
      <c r="H205" s="287"/>
      <c r="I205" s="283"/>
      <c r="J205" s="277"/>
      <c r="K205" s="277"/>
      <c r="L205" s="288"/>
      <c r="M205" s="24"/>
      <c r="N205" s="39"/>
      <c r="O205" s="36" t="s">
        <v>69</v>
      </c>
      <c r="P205" s="36"/>
      <c r="Q205" s="36"/>
      <c r="R205" s="36" t="str">
        <f t="shared" ref="R205" si="43">IF(Q205="","",R204-Q205)</f>
        <v/>
      </c>
      <c r="S205" s="27"/>
      <c r="T205" s="36" t="s">
        <v>69</v>
      </c>
      <c r="U205" s="64"/>
      <c r="V205" s="38"/>
      <c r="W205" s="64" t="str">
        <f>IF(U205="","",U205+V205)</f>
        <v/>
      </c>
      <c r="X205" s="38"/>
      <c r="Y205" s="64" t="str">
        <f>IF(W205="","",W205-X205)</f>
        <v/>
      </c>
      <c r="Z205" s="40"/>
    </row>
    <row r="206" spans="1:26" s="25" customFormat="1" ht="18" customHeight="1" x14ac:dyDescent="0.2">
      <c r="A206" s="279"/>
      <c r="B206" s="289" t="s">
        <v>39</v>
      </c>
      <c r="C206" s="290"/>
      <c r="D206" s="277"/>
      <c r="E206" s="277"/>
      <c r="F206" s="393" t="s">
        <v>41</v>
      </c>
      <c r="G206" s="395"/>
      <c r="H206" s="277"/>
      <c r="I206" s="393" t="s">
        <v>42</v>
      </c>
      <c r="J206" s="394"/>
      <c r="K206" s="395"/>
      <c r="L206" s="291"/>
      <c r="N206" s="35"/>
      <c r="O206" s="36" t="s">
        <v>44</v>
      </c>
      <c r="P206" s="36"/>
      <c r="Q206" s="36"/>
      <c r="R206" s="36">
        <v>0</v>
      </c>
      <c r="S206" s="27"/>
      <c r="T206" s="36" t="s">
        <v>44</v>
      </c>
      <c r="U206" s="64"/>
      <c r="V206" s="38"/>
      <c r="W206" s="64" t="str">
        <f t="shared" ref="W206:W215" si="44">IF(U206="","",U206+V206)</f>
        <v/>
      </c>
      <c r="X206" s="38"/>
      <c r="Y206" s="64" t="str">
        <f t="shared" ref="Y206:Y215" si="45">IF(W206="","",W206-X206)</f>
        <v/>
      </c>
      <c r="Z206" s="40"/>
    </row>
    <row r="207" spans="1:26" s="25" customFormat="1" ht="18" customHeight="1" x14ac:dyDescent="0.2">
      <c r="A207" s="279"/>
      <c r="B207" s="277"/>
      <c r="C207" s="277"/>
      <c r="D207" s="277"/>
      <c r="E207" s="277"/>
      <c r="F207" s="277"/>
      <c r="G207" s="277"/>
      <c r="H207" s="292"/>
      <c r="I207" s="277"/>
      <c r="J207" s="277"/>
      <c r="K207" s="277"/>
      <c r="L207" s="293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4"/>
      <c r="V207" s="38"/>
      <c r="W207" s="64" t="str">
        <f t="shared" si="44"/>
        <v/>
      </c>
      <c r="X207" s="38"/>
      <c r="Y207" s="64" t="str">
        <f t="shared" si="45"/>
        <v/>
      </c>
      <c r="Z207" s="40"/>
    </row>
    <row r="208" spans="1:26" s="25" customFormat="1" ht="18" customHeight="1" x14ac:dyDescent="0.2">
      <c r="A208" s="279"/>
      <c r="B208" s="397" t="s">
        <v>40</v>
      </c>
      <c r="C208" s="398"/>
      <c r="D208" s="277"/>
      <c r="E208" s="277"/>
      <c r="F208" s="294" t="s">
        <v>62</v>
      </c>
      <c r="G208" s="295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92"/>
      <c r="I208" s="296">
        <f>IF(C212&gt;=C211,$K$2,C210+C212)</f>
        <v>31</v>
      </c>
      <c r="J208" s="297" t="s">
        <v>59</v>
      </c>
      <c r="K208" s="298">
        <f>K204/$K$2*I208</f>
        <v>26000</v>
      </c>
      <c r="L208" s="299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4"/>
      <c r="V208" s="38"/>
      <c r="W208" s="64" t="str">
        <f t="shared" si="44"/>
        <v/>
      </c>
      <c r="X208" s="38"/>
      <c r="Y208" s="64" t="str">
        <f t="shared" si="45"/>
        <v/>
      </c>
      <c r="Z208" s="40"/>
    </row>
    <row r="209" spans="1:26" s="25" customFormat="1" ht="18" customHeight="1" x14ac:dyDescent="0.2">
      <c r="A209" s="279"/>
      <c r="B209" s="300"/>
      <c r="C209" s="300"/>
      <c r="D209" s="277"/>
      <c r="E209" s="277"/>
      <c r="F209" s="294" t="s">
        <v>18</v>
      </c>
      <c r="G209" s="295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0</v>
      </c>
      <c r="H209" s="292"/>
      <c r="I209" s="296">
        <v>0</v>
      </c>
      <c r="J209" s="297" t="s">
        <v>60</v>
      </c>
      <c r="K209" s="301">
        <f>K204/$K$2/8*I209</f>
        <v>0</v>
      </c>
      <c r="L209" s="302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4"/>
      <c r="V209" s="38"/>
      <c r="W209" s="64" t="str">
        <f t="shared" si="44"/>
        <v/>
      </c>
      <c r="X209" s="38"/>
      <c r="Y209" s="64" t="str">
        <f t="shared" si="45"/>
        <v/>
      </c>
      <c r="Z209" s="40"/>
    </row>
    <row r="210" spans="1:26" s="25" customFormat="1" ht="18" customHeight="1" x14ac:dyDescent="0.2">
      <c r="A210" s="279"/>
      <c r="B210" s="294" t="s">
        <v>7</v>
      </c>
      <c r="C210" s="300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0</v>
      </c>
      <c r="D210" s="277"/>
      <c r="E210" s="277"/>
      <c r="F210" s="294" t="s">
        <v>63</v>
      </c>
      <c r="G210" s="295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11225</v>
      </c>
      <c r="H210" s="292"/>
      <c r="I210" s="388" t="s">
        <v>67</v>
      </c>
      <c r="J210" s="389"/>
      <c r="K210" s="301">
        <f>K208+K209</f>
        <v>26000</v>
      </c>
      <c r="L210" s="302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4"/>
      <c r="V210" s="38"/>
      <c r="W210" s="64" t="str">
        <f t="shared" si="44"/>
        <v/>
      </c>
      <c r="X210" s="38"/>
      <c r="Y210" s="64" t="str">
        <f t="shared" si="45"/>
        <v/>
      </c>
      <c r="Z210" s="40"/>
    </row>
    <row r="211" spans="1:26" s="25" customFormat="1" ht="18" customHeight="1" x14ac:dyDescent="0.2">
      <c r="A211" s="279"/>
      <c r="B211" s="294" t="s">
        <v>6</v>
      </c>
      <c r="C211" s="300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7"/>
      <c r="E211" s="277"/>
      <c r="F211" s="294" t="s">
        <v>19</v>
      </c>
      <c r="G211" s="295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0</v>
      </c>
      <c r="H211" s="292"/>
      <c r="I211" s="388" t="s">
        <v>68</v>
      </c>
      <c r="J211" s="389"/>
      <c r="K211" s="295">
        <f>G211</f>
        <v>0</v>
      </c>
      <c r="L211" s="303"/>
      <c r="N211" s="35"/>
      <c r="O211" s="36" t="s">
        <v>49</v>
      </c>
      <c r="P211" s="444"/>
      <c r="Q211" s="444"/>
      <c r="R211" s="36">
        <v>0</v>
      </c>
      <c r="S211" s="27"/>
      <c r="T211" s="36" t="s">
        <v>49</v>
      </c>
      <c r="U211" s="64"/>
      <c r="V211" s="38"/>
      <c r="W211" s="64" t="str">
        <f t="shared" si="44"/>
        <v/>
      </c>
      <c r="X211" s="38"/>
      <c r="Y211" s="64" t="str">
        <f t="shared" si="45"/>
        <v/>
      </c>
      <c r="Z211" s="40"/>
    </row>
    <row r="212" spans="1:26" s="25" customFormat="1" ht="18" customHeight="1" x14ac:dyDescent="0.2">
      <c r="A212" s="279"/>
      <c r="B212" s="309" t="s">
        <v>66</v>
      </c>
      <c r="C212" s="300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15</v>
      </c>
      <c r="D212" s="277"/>
      <c r="E212" s="277"/>
      <c r="F212" s="309" t="s">
        <v>201</v>
      </c>
      <c r="G212" s="295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7"/>
      <c r="I212" s="393" t="s">
        <v>61</v>
      </c>
      <c r="J212" s="395"/>
      <c r="K212" s="234">
        <f>K210-K211</f>
        <v>26000</v>
      </c>
      <c r="L212" s="304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4"/>
      <c r="V212" s="38"/>
      <c r="W212" s="64" t="str">
        <f t="shared" si="44"/>
        <v/>
      </c>
      <c r="X212" s="38"/>
      <c r="Y212" s="64" t="str">
        <f t="shared" si="45"/>
        <v/>
      </c>
      <c r="Z212" s="40"/>
    </row>
    <row r="213" spans="1:26" s="25" customFormat="1" ht="18" customHeight="1" x14ac:dyDescent="0.2">
      <c r="A213" s="279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91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4"/>
      <c r="V213" s="38"/>
      <c r="W213" s="64" t="str">
        <f t="shared" si="44"/>
        <v/>
      </c>
      <c r="X213" s="38"/>
      <c r="Y213" s="64" t="str">
        <f t="shared" si="45"/>
        <v/>
      </c>
      <c r="Z213" s="40"/>
    </row>
    <row r="214" spans="1:26" s="25" customFormat="1" ht="18" customHeight="1" x14ac:dyDescent="0.3">
      <c r="A214" s="279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91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4"/>
      <c r="V214" s="38"/>
      <c r="W214" s="64" t="str">
        <f t="shared" si="44"/>
        <v/>
      </c>
      <c r="X214" s="38"/>
      <c r="Y214" s="64" t="str">
        <f t="shared" si="45"/>
        <v/>
      </c>
      <c r="Z214" s="40"/>
    </row>
    <row r="215" spans="1:26" s="25" customFormat="1" ht="18" customHeight="1" thickBot="1" x14ac:dyDescent="0.35">
      <c r="A215" s="305"/>
      <c r="B215" s="306"/>
      <c r="C215" s="306"/>
      <c r="D215" s="306"/>
      <c r="E215" s="306"/>
      <c r="F215" s="306"/>
      <c r="G215" s="306"/>
      <c r="H215" s="306"/>
      <c r="I215" s="306"/>
      <c r="J215" s="306"/>
      <c r="K215" s="306"/>
      <c r="L215" s="307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4"/>
      <c r="V215" s="38"/>
      <c r="W215" s="64" t="str">
        <f t="shared" si="44"/>
        <v/>
      </c>
      <c r="X215" s="38"/>
      <c r="Y215" s="64" t="str">
        <f t="shared" si="45"/>
        <v/>
      </c>
      <c r="Z215" s="40"/>
    </row>
    <row r="216" spans="1:26" s="57" customFormat="1" ht="18" customHeight="1" thickBot="1" x14ac:dyDescent="0.25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s="25" customFormat="1" ht="18" customHeight="1" thickBot="1" x14ac:dyDescent="0.25">
      <c r="A217" s="390" t="s">
        <v>38</v>
      </c>
      <c r="B217" s="391"/>
      <c r="C217" s="391"/>
      <c r="D217" s="391"/>
      <c r="E217" s="391"/>
      <c r="F217" s="391"/>
      <c r="G217" s="391"/>
      <c r="H217" s="391"/>
      <c r="I217" s="391"/>
      <c r="J217" s="391"/>
      <c r="K217" s="391"/>
      <c r="L217" s="392"/>
      <c r="M217" s="24"/>
      <c r="N217" s="28"/>
      <c r="O217" s="385" t="s">
        <v>40</v>
      </c>
      <c r="P217" s="386"/>
      <c r="Q217" s="386"/>
      <c r="R217" s="387"/>
      <c r="S217" s="29"/>
      <c r="T217" s="385" t="s">
        <v>41</v>
      </c>
      <c r="U217" s="386"/>
      <c r="V217" s="386"/>
      <c r="W217" s="386"/>
      <c r="X217" s="386"/>
      <c r="Y217" s="387"/>
      <c r="Z217" s="30"/>
    </row>
    <row r="218" spans="1:26" s="25" customFormat="1" ht="18" customHeight="1" x14ac:dyDescent="0.2">
      <c r="A218" s="279"/>
      <c r="B218" s="277"/>
      <c r="C218" s="396" t="s">
        <v>212</v>
      </c>
      <c r="D218" s="396"/>
      <c r="E218" s="396"/>
      <c r="F218" s="396"/>
      <c r="G218" s="280" t="str">
        <f>$J$1</f>
        <v>January</v>
      </c>
      <c r="H218" s="399">
        <f>$K$1</f>
        <v>2024</v>
      </c>
      <c r="I218" s="399"/>
      <c r="J218" s="277"/>
      <c r="K218" s="281"/>
      <c r="L218" s="282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9"/>
      <c r="B219" s="277"/>
      <c r="C219" s="277"/>
      <c r="D219" s="283"/>
      <c r="E219" s="283"/>
      <c r="F219" s="283"/>
      <c r="G219" s="283"/>
      <c r="H219" s="283"/>
      <c r="I219" s="277"/>
      <c r="J219" s="284" t="s">
        <v>1</v>
      </c>
      <c r="K219" s="285">
        <f>17000+2000+4000+12000</f>
        <v>35000</v>
      </c>
      <c r="L219" s="286"/>
      <c r="N219" s="35"/>
      <c r="O219" s="36" t="s">
        <v>43</v>
      </c>
      <c r="P219" s="36"/>
      <c r="Q219" s="36">
        <v>0</v>
      </c>
      <c r="R219" s="36">
        <v>11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/>
      <c r="Y219" s="38">
        <f>W219-X219</f>
        <v>7000</v>
      </c>
      <c r="Z219" s="34"/>
    </row>
    <row r="220" spans="1:26" s="25" customFormat="1" ht="18" customHeight="1" x14ac:dyDescent="0.2">
      <c r="A220" s="279"/>
      <c r="B220" s="277" t="s">
        <v>0</v>
      </c>
      <c r="C220" s="276" t="s">
        <v>140</v>
      </c>
      <c r="D220" s="277"/>
      <c r="E220" s="277"/>
      <c r="F220" s="277"/>
      <c r="G220" s="277"/>
      <c r="H220" s="287"/>
      <c r="I220" s="283"/>
      <c r="J220" s="277"/>
      <c r="K220" s="277"/>
      <c r="L220" s="288"/>
      <c r="M220" s="24"/>
      <c r="N220" s="39"/>
      <c r="O220" s="36" t="s">
        <v>69</v>
      </c>
      <c r="P220" s="36"/>
      <c r="Q220" s="36"/>
      <c r="R220" s="36" t="str">
        <f t="shared" ref="R220:R226" si="46">IF(Q220="","",R219-Q220)</f>
        <v/>
      </c>
      <c r="S220" s="27"/>
      <c r="T220" s="36" t="s">
        <v>69</v>
      </c>
      <c r="U220" s="64"/>
      <c r="V220" s="38"/>
      <c r="W220" s="64" t="str">
        <f>IF(U220="","",U220+V220)</f>
        <v/>
      </c>
      <c r="X220" s="38"/>
      <c r="Y220" s="64" t="str">
        <f>IF(W220="","",W220-X220)</f>
        <v/>
      </c>
      <c r="Z220" s="40"/>
    </row>
    <row r="221" spans="1:26" s="25" customFormat="1" ht="18" customHeight="1" x14ac:dyDescent="0.2">
      <c r="A221" s="279"/>
      <c r="B221" s="289" t="s">
        <v>39</v>
      </c>
      <c r="C221" s="290"/>
      <c r="D221" s="277"/>
      <c r="E221" s="277"/>
      <c r="F221" s="393" t="s">
        <v>41</v>
      </c>
      <c r="G221" s="395"/>
      <c r="H221" s="277"/>
      <c r="I221" s="393" t="s">
        <v>42</v>
      </c>
      <c r="J221" s="394"/>
      <c r="K221" s="395"/>
      <c r="L221" s="291"/>
      <c r="N221" s="35"/>
      <c r="O221" s="36" t="s">
        <v>44</v>
      </c>
      <c r="P221" s="36"/>
      <c r="Q221" s="36"/>
      <c r="R221" s="36" t="str">
        <f t="shared" si="46"/>
        <v/>
      </c>
      <c r="S221" s="27"/>
      <c r="T221" s="36" t="s">
        <v>44</v>
      </c>
      <c r="U221" s="64" t="str">
        <f>IF($J$1="April",Y220,Y220)</f>
        <v/>
      </c>
      <c r="V221" s="38"/>
      <c r="W221" s="64" t="str">
        <f t="shared" ref="W221:W230" si="47">IF(U221="","",U221+V221)</f>
        <v/>
      </c>
      <c r="X221" s="38"/>
      <c r="Y221" s="64" t="str">
        <f t="shared" ref="Y221:Y230" si="48">IF(W221="","",W221-X221)</f>
        <v/>
      </c>
      <c r="Z221" s="40"/>
    </row>
    <row r="222" spans="1:26" s="25" customFormat="1" ht="18" customHeight="1" x14ac:dyDescent="0.2">
      <c r="A222" s="279"/>
      <c r="B222" s="277"/>
      <c r="C222" s="277"/>
      <c r="D222" s="277"/>
      <c r="E222" s="277"/>
      <c r="F222" s="277"/>
      <c r="G222" s="277"/>
      <c r="H222" s="292"/>
      <c r="I222" s="277"/>
      <c r="J222" s="277"/>
      <c r="K222" s="277"/>
      <c r="L222" s="293"/>
      <c r="N222" s="35"/>
      <c r="O222" s="36" t="s">
        <v>45</v>
      </c>
      <c r="P222" s="36"/>
      <c r="Q222" s="36"/>
      <c r="R222" s="36" t="str">
        <f t="shared" si="46"/>
        <v/>
      </c>
      <c r="S222" s="27"/>
      <c r="T222" s="36" t="s">
        <v>45</v>
      </c>
      <c r="U222" s="64" t="str">
        <f>Y221</f>
        <v/>
      </c>
      <c r="V222" s="38"/>
      <c r="W222" s="64" t="str">
        <f t="shared" si="47"/>
        <v/>
      </c>
      <c r="X222" s="38"/>
      <c r="Y222" s="64" t="str">
        <f t="shared" si="48"/>
        <v/>
      </c>
      <c r="Z222" s="40"/>
    </row>
    <row r="223" spans="1:26" s="25" customFormat="1" ht="18" customHeight="1" x14ac:dyDescent="0.2">
      <c r="A223" s="279"/>
      <c r="B223" s="397" t="s">
        <v>40</v>
      </c>
      <c r="C223" s="398"/>
      <c r="D223" s="277"/>
      <c r="E223" s="277"/>
      <c r="F223" s="294" t="s">
        <v>62</v>
      </c>
      <c r="G223" s="295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7000</v>
      </c>
      <c r="H223" s="292"/>
      <c r="I223" s="341">
        <f>IF(C227&gt;=C226,$K$2,C225+C227)-3</f>
        <v>28</v>
      </c>
      <c r="J223" s="297" t="s">
        <v>59</v>
      </c>
      <c r="K223" s="298">
        <f>K219/$K$2*I223</f>
        <v>31612.903225806451</v>
      </c>
      <c r="L223" s="299"/>
      <c r="N223" s="35"/>
      <c r="O223" s="36" t="s">
        <v>46</v>
      </c>
      <c r="P223" s="36"/>
      <c r="Q223" s="36"/>
      <c r="R223" s="36" t="str">
        <f t="shared" si="46"/>
        <v/>
      </c>
      <c r="S223" s="27"/>
      <c r="T223" s="36" t="s">
        <v>46</v>
      </c>
      <c r="U223" s="64" t="str">
        <f>IF($J$1="May",Y222,Y222)</f>
        <v/>
      </c>
      <c r="V223" s="38"/>
      <c r="W223" s="64" t="str">
        <f t="shared" si="47"/>
        <v/>
      </c>
      <c r="X223" s="38"/>
      <c r="Y223" s="64" t="str">
        <f t="shared" si="48"/>
        <v/>
      </c>
      <c r="Z223" s="40"/>
    </row>
    <row r="224" spans="1:26" s="25" customFormat="1" ht="18" customHeight="1" x14ac:dyDescent="0.2">
      <c r="A224" s="279"/>
      <c r="B224" s="300"/>
      <c r="C224" s="300"/>
      <c r="D224" s="277"/>
      <c r="E224" s="277"/>
      <c r="F224" s="294" t="s">
        <v>18</v>
      </c>
      <c r="G224" s="295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92"/>
      <c r="I224" s="296">
        <v>32</v>
      </c>
      <c r="J224" s="297" t="s">
        <v>60</v>
      </c>
      <c r="K224" s="301">
        <f>K219/$K$2/8*I224</f>
        <v>4516.1290322580644</v>
      </c>
      <c r="L224" s="302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4" t="str">
        <f>IF($J$1="May",Y223,Y223)</f>
        <v/>
      </c>
      <c r="V224" s="38"/>
      <c r="W224" s="64" t="str">
        <f t="shared" si="47"/>
        <v/>
      </c>
      <c r="X224" s="38"/>
      <c r="Y224" s="64" t="str">
        <f t="shared" si="48"/>
        <v/>
      </c>
      <c r="Z224" s="40"/>
    </row>
    <row r="225" spans="1:26" s="25" customFormat="1" ht="18" customHeight="1" x14ac:dyDescent="0.2">
      <c r="A225" s="279"/>
      <c r="B225" s="294" t="s">
        <v>7</v>
      </c>
      <c r="C225" s="30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277"/>
      <c r="E225" s="277"/>
      <c r="F225" s="294" t="s">
        <v>63</v>
      </c>
      <c r="G225" s="295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292"/>
      <c r="I225" s="388" t="s">
        <v>67</v>
      </c>
      <c r="J225" s="389"/>
      <c r="K225" s="301">
        <f>K223+K224</f>
        <v>36129.032258064515</v>
      </c>
      <c r="L225" s="302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4" t="str">
        <f t="shared" ref="U225:U230" si="49">Y224</f>
        <v/>
      </c>
      <c r="V225" s="38"/>
      <c r="W225" s="64" t="str">
        <f t="shared" si="47"/>
        <v/>
      </c>
      <c r="X225" s="38"/>
      <c r="Y225" s="64" t="str">
        <f t="shared" si="48"/>
        <v/>
      </c>
      <c r="Z225" s="40"/>
    </row>
    <row r="226" spans="1:26" s="25" customFormat="1" ht="18" customHeight="1" x14ac:dyDescent="0.2">
      <c r="A226" s="279"/>
      <c r="B226" s="294" t="s">
        <v>6</v>
      </c>
      <c r="C226" s="30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277"/>
      <c r="E226" s="277"/>
      <c r="F226" s="294" t="s">
        <v>19</v>
      </c>
      <c r="G226" s="295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92"/>
      <c r="I226" s="388" t="s">
        <v>68</v>
      </c>
      <c r="J226" s="389"/>
      <c r="K226" s="295">
        <f>G226</f>
        <v>0</v>
      </c>
      <c r="L226" s="303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4" t="str">
        <f t="shared" si="49"/>
        <v/>
      </c>
      <c r="V226" s="38"/>
      <c r="W226" s="64" t="str">
        <f t="shared" si="47"/>
        <v/>
      </c>
      <c r="X226" s="38"/>
      <c r="Y226" s="64" t="str">
        <f t="shared" si="48"/>
        <v/>
      </c>
      <c r="Z226" s="40"/>
    </row>
    <row r="227" spans="1:26" s="25" customFormat="1" ht="18" customHeight="1" x14ac:dyDescent="0.2">
      <c r="A227" s="279"/>
      <c r="B227" s="309" t="s">
        <v>66</v>
      </c>
      <c r="C227" s="300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11</v>
      </c>
      <c r="D227" s="277"/>
      <c r="E227" s="277"/>
      <c r="F227" s="309" t="s">
        <v>201</v>
      </c>
      <c r="G227" s="295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7000</v>
      </c>
      <c r="H227" s="277"/>
      <c r="I227" s="393" t="s">
        <v>61</v>
      </c>
      <c r="J227" s="395"/>
      <c r="K227" s="234">
        <f>K225-K226</f>
        <v>36129.032258064515</v>
      </c>
      <c r="L227" s="304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4" t="str">
        <f t="shared" si="49"/>
        <v/>
      </c>
      <c r="V227" s="38"/>
      <c r="W227" s="64" t="str">
        <f t="shared" si="47"/>
        <v/>
      </c>
      <c r="X227" s="38"/>
      <c r="Y227" s="64" t="str">
        <f t="shared" si="48"/>
        <v/>
      </c>
      <c r="Z227" s="40"/>
    </row>
    <row r="228" spans="1:26" s="25" customFormat="1" ht="18" customHeight="1" x14ac:dyDescent="0.2">
      <c r="A228" s="279"/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91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4" t="str">
        <f t="shared" si="49"/>
        <v/>
      </c>
      <c r="V228" s="38"/>
      <c r="W228" s="64" t="str">
        <f t="shared" si="47"/>
        <v/>
      </c>
      <c r="X228" s="38"/>
      <c r="Y228" s="64" t="str">
        <f t="shared" si="48"/>
        <v/>
      </c>
      <c r="Z228" s="40"/>
    </row>
    <row r="229" spans="1:26" s="25" customFormat="1" ht="18" customHeight="1" x14ac:dyDescent="0.3">
      <c r="A229" s="279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91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4" t="str">
        <f t="shared" si="49"/>
        <v/>
      </c>
      <c r="V229" s="38"/>
      <c r="W229" s="64" t="str">
        <f t="shared" si="47"/>
        <v/>
      </c>
      <c r="X229" s="38"/>
      <c r="Y229" s="64" t="str">
        <f t="shared" si="48"/>
        <v/>
      </c>
      <c r="Z229" s="40"/>
    </row>
    <row r="230" spans="1:26" s="25" customFormat="1" ht="18" customHeight="1" thickBot="1" x14ac:dyDescent="0.35">
      <c r="A230" s="305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7"/>
      <c r="N230" s="35"/>
      <c r="O230" s="36" t="s">
        <v>56</v>
      </c>
      <c r="P230" s="36"/>
      <c r="Q230" s="36"/>
      <c r="R230" s="342"/>
      <c r="S230" s="27"/>
      <c r="T230" s="36" t="s">
        <v>56</v>
      </c>
      <c r="U230" s="64" t="str">
        <f t="shared" si="49"/>
        <v/>
      </c>
      <c r="V230" s="38"/>
      <c r="W230" s="64" t="str">
        <f t="shared" si="47"/>
        <v/>
      </c>
      <c r="X230" s="38"/>
      <c r="Y230" s="64" t="str">
        <f t="shared" si="48"/>
        <v/>
      </c>
      <c r="Z230" s="40"/>
    </row>
    <row r="231" spans="1:26" s="57" customFormat="1" ht="18" customHeight="1" thickBot="1" x14ac:dyDescent="0.25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s="25" customFormat="1" ht="18" customHeight="1" thickBot="1" x14ac:dyDescent="0.25">
      <c r="A232" s="390" t="s">
        <v>38</v>
      </c>
      <c r="B232" s="391"/>
      <c r="C232" s="391"/>
      <c r="D232" s="391"/>
      <c r="E232" s="391"/>
      <c r="F232" s="391"/>
      <c r="G232" s="391"/>
      <c r="H232" s="391"/>
      <c r="I232" s="391"/>
      <c r="J232" s="391"/>
      <c r="K232" s="391"/>
      <c r="L232" s="392"/>
      <c r="M232" s="24"/>
      <c r="N232" s="28"/>
      <c r="O232" s="385" t="s">
        <v>40</v>
      </c>
      <c r="P232" s="386"/>
      <c r="Q232" s="386"/>
      <c r="R232" s="387"/>
      <c r="S232" s="29"/>
      <c r="T232" s="385" t="s">
        <v>41</v>
      </c>
      <c r="U232" s="386"/>
      <c r="V232" s="386"/>
      <c r="W232" s="386"/>
      <c r="X232" s="386"/>
      <c r="Y232" s="387"/>
      <c r="Z232" s="27"/>
    </row>
    <row r="233" spans="1:26" s="25" customFormat="1" ht="18" customHeight="1" x14ac:dyDescent="0.2">
      <c r="A233" s="279"/>
      <c r="B233" s="277"/>
      <c r="C233" s="396" t="s">
        <v>212</v>
      </c>
      <c r="D233" s="396"/>
      <c r="E233" s="396"/>
      <c r="F233" s="396"/>
      <c r="G233" s="280" t="str">
        <f>$J$1</f>
        <v>January</v>
      </c>
      <c r="H233" s="399">
        <f>$K$1</f>
        <v>2024</v>
      </c>
      <c r="I233" s="399"/>
      <c r="J233" s="277"/>
      <c r="K233" s="281"/>
      <c r="L233" s="282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9"/>
      <c r="B234" s="277"/>
      <c r="C234" s="277"/>
      <c r="D234" s="283"/>
      <c r="E234" s="283"/>
      <c r="F234" s="283"/>
      <c r="G234" s="283"/>
      <c r="H234" s="283"/>
      <c r="I234" s="277"/>
      <c r="J234" s="284" t="s">
        <v>1</v>
      </c>
      <c r="K234" s="285">
        <v>25000</v>
      </c>
      <c r="L234" s="286"/>
      <c r="N234" s="35"/>
      <c r="O234" s="36" t="s">
        <v>43</v>
      </c>
      <c r="P234" s="36"/>
      <c r="Q234" s="36"/>
      <c r="R234" s="36">
        <v>15</v>
      </c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9"/>
      <c r="B235" s="277" t="s">
        <v>0</v>
      </c>
      <c r="C235" s="276" t="s">
        <v>215</v>
      </c>
      <c r="D235" s="277"/>
      <c r="E235" s="277"/>
      <c r="F235" s="277"/>
      <c r="G235" s="277"/>
      <c r="H235" s="287"/>
      <c r="I235" s="283"/>
      <c r="J235" s="277"/>
      <c r="K235" s="277"/>
      <c r="L235" s="288"/>
      <c r="M235" s="24"/>
      <c r="N235" s="39"/>
      <c r="O235" s="36" t="s">
        <v>69</v>
      </c>
      <c r="P235" s="36"/>
      <c r="Q235" s="36"/>
      <c r="R235" s="36">
        <f>R234-Q235</f>
        <v>15</v>
      </c>
      <c r="S235" s="27"/>
      <c r="T235" s="36" t="s">
        <v>69</v>
      </c>
      <c r="U235" s="64"/>
      <c r="V235" s="38"/>
      <c r="W235" s="64" t="str">
        <f>IF(U235="","",U235+V235)</f>
        <v/>
      </c>
      <c r="X235" s="38"/>
      <c r="Y235" s="64" t="str">
        <f>IF(W235="","",W235-X235)</f>
        <v/>
      </c>
      <c r="Z235" s="27"/>
    </row>
    <row r="236" spans="1:26" s="25" customFormat="1" ht="18" customHeight="1" x14ac:dyDescent="0.2">
      <c r="A236" s="279"/>
      <c r="B236" s="289" t="s">
        <v>39</v>
      </c>
      <c r="C236" s="317">
        <v>45223</v>
      </c>
      <c r="D236" s="277"/>
      <c r="E236" s="277"/>
      <c r="F236" s="393" t="s">
        <v>41</v>
      </c>
      <c r="G236" s="395"/>
      <c r="H236" s="277"/>
      <c r="I236" s="393" t="s">
        <v>42</v>
      </c>
      <c r="J236" s="394"/>
      <c r="K236" s="395"/>
      <c r="L236" s="291"/>
      <c r="N236" s="35"/>
      <c r="O236" s="36" t="s">
        <v>44</v>
      </c>
      <c r="P236" s="36"/>
      <c r="Q236" s="36"/>
      <c r="R236" s="36">
        <v>0</v>
      </c>
      <c r="S236" s="27"/>
      <c r="T236" s="36" t="s">
        <v>44</v>
      </c>
      <c r="U236" s="64"/>
      <c r="V236" s="38"/>
      <c r="W236" s="64" t="str">
        <f t="shared" ref="W236:W245" si="50">IF(U236="","",U236+V236)</f>
        <v/>
      </c>
      <c r="X236" s="38"/>
      <c r="Y236" s="64" t="str">
        <f t="shared" ref="Y236:Y245" si="51">IF(W236="","",W236-X236)</f>
        <v/>
      </c>
      <c r="Z236" s="27"/>
    </row>
    <row r="237" spans="1:26" s="25" customFormat="1" ht="18" customHeight="1" x14ac:dyDescent="0.2">
      <c r="A237" s="279"/>
      <c r="B237" s="277"/>
      <c r="C237" s="277"/>
      <c r="D237" s="277"/>
      <c r="E237" s="277"/>
      <c r="F237" s="277"/>
      <c r="G237" s="277"/>
      <c r="H237" s="292"/>
      <c r="I237" s="277"/>
      <c r="J237" s="277"/>
      <c r="K237" s="277"/>
      <c r="L237" s="293"/>
      <c r="N237" s="35"/>
      <c r="O237" s="36" t="s">
        <v>45</v>
      </c>
      <c r="P237" s="36"/>
      <c r="Q237" s="36"/>
      <c r="R237" s="36" t="str">
        <f t="shared" ref="R237:R245" si="52">IF(Q237="","",R236-Q237)</f>
        <v/>
      </c>
      <c r="S237" s="27"/>
      <c r="T237" s="36" t="s">
        <v>45</v>
      </c>
      <c r="U237" s="64"/>
      <c r="V237" s="38"/>
      <c r="W237" s="64" t="str">
        <f t="shared" si="50"/>
        <v/>
      </c>
      <c r="X237" s="38"/>
      <c r="Y237" s="64" t="str">
        <f t="shared" si="51"/>
        <v/>
      </c>
      <c r="Z237" s="27"/>
    </row>
    <row r="238" spans="1:26" s="25" customFormat="1" ht="18" customHeight="1" x14ac:dyDescent="0.2">
      <c r="A238" s="279"/>
      <c r="B238" s="397" t="s">
        <v>40</v>
      </c>
      <c r="C238" s="398"/>
      <c r="D238" s="277"/>
      <c r="E238" s="277"/>
      <c r="F238" s="294" t="s">
        <v>62</v>
      </c>
      <c r="G238" s="295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92"/>
      <c r="I238" s="296">
        <f>IF(C242&gt;=C241,$K$2,C240+C242)</f>
        <v>31</v>
      </c>
      <c r="J238" s="297" t="s">
        <v>59</v>
      </c>
      <c r="K238" s="298">
        <f>K234/$K$2*I238</f>
        <v>25000</v>
      </c>
      <c r="L238" s="299"/>
      <c r="N238" s="35"/>
      <c r="O238" s="36" t="s">
        <v>46</v>
      </c>
      <c r="P238" s="36"/>
      <c r="Q238" s="36"/>
      <c r="R238" s="36" t="str">
        <f t="shared" si="52"/>
        <v/>
      </c>
      <c r="S238" s="27"/>
      <c r="T238" s="36" t="s">
        <v>46</v>
      </c>
      <c r="U238" s="64"/>
      <c r="V238" s="38"/>
      <c r="W238" s="64" t="str">
        <f t="shared" si="50"/>
        <v/>
      </c>
      <c r="X238" s="38"/>
      <c r="Y238" s="64" t="str">
        <f t="shared" si="51"/>
        <v/>
      </c>
      <c r="Z238" s="27"/>
    </row>
    <row r="239" spans="1:26" s="25" customFormat="1" ht="18" customHeight="1" x14ac:dyDescent="0.2">
      <c r="A239" s="279"/>
      <c r="B239" s="300"/>
      <c r="C239" s="300"/>
      <c r="D239" s="277"/>
      <c r="E239" s="277"/>
      <c r="F239" s="294" t="s">
        <v>18</v>
      </c>
      <c r="G239" s="295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92"/>
      <c r="I239" s="296">
        <v>59</v>
      </c>
      <c r="J239" s="297" t="s">
        <v>60</v>
      </c>
      <c r="K239" s="301">
        <f>K234/$K$2/8*I239</f>
        <v>5947.5806451612907</v>
      </c>
      <c r="L239" s="302"/>
      <c r="N239" s="35"/>
      <c r="O239" s="36" t="s">
        <v>47</v>
      </c>
      <c r="P239" s="36"/>
      <c r="Q239" s="36"/>
      <c r="R239" s="36">
        <v>0</v>
      </c>
      <c r="S239" s="27"/>
      <c r="T239" s="36" t="s">
        <v>47</v>
      </c>
      <c r="U239" s="64" t="str">
        <f>Y238</f>
        <v/>
      </c>
      <c r="V239" s="38"/>
      <c r="W239" s="64"/>
      <c r="X239" s="38"/>
      <c r="Y239" s="64" t="str">
        <f t="shared" si="51"/>
        <v/>
      </c>
      <c r="Z239" s="27"/>
    </row>
    <row r="240" spans="1:26" s="25" customFormat="1" ht="18" customHeight="1" x14ac:dyDescent="0.2">
      <c r="A240" s="279"/>
      <c r="B240" s="294" t="s">
        <v>7</v>
      </c>
      <c r="C240" s="30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0</v>
      </c>
      <c r="D240" s="277"/>
      <c r="E240" s="277"/>
      <c r="F240" s="294" t="s">
        <v>63</v>
      </c>
      <c r="G240" s="295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292"/>
      <c r="I240" s="388" t="s">
        <v>67</v>
      </c>
      <c r="J240" s="389"/>
      <c r="K240" s="301">
        <f>K238+K239</f>
        <v>30947.580645161292</v>
      </c>
      <c r="L240" s="302"/>
      <c r="N240" s="35"/>
      <c r="O240" s="36" t="s">
        <v>48</v>
      </c>
      <c r="P240" s="36"/>
      <c r="Q240" s="36"/>
      <c r="R240" s="36">
        <v>0</v>
      </c>
      <c r="S240" s="27"/>
      <c r="T240" s="36" t="s">
        <v>48</v>
      </c>
      <c r="U240" s="64"/>
      <c r="V240" s="38"/>
      <c r="W240" s="64" t="str">
        <f t="shared" si="50"/>
        <v/>
      </c>
      <c r="X240" s="38"/>
      <c r="Y240" s="64" t="str">
        <f t="shared" si="51"/>
        <v/>
      </c>
      <c r="Z240" s="27"/>
    </row>
    <row r="241" spans="1:26" s="25" customFormat="1" ht="18" customHeight="1" x14ac:dyDescent="0.2">
      <c r="A241" s="279"/>
      <c r="B241" s="294" t="s">
        <v>6</v>
      </c>
      <c r="C241" s="30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7"/>
      <c r="E241" s="277"/>
      <c r="F241" s="294" t="s">
        <v>19</v>
      </c>
      <c r="G241" s="295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92"/>
      <c r="I241" s="388" t="s">
        <v>68</v>
      </c>
      <c r="J241" s="389"/>
      <c r="K241" s="295">
        <f>G241</f>
        <v>0</v>
      </c>
      <c r="L241" s="303"/>
      <c r="N241" s="35"/>
      <c r="O241" s="36" t="s">
        <v>49</v>
      </c>
      <c r="P241" s="36"/>
      <c r="Q241" s="36"/>
      <c r="R241" s="36" t="str">
        <f t="shared" si="52"/>
        <v/>
      </c>
      <c r="S241" s="27"/>
      <c r="T241" s="36" t="s">
        <v>49</v>
      </c>
      <c r="U241" s="64"/>
      <c r="V241" s="38"/>
      <c r="W241" s="64" t="str">
        <f t="shared" si="50"/>
        <v/>
      </c>
      <c r="X241" s="38"/>
      <c r="Y241" s="64" t="str">
        <f t="shared" si="51"/>
        <v/>
      </c>
      <c r="Z241" s="27"/>
    </row>
    <row r="242" spans="1:26" s="25" customFormat="1" ht="18" customHeight="1" x14ac:dyDescent="0.2">
      <c r="A242" s="279"/>
      <c r="B242" s="309" t="s">
        <v>66</v>
      </c>
      <c r="C242" s="30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15</v>
      </c>
      <c r="D242" s="277"/>
      <c r="E242" s="277"/>
      <c r="F242" s="309" t="s">
        <v>201</v>
      </c>
      <c r="G242" s="295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42" s="277"/>
      <c r="I242" s="393" t="s">
        <v>61</v>
      </c>
      <c r="J242" s="395"/>
      <c r="K242" s="234">
        <f>K240-K241</f>
        <v>30947.580645161292</v>
      </c>
      <c r="L242" s="304"/>
      <c r="N242" s="35"/>
      <c r="O242" s="36" t="s">
        <v>54</v>
      </c>
      <c r="P242" s="36"/>
      <c r="Q242" s="36"/>
      <c r="R242" s="36">
        <v>0</v>
      </c>
      <c r="S242" s="27"/>
      <c r="T242" s="36" t="s">
        <v>54</v>
      </c>
      <c r="U242" s="64" t="str">
        <f>IF($J$1="September",Y241,"")</f>
        <v/>
      </c>
      <c r="V242" s="38"/>
      <c r="W242" s="64" t="str">
        <f t="shared" si="50"/>
        <v/>
      </c>
      <c r="X242" s="38"/>
      <c r="Y242" s="64" t="str">
        <f t="shared" si="51"/>
        <v/>
      </c>
      <c r="Z242" s="40"/>
    </row>
    <row r="243" spans="1:26" s="25" customFormat="1" ht="18" customHeight="1" x14ac:dyDescent="0.2">
      <c r="A243" s="279"/>
      <c r="B243" s="277"/>
      <c r="C243" s="277"/>
      <c r="D243" s="277"/>
      <c r="E243" s="277"/>
      <c r="F243" s="277"/>
      <c r="G243" s="277"/>
      <c r="H243" s="277"/>
      <c r="I243" s="277"/>
      <c r="J243" s="277"/>
      <c r="K243" s="277"/>
      <c r="L243" s="291"/>
      <c r="N243" s="35"/>
      <c r="O243" s="36" t="s">
        <v>50</v>
      </c>
      <c r="P243" s="36"/>
      <c r="Q243" s="36"/>
      <c r="R243" s="36">
        <v>0</v>
      </c>
      <c r="S243" s="27"/>
      <c r="T243" s="36" t="s">
        <v>50</v>
      </c>
      <c r="U243" s="64" t="str">
        <f>IF($J$1="October",Y242,"")</f>
        <v/>
      </c>
      <c r="V243" s="38"/>
      <c r="W243" s="64" t="str">
        <f t="shared" si="50"/>
        <v/>
      </c>
      <c r="X243" s="38"/>
      <c r="Y243" s="64" t="str">
        <f t="shared" si="51"/>
        <v/>
      </c>
      <c r="Z243" s="40"/>
    </row>
    <row r="244" spans="1:26" s="25" customFormat="1" ht="18" customHeight="1" x14ac:dyDescent="0.3">
      <c r="A244" s="279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91"/>
      <c r="N244" s="35"/>
      <c r="O244" s="36" t="s">
        <v>55</v>
      </c>
      <c r="P244" s="443"/>
      <c r="Q244" s="443"/>
      <c r="R244" s="36" t="str">
        <f t="shared" si="52"/>
        <v/>
      </c>
      <c r="S244" s="27"/>
      <c r="T244" s="36" t="s">
        <v>55</v>
      </c>
      <c r="U244" s="64"/>
      <c r="V244" s="38"/>
      <c r="W244" s="64" t="str">
        <f t="shared" si="50"/>
        <v/>
      </c>
      <c r="X244" s="38"/>
      <c r="Y244" s="64" t="str">
        <f t="shared" si="51"/>
        <v/>
      </c>
      <c r="Z244" s="27"/>
    </row>
    <row r="245" spans="1:26" s="25" customFormat="1" ht="18" customHeight="1" thickBot="1" x14ac:dyDescent="0.35">
      <c r="A245" s="305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7"/>
      <c r="N245" s="35"/>
      <c r="O245" s="36" t="s">
        <v>56</v>
      </c>
      <c r="P245" s="36"/>
      <c r="Q245" s="36"/>
      <c r="R245" s="36" t="str">
        <f t="shared" si="52"/>
        <v/>
      </c>
      <c r="S245" s="27"/>
      <c r="T245" s="36" t="s">
        <v>56</v>
      </c>
      <c r="U245" s="64"/>
      <c r="V245" s="38"/>
      <c r="W245" s="64" t="str">
        <f t="shared" si="50"/>
        <v/>
      </c>
      <c r="X245" s="38"/>
      <c r="Y245" s="64" t="str">
        <f t="shared" si="51"/>
        <v/>
      </c>
      <c r="Z245" s="27"/>
    </row>
    <row r="246" spans="1:26" s="57" customFormat="1" ht="18" customHeight="1" thickBot="1" x14ac:dyDescent="0.25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s="25" customFormat="1" ht="18" customHeight="1" thickBot="1" x14ac:dyDescent="0.25">
      <c r="A247" s="390" t="s">
        <v>38</v>
      </c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2"/>
      <c r="M247" s="24"/>
      <c r="N247" s="28"/>
      <c r="O247" s="385" t="s">
        <v>40</v>
      </c>
      <c r="P247" s="386"/>
      <c r="Q247" s="386"/>
      <c r="R247" s="387"/>
      <c r="S247" s="29"/>
      <c r="T247" s="385" t="s">
        <v>41</v>
      </c>
      <c r="U247" s="386"/>
      <c r="V247" s="386"/>
      <c r="W247" s="386"/>
      <c r="X247" s="386"/>
      <c r="Y247" s="387"/>
      <c r="Z247" s="27"/>
    </row>
    <row r="248" spans="1:26" s="25" customFormat="1" ht="18" customHeight="1" x14ac:dyDescent="0.2">
      <c r="A248" s="279"/>
      <c r="B248" s="277"/>
      <c r="C248" s="396" t="s">
        <v>212</v>
      </c>
      <c r="D248" s="396"/>
      <c r="E248" s="396"/>
      <c r="F248" s="396"/>
      <c r="G248" s="280" t="str">
        <f>$J$1</f>
        <v>January</v>
      </c>
      <c r="H248" s="399">
        <f>$K$1</f>
        <v>2024</v>
      </c>
      <c r="I248" s="399"/>
      <c r="J248" s="277"/>
      <c r="K248" s="281"/>
      <c r="L248" s="282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9"/>
      <c r="B249" s="277"/>
      <c r="C249" s="277"/>
      <c r="D249" s="283"/>
      <c r="E249" s="283"/>
      <c r="F249" s="283"/>
      <c r="G249" s="283"/>
      <c r="H249" s="283"/>
      <c r="I249" s="277"/>
      <c r="J249" s="284" t="s">
        <v>1</v>
      </c>
      <c r="K249" s="285">
        <v>35000</v>
      </c>
      <c r="L249" s="286"/>
      <c r="N249" s="35"/>
      <c r="O249" s="36" t="s">
        <v>43</v>
      </c>
      <c r="P249" s="36"/>
      <c r="Q249" s="36"/>
      <c r="R249" s="36">
        <v>15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9"/>
      <c r="B250" s="277" t="s">
        <v>0</v>
      </c>
      <c r="C250" s="276" t="s">
        <v>199</v>
      </c>
      <c r="D250" s="277"/>
      <c r="E250" s="277"/>
      <c r="F250" s="277"/>
      <c r="G250" s="277"/>
      <c r="H250" s="287"/>
      <c r="I250" s="283"/>
      <c r="J250" s="277"/>
      <c r="K250" s="277"/>
      <c r="L250" s="288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4"/>
      <c r="V250" s="38"/>
      <c r="W250" s="64"/>
      <c r="X250" s="38"/>
      <c r="Y250" s="64"/>
      <c r="Z250" s="27"/>
    </row>
    <row r="251" spans="1:26" s="25" customFormat="1" ht="18" customHeight="1" x14ac:dyDescent="0.2">
      <c r="A251" s="279"/>
      <c r="B251" s="289" t="s">
        <v>39</v>
      </c>
      <c r="C251" s="290"/>
      <c r="D251" s="277"/>
      <c r="E251" s="277"/>
      <c r="F251" s="393" t="s">
        <v>41</v>
      </c>
      <c r="G251" s="395"/>
      <c r="H251" s="277"/>
      <c r="I251" s="393" t="s">
        <v>42</v>
      </c>
      <c r="J251" s="394"/>
      <c r="K251" s="395"/>
      <c r="L251" s="291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4"/>
      <c r="V251" s="38"/>
      <c r="W251" s="64"/>
      <c r="X251" s="38"/>
      <c r="Y251" s="64"/>
      <c r="Z251" s="27"/>
    </row>
    <row r="252" spans="1:26" s="25" customFormat="1" ht="18" customHeight="1" x14ac:dyDescent="0.2">
      <c r="A252" s="279"/>
      <c r="B252" s="277"/>
      <c r="C252" s="277"/>
      <c r="D252" s="277"/>
      <c r="E252" s="277"/>
      <c r="F252" s="277"/>
      <c r="G252" s="277"/>
      <c r="H252" s="292"/>
      <c r="I252" s="277"/>
      <c r="J252" s="277"/>
      <c r="K252" s="277"/>
      <c r="L252" s="293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4"/>
      <c r="V252" s="38"/>
      <c r="W252" s="64"/>
      <c r="X252" s="38"/>
      <c r="Y252" s="64"/>
      <c r="Z252" s="27"/>
    </row>
    <row r="253" spans="1:26" s="25" customFormat="1" ht="18" customHeight="1" x14ac:dyDescent="0.2">
      <c r="A253" s="279"/>
      <c r="B253" s="397" t="s">
        <v>40</v>
      </c>
      <c r="C253" s="398"/>
      <c r="D253" s="277"/>
      <c r="E253" s="277"/>
      <c r="F253" s="294" t="s">
        <v>62</v>
      </c>
      <c r="G253" s="295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92"/>
      <c r="I253" s="296">
        <f>IF(C257&gt;=C256,$K$2,C255+C257)</f>
        <v>31</v>
      </c>
      <c r="J253" s="297" t="s">
        <v>59</v>
      </c>
      <c r="K253" s="298">
        <f>K249/$K$2*I253</f>
        <v>35000</v>
      </c>
      <c r="L253" s="299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4"/>
      <c r="V253" s="38"/>
      <c r="W253" s="64"/>
      <c r="X253" s="38"/>
      <c r="Y253" s="64"/>
      <c r="Z253" s="27"/>
    </row>
    <row r="254" spans="1:26" s="25" customFormat="1" ht="18" customHeight="1" x14ac:dyDescent="0.2">
      <c r="A254" s="279"/>
      <c r="B254" s="300"/>
      <c r="C254" s="300"/>
      <c r="D254" s="277"/>
      <c r="E254" s="277"/>
      <c r="F254" s="294" t="s">
        <v>18</v>
      </c>
      <c r="G254" s="295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92"/>
      <c r="I254" s="296">
        <v>146</v>
      </c>
      <c r="J254" s="297" t="s">
        <v>60</v>
      </c>
      <c r="K254" s="301">
        <f>K249/$K$2/8*I254</f>
        <v>20604.83870967742</v>
      </c>
      <c r="L254" s="302"/>
      <c r="N254" s="35"/>
      <c r="O254" s="36" t="s">
        <v>47</v>
      </c>
      <c r="P254" s="443"/>
      <c r="Q254" s="443"/>
      <c r="R254" s="36">
        <v>0</v>
      </c>
      <c r="S254" s="27"/>
      <c r="T254" s="36" t="s">
        <v>47</v>
      </c>
      <c r="U254" s="64">
        <f t="shared" ref="U254" si="53">Y253</f>
        <v>0</v>
      </c>
      <c r="V254" s="38"/>
      <c r="W254" s="64">
        <f t="shared" ref="W254" si="54">IF(U254="","",U254+V254)</f>
        <v>0</v>
      </c>
      <c r="X254" s="38"/>
      <c r="Y254" s="64">
        <f t="shared" ref="Y254" si="55">IF(W254="","",W254-X254)</f>
        <v>0</v>
      </c>
      <c r="Z254" s="27"/>
    </row>
    <row r="255" spans="1:26" s="25" customFormat="1" ht="18" customHeight="1" x14ac:dyDescent="0.2">
      <c r="A255" s="279"/>
      <c r="B255" s="294" t="s">
        <v>7</v>
      </c>
      <c r="C255" s="300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0</v>
      </c>
      <c r="D255" s="277"/>
      <c r="E255" s="277"/>
      <c r="F255" s="294" t="s">
        <v>63</v>
      </c>
      <c r="G255" s="295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92"/>
      <c r="I255" s="388" t="s">
        <v>67</v>
      </c>
      <c r="J255" s="389"/>
      <c r="K255" s="301">
        <f>K253+K254</f>
        <v>55604.838709677424</v>
      </c>
      <c r="L255" s="302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4"/>
      <c r="V255" s="38"/>
      <c r="W255" s="64"/>
      <c r="X255" s="38"/>
      <c r="Y255" s="64"/>
      <c r="Z255" s="27"/>
    </row>
    <row r="256" spans="1:26" s="25" customFormat="1" ht="18" customHeight="1" x14ac:dyDescent="0.2">
      <c r="A256" s="279"/>
      <c r="B256" s="294" t="s">
        <v>6</v>
      </c>
      <c r="C256" s="300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7"/>
      <c r="E256" s="277"/>
      <c r="F256" s="294" t="s">
        <v>19</v>
      </c>
      <c r="G256" s="295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92"/>
      <c r="I256" s="388" t="s">
        <v>68</v>
      </c>
      <c r="J256" s="389"/>
      <c r="K256" s="295">
        <f>G256</f>
        <v>0</v>
      </c>
      <c r="L256" s="303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4"/>
      <c r="V256" s="38"/>
      <c r="W256" s="64"/>
      <c r="X256" s="38"/>
      <c r="Y256" s="64"/>
      <c r="Z256" s="27"/>
    </row>
    <row r="257" spans="1:26" s="25" customFormat="1" ht="18" customHeight="1" x14ac:dyDescent="0.2">
      <c r="A257" s="279"/>
      <c r="B257" s="309" t="s">
        <v>66</v>
      </c>
      <c r="C257" s="300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15</v>
      </c>
      <c r="D257" s="277"/>
      <c r="E257" s="277"/>
      <c r="F257" s="309" t="s">
        <v>201</v>
      </c>
      <c r="G257" s="295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7"/>
      <c r="I257" s="393" t="s">
        <v>61</v>
      </c>
      <c r="J257" s="395"/>
      <c r="K257" s="234">
        <f>K255-K256</f>
        <v>55604.838709677424</v>
      </c>
      <c r="L257" s="304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4" t="str">
        <f>IF($J$1="September",Y256,"")</f>
        <v/>
      </c>
      <c r="V257" s="38"/>
      <c r="W257" s="64" t="str">
        <f t="shared" ref="W257:W258" si="56">IF(U257="","",U257+V257)</f>
        <v/>
      </c>
      <c r="X257" s="38"/>
      <c r="Y257" s="64" t="str">
        <f t="shared" ref="Y257:Y258" si="57">IF(W257="","",W257-X257)</f>
        <v/>
      </c>
      <c r="Z257" s="40"/>
    </row>
    <row r="258" spans="1:26" s="25" customFormat="1" ht="18" customHeight="1" x14ac:dyDescent="0.2">
      <c r="A258" s="279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91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4" t="str">
        <f>IF($J$1="October",Y257,"")</f>
        <v/>
      </c>
      <c r="V258" s="38"/>
      <c r="W258" s="64" t="str">
        <f t="shared" si="56"/>
        <v/>
      </c>
      <c r="X258" s="38"/>
      <c r="Y258" s="64" t="str">
        <f t="shared" si="57"/>
        <v/>
      </c>
      <c r="Z258" s="40"/>
    </row>
    <row r="259" spans="1:26" s="25" customFormat="1" ht="18" customHeight="1" x14ac:dyDescent="0.3">
      <c r="A259" s="279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91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4"/>
      <c r="V259" s="38"/>
      <c r="W259" s="64"/>
      <c r="X259" s="38"/>
      <c r="Y259" s="64"/>
      <c r="Z259" s="27"/>
    </row>
    <row r="260" spans="1:26" s="25" customFormat="1" ht="18" customHeight="1" thickBot="1" x14ac:dyDescent="0.35">
      <c r="A260" s="305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7"/>
      <c r="N260" s="35"/>
      <c r="O260" s="36" t="s">
        <v>56</v>
      </c>
      <c r="P260" s="36"/>
      <c r="Q260" s="36"/>
      <c r="R260" s="36" t="str">
        <f t="shared" ref="R260" si="58">IF(Q260="","",R259-Q260)</f>
        <v/>
      </c>
      <c r="S260" s="27"/>
      <c r="T260" s="36" t="s">
        <v>56</v>
      </c>
      <c r="U260" s="64"/>
      <c r="V260" s="38"/>
      <c r="W260" s="64"/>
      <c r="X260" s="38"/>
      <c r="Y260" s="64"/>
      <c r="Z260" s="27"/>
    </row>
    <row r="261" spans="1:26" s="57" customFormat="1" ht="18" customHeight="1" thickBot="1" x14ac:dyDescent="0.25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s="25" customFormat="1" ht="18" customHeight="1" thickBot="1" x14ac:dyDescent="0.25">
      <c r="A262" s="390" t="s">
        <v>38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2"/>
      <c r="M262" s="24"/>
      <c r="N262" s="28"/>
      <c r="O262" s="385" t="s">
        <v>40</v>
      </c>
      <c r="P262" s="386"/>
      <c r="Q262" s="386"/>
      <c r="R262" s="387"/>
      <c r="S262" s="29"/>
      <c r="T262" s="385" t="s">
        <v>41</v>
      </c>
      <c r="U262" s="386"/>
      <c r="V262" s="386"/>
      <c r="W262" s="386"/>
      <c r="X262" s="386"/>
      <c r="Y262" s="387"/>
      <c r="Z262" s="30"/>
    </row>
    <row r="263" spans="1:26" s="25" customFormat="1" ht="18" customHeight="1" x14ac:dyDescent="0.2">
      <c r="A263" s="279"/>
      <c r="B263" s="277"/>
      <c r="C263" s="396" t="s">
        <v>212</v>
      </c>
      <c r="D263" s="396"/>
      <c r="E263" s="396"/>
      <c r="F263" s="396"/>
      <c r="G263" s="280" t="str">
        <f>$J$1</f>
        <v>January</v>
      </c>
      <c r="H263" s="399">
        <f>$K$1</f>
        <v>2024</v>
      </c>
      <c r="I263" s="399"/>
      <c r="J263" s="277"/>
      <c r="K263" s="281"/>
      <c r="L263" s="282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9"/>
      <c r="B264" s="277"/>
      <c r="C264" s="277"/>
      <c r="D264" s="283"/>
      <c r="E264" s="283"/>
      <c r="F264" s="283"/>
      <c r="G264" s="283"/>
      <c r="H264" s="283"/>
      <c r="I264" s="277"/>
      <c r="J264" s="284" t="s">
        <v>1</v>
      </c>
      <c r="K264" s="285">
        <v>35000</v>
      </c>
      <c r="L264" s="286"/>
      <c r="N264" s="35"/>
      <c r="O264" s="36" t="s">
        <v>43</v>
      </c>
      <c r="P264" s="36"/>
      <c r="Q264" s="36"/>
      <c r="R264" s="36"/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9"/>
      <c r="B265" s="277" t="s">
        <v>0</v>
      </c>
      <c r="C265" s="276" t="s">
        <v>198</v>
      </c>
      <c r="D265" s="277"/>
      <c r="E265" s="277"/>
      <c r="F265" s="277"/>
      <c r="G265" s="277"/>
      <c r="H265" s="287"/>
      <c r="I265" s="283"/>
      <c r="J265" s="277"/>
      <c r="K265" s="277"/>
      <c r="L265" s="288"/>
      <c r="M265" s="24"/>
      <c r="N265" s="39"/>
      <c r="O265" s="36" t="s">
        <v>69</v>
      </c>
      <c r="P265" s="36"/>
      <c r="Q265" s="36"/>
      <c r="R265" s="36" t="str">
        <f t="shared" ref="R265:R268" si="59">IF(Q265="","",R264-Q265)</f>
        <v/>
      </c>
      <c r="S265" s="27"/>
      <c r="T265" s="36" t="s">
        <v>69</v>
      </c>
      <c r="U265" s="64">
        <f t="shared" ref="U265:U271" si="60">Y264</f>
        <v>0</v>
      </c>
      <c r="V265" s="38"/>
      <c r="W265" s="64">
        <f>IF(U265="","",U265+V265)</f>
        <v>0</v>
      </c>
      <c r="X265" s="38"/>
      <c r="Y265" s="64">
        <f>IF(W265="","",W265-X265)</f>
        <v>0</v>
      </c>
      <c r="Z265" s="40"/>
    </row>
    <row r="266" spans="1:26" s="25" customFormat="1" ht="18" customHeight="1" x14ac:dyDescent="0.2">
      <c r="A266" s="279"/>
      <c r="B266" s="289" t="s">
        <v>39</v>
      </c>
      <c r="C266" s="290"/>
      <c r="D266" s="277"/>
      <c r="E266" s="277"/>
      <c r="F266" s="393" t="s">
        <v>41</v>
      </c>
      <c r="G266" s="395"/>
      <c r="H266" s="277"/>
      <c r="I266" s="393" t="s">
        <v>42</v>
      </c>
      <c r="J266" s="394"/>
      <c r="K266" s="395"/>
      <c r="L266" s="291"/>
      <c r="N266" s="35"/>
      <c r="O266" s="36" t="s">
        <v>44</v>
      </c>
      <c r="P266" s="36"/>
      <c r="Q266" s="36"/>
      <c r="R266" s="36" t="str">
        <f t="shared" si="59"/>
        <v/>
      </c>
      <c r="S266" s="27"/>
      <c r="T266" s="36" t="s">
        <v>44</v>
      </c>
      <c r="U266" s="64">
        <f t="shared" si="60"/>
        <v>0</v>
      </c>
      <c r="V266" s="38"/>
      <c r="W266" s="64">
        <f t="shared" ref="W266:W275" si="61">IF(U266="","",U266+V266)</f>
        <v>0</v>
      </c>
      <c r="X266" s="38"/>
      <c r="Y266" s="64">
        <f t="shared" ref="Y266:Y275" si="62">IF(W266="","",W266-X266)</f>
        <v>0</v>
      </c>
      <c r="Z266" s="40"/>
    </row>
    <row r="267" spans="1:26" s="25" customFormat="1" ht="18" customHeight="1" x14ac:dyDescent="0.2">
      <c r="A267" s="279"/>
      <c r="B267" s="277"/>
      <c r="C267" s="277"/>
      <c r="D267" s="277"/>
      <c r="E267" s="277"/>
      <c r="F267" s="277"/>
      <c r="G267" s="277"/>
      <c r="H267" s="292"/>
      <c r="I267" s="277"/>
      <c r="J267" s="277"/>
      <c r="K267" s="277"/>
      <c r="L267" s="293"/>
      <c r="N267" s="35"/>
      <c r="O267" s="36" t="s">
        <v>45</v>
      </c>
      <c r="P267" s="36"/>
      <c r="Q267" s="36"/>
      <c r="R267" s="36" t="str">
        <f t="shared" si="59"/>
        <v/>
      </c>
      <c r="S267" s="27"/>
      <c r="T267" s="36" t="s">
        <v>45</v>
      </c>
      <c r="U267" s="64">
        <f>Y266</f>
        <v>0</v>
      </c>
      <c r="V267" s="38"/>
      <c r="W267" s="64">
        <f t="shared" si="61"/>
        <v>0</v>
      </c>
      <c r="X267" s="38"/>
      <c r="Y267" s="64">
        <f t="shared" si="62"/>
        <v>0</v>
      </c>
      <c r="Z267" s="40"/>
    </row>
    <row r="268" spans="1:26" s="25" customFormat="1" ht="18" customHeight="1" x14ac:dyDescent="0.2">
      <c r="A268" s="279"/>
      <c r="B268" s="397" t="s">
        <v>40</v>
      </c>
      <c r="C268" s="398"/>
      <c r="D268" s="277"/>
      <c r="E268" s="277"/>
      <c r="F268" s="294" t="s">
        <v>62</v>
      </c>
      <c r="G268" s="295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92"/>
      <c r="I268" s="296">
        <f>IF(C272&gt;=C271,$K$2,C270+C272)</f>
        <v>31</v>
      </c>
      <c r="J268" s="297" t="s">
        <v>59</v>
      </c>
      <c r="K268" s="298">
        <f>K264/$K$2*I268</f>
        <v>35000</v>
      </c>
      <c r="L268" s="299"/>
      <c r="N268" s="35"/>
      <c r="O268" s="36" t="s">
        <v>46</v>
      </c>
      <c r="P268" s="36"/>
      <c r="Q268" s="36"/>
      <c r="R268" s="36" t="str">
        <f t="shared" si="59"/>
        <v/>
      </c>
      <c r="S268" s="27"/>
      <c r="T268" s="36" t="s">
        <v>46</v>
      </c>
      <c r="U268" s="64">
        <v>0</v>
      </c>
      <c r="V268" s="38"/>
      <c r="W268" s="64">
        <f t="shared" si="61"/>
        <v>0</v>
      </c>
      <c r="X268" s="38"/>
      <c r="Y268" s="64">
        <f t="shared" si="62"/>
        <v>0</v>
      </c>
      <c r="Z268" s="40"/>
    </row>
    <row r="269" spans="1:26" s="25" customFormat="1" ht="18" customHeight="1" x14ac:dyDescent="0.2">
      <c r="A269" s="279"/>
      <c r="B269" s="300"/>
      <c r="C269" s="300"/>
      <c r="D269" s="277"/>
      <c r="E269" s="277"/>
      <c r="F269" s="294" t="s">
        <v>18</v>
      </c>
      <c r="G269" s="295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92"/>
      <c r="I269" s="296">
        <v>84</v>
      </c>
      <c r="J269" s="297" t="s">
        <v>60</v>
      </c>
      <c r="K269" s="301">
        <f>K264/$K$2/8*I269</f>
        <v>11854.838709677419</v>
      </c>
      <c r="L269" s="302"/>
      <c r="N269" s="35"/>
      <c r="O269" s="36" t="s">
        <v>47</v>
      </c>
      <c r="P269" s="443"/>
      <c r="Q269" s="443"/>
      <c r="R269" s="36">
        <v>0</v>
      </c>
      <c r="S269" s="27"/>
      <c r="T269" s="36" t="s">
        <v>47</v>
      </c>
      <c r="U269" s="64">
        <f t="shared" si="60"/>
        <v>0</v>
      </c>
      <c r="V269" s="38"/>
      <c r="W269" s="64">
        <f t="shared" si="61"/>
        <v>0</v>
      </c>
      <c r="X269" s="38"/>
      <c r="Y269" s="64">
        <f t="shared" si="62"/>
        <v>0</v>
      </c>
      <c r="Z269" s="40"/>
    </row>
    <row r="270" spans="1:26" s="25" customFormat="1" ht="18" customHeight="1" x14ac:dyDescent="0.2">
      <c r="A270" s="279"/>
      <c r="B270" s="294" t="s">
        <v>7</v>
      </c>
      <c r="C270" s="300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0</v>
      </c>
      <c r="D270" s="277"/>
      <c r="E270" s="277"/>
      <c r="F270" s="294" t="s">
        <v>63</v>
      </c>
      <c r="G270" s="295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92"/>
      <c r="I270" s="388" t="s">
        <v>67</v>
      </c>
      <c r="J270" s="389"/>
      <c r="K270" s="301">
        <f>K268+K269</f>
        <v>46854.838709677417</v>
      </c>
      <c r="L270" s="302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4">
        <f t="shared" si="60"/>
        <v>0</v>
      </c>
      <c r="V270" s="38"/>
      <c r="W270" s="64">
        <f t="shared" si="61"/>
        <v>0</v>
      </c>
      <c r="X270" s="38"/>
      <c r="Y270" s="64">
        <f t="shared" si="62"/>
        <v>0</v>
      </c>
      <c r="Z270" s="40"/>
    </row>
    <row r="271" spans="1:26" s="25" customFormat="1" ht="18" customHeight="1" x14ac:dyDescent="0.2">
      <c r="A271" s="279"/>
      <c r="B271" s="294" t="s">
        <v>6</v>
      </c>
      <c r="C271" s="300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7"/>
      <c r="E271" s="277"/>
      <c r="F271" s="294" t="s">
        <v>19</v>
      </c>
      <c r="G271" s="295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92"/>
      <c r="I271" s="388" t="s">
        <v>68</v>
      </c>
      <c r="J271" s="389"/>
      <c r="K271" s="295">
        <f>G271</f>
        <v>0</v>
      </c>
      <c r="L271" s="303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4">
        <f t="shared" si="60"/>
        <v>0</v>
      </c>
      <c r="V271" s="38"/>
      <c r="W271" s="64">
        <f t="shared" si="61"/>
        <v>0</v>
      </c>
      <c r="X271" s="38"/>
      <c r="Y271" s="64">
        <f t="shared" si="62"/>
        <v>0</v>
      </c>
      <c r="Z271" s="40"/>
    </row>
    <row r="272" spans="1:26" s="25" customFormat="1" ht="18" customHeight="1" x14ac:dyDescent="0.2">
      <c r="A272" s="279"/>
      <c r="B272" s="309" t="s">
        <v>66</v>
      </c>
      <c r="C272" s="300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7"/>
      <c r="E272" s="277"/>
      <c r="F272" s="309" t="s">
        <v>201</v>
      </c>
      <c r="G272" s="295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7"/>
      <c r="I272" s="393" t="s">
        <v>61</v>
      </c>
      <c r="J272" s="395"/>
      <c r="K272" s="234">
        <f>K270-K271</f>
        <v>46854.838709677417</v>
      </c>
      <c r="L272" s="304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4">
        <f>Y271</f>
        <v>0</v>
      </c>
      <c r="V272" s="38"/>
      <c r="W272" s="64">
        <f t="shared" si="61"/>
        <v>0</v>
      </c>
      <c r="X272" s="38"/>
      <c r="Y272" s="64">
        <f t="shared" si="62"/>
        <v>0</v>
      </c>
      <c r="Z272" s="40"/>
    </row>
    <row r="273" spans="1:27" s="25" customFormat="1" ht="18" customHeight="1" x14ac:dyDescent="0.2">
      <c r="A273" s="279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91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4">
        <f>Y272</f>
        <v>0</v>
      </c>
      <c r="V273" s="38"/>
      <c r="W273" s="64">
        <f t="shared" si="61"/>
        <v>0</v>
      </c>
      <c r="X273" s="38"/>
      <c r="Y273" s="64">
        <f t="shared" si="62"/>
        <v>0</v>
      </c>
      <c r="Z273" s="40"/>
    </row>
    <row r="274" spans="1:27" s="25" customFormat="1" ht="18" customHeight="1" x14ac:dyDescent="0.3">
      <c r="A274" s="279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91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4">
        <f>Y273</f>
        <v>0</v>
      </c>
      <c r="V274" s="38"/>
      <c r="W274" s="64">
        <f t="shared" si="61"/>
        <v>0</v>
      </c>
      <c r="X274" s="38"/>
      <c r="Y274" s="64">
        <f t="shared" si="62"/>
        <v>0</v>
      </c>
      <c r="Z274" s="40"/>
    </row>
    <row r="275" spans="1:27" s="25" customFormat="1" ht="18" customHeight="1" thickBot="1" x14ac:dyDescent="0.35">
      <c r="A275" s="305"/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7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4">
        <f>Y274</f>
        <v>0</v>
      </c>
      <c r="V275" s="38"/>
      <c r="W275" s="64">
        <f t="shared" si="61"/>
        <v>0</v>
      </c>
      <c r="X275" s="38"/>
      <c r="Y275" s="64">
        <f t="shared" si="62"/>
        <v>0</v>
      </c>
      <c r="Z275" s="40"/>
    </row>
    <row r="276" spans="1:27" s="57" customFormat="1" ht="18" customHeight="1" thickBot="1" x14ac:dyDescent="0.25">
      <c r="A276" s="308"/>
      <c r="B276" s="308"/>
      <c r="C276" s="308"/>
      <c r="D276" s="308"/>
      <c r="E276" s="308"/>
      <c r="F276" s="308"/>
      <c r="G276" s="308"/>
      <c r="H276" s="308"/>
      <c r="I276" s="308"/>
      <c r="J276" s="308"/>
      <c r="K276" s="308"/>
      <c r="L276" s="30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7" s="25" customFormat="1" ht="18" customHeight="1" thickBot="1" x14ac:dyDescent="0.25">
      <c r="A277" s="390" t="s">
        <v>38</v>
      </c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2"/>
      <c r="M277" s="24"/>
      <c r="N277" s="28"/>
      <c r="O277" s="385" t="s">
        <v>40</v>
      </c>
      <c r="P277" s="386"/>
      <c r="Q277" s="386"/>
      <c r="R277" s="387"/>
      <c r="S277" s="29"/>
      <c r="T277" s="385" t="s">
        <v>41</v>
      </c>
      <c r="U277" s="386"/>
      <c r="V277" s="386"/>
      <c r="W277" s="386"/>
      <c r="X277" s="386"/>
      <c r="Y277" s="387"/>
      <c r="Z277" s="30"/>
      <c r="AA277" s="24"/>
    </row>
    <row r="278" spans="1:27" s="25" customFormat="1" ht="18" customHeight="1" x14ac:dyDescent="0.2">
      <c r="A278" s="279"/>
      <c r="B278" s="277"/>
      <c r="C278" s="396" t="s">
        <v>212</v>
      </c>
      <c r="D278" s="396"/>
      <c r="E278" s="396"/>
      <c r="F278" s="396"/>
      <c r="G278" s="280" t="str">
        <f>$J$1</f>
        <v>January</v>
      </c>
      <c r="H278" s="399">
        <f>$K$1</f>
        <v>2024</v>
      </c>
      <c r="I278" s="399"/>
      <c r="J278" s="277"/>
      <c r="K278" s="281"/>
      <c r="L278" s="282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9"/>
      <c r="B279" s="277"/>
      <c r="C279" s="277"/>
      <c r="D279" s="283"/>
      <c r="E279" s="283"/>
      <c r="F279" s="283"/>
      <c r="G279" s="283"/>
      <c r="H279" s="283"/>
      <c r="I279" s="277"/>
      <c r="J279" s="284" t="s">
        <v>1</v>
      </c>
      <c r="K279" s="285">
        <f>32000+3000</f>
        <v>35000</v>
      </c>
      <c r="L279" s="286"/>
      <c r="N279" s="35"/>
      <c r="O279" s="36" t="s">
        <v>43</v>
      </c>
      <c r="P279" s="36"/>
      <c r="Q279" s="36"/>
      <c r="R279" s="36">
        <v>9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/>
      <c r="Y279" s="38">
        <f>W279-X279</f>
        <v>61870</v>
      </c>
      <c r="Z279" s="34"/>
    </row>
    <row r="280" spans="1:27" s="25" customFormat="1" ht="18" customHeight="1" x14ac:dyDescent="0.2">
      <c r="A280" s="279"/>
      <c r="B280" s="277" t="s">
        <v>0</v>
      </c>
      <c r="C280" s="276" t="s">
        <v>152</v>
      </c>
      <c r="D280" s="277"/>
      <c r="E280" s="277"/>
      <c r="F280" s="277"/>
      <c r="G280" s="277"/>
      <c r="H280" s="287"/>
      <c r="I280" s="283"/>
      <c r="J280" s="277"/>
      <c r="K280" s="277"/>
      <c r="L280" s="288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4"/>
      <c r="V280" s="38"/>
      <c r="W280" s="64" t="str">
        <f>IF(U280="","",U280+V280)</f>
        <v/>
      </c>
      <c r="X280" s="38"/>
      <c r="Y280" s="64" t="str">
        <f>IF(W280="","",W280-X280)</f>
        <v/>
      </c>
      <c r="Z280" s="40"/>
      <c r="AA280" s="24"/>
    </row>
    <row r="281" spans="1:27" s="25" customFormat="1" ht="18" customHeight="1" x14ac:dyDescent="0.2">
      <c r="A281" s="279"/>
      <c r="B281" s="289" t="s">
        <v>39</v>
      </c>
      <c r="C281" s="290"/>
      <c r="D281" s="277"/>
      <c r="E281" s="277"/>
      <c r="F281" s="393" t="s">
        <v>41</v>
      </c>
      <c r="G281" s="395"/>
      <c r="H281" s="277"/>
      <c r="I281" s="393" t="s">
        <v>42</v>
      </c>
      <c r="J281" s="394"/>
      <c r="K281" s="395"/>
      <c r="L281" s="291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4"/>
      <c r="V281" s="38"/>
      <c r="W281" s="64" t="str">
        <f t="shared" ref="W281:W288" si="63">IF(U281="","",U281+V281)</f>
        <v/>
      </c>
      <c r="X281" s="38"/>
      <c r="Y281" s="64" t="str">
        <f t="shared" ref="Y281:Y288" si="64">IF(W281="","",W281-X281)</f>
        <v/>
      </c>
      <c r="Z281" s="40"/>
    </row>
    <row r="282" spans="1:27" s="25" customFormat="1" ht="18" customHeight="1" x14ac:dyDescent="0.2">
      <c r="A282" s="279"/>
      <c r="B282" s="277"/>
      <c r="C282" s="277"/>
      <c r="D282" s="277"/>
      <c r="E282" s="277"/>
      <c r="F282" s="277"/>
      <c r="G282" s="277"/>
      <c r="H282" s="292"/>
      <c r="I282" s="277"/>
      <c r="J282" s="277"/>
      <c r="K282" s="277"/>
      <c r="L282" s="293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4"/>
      <c r="V282" s="38"/>
      <c r="W282" s="64" t="str">
        <f t="shared" si="63"/>
        <v/>
      </c>
      <c r="X282" s="38"/>
      <c r="Y282" s="64" t="str">
        <f t="shared" si="64"/>
        <v/>
      </c>
      <c r="Z282" s="40"/>
    </row>
    <row r="283" spans="1:27" s="25" customFormat="1" ht="18" customHeight="1" x14ac:dyDescent="0.2">
      <c r="A283" s="279"/>
      <c r="B283" s="397" t="s">
        <v>40</v>
      </c>
      <c r="C283" s="398"/>
      <c r="D283" s="277"/>
      <c r="E283" s="277"/>
      <c r="F283" s="294" t="s">
        <v>62</v>
      </c>
      <c r="G283" s="29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61870</v>
      </c>
      <c r="H283" s="292"/>
      <c r="I283" s="296">
        <f>IF(C287&gt;=C286,$K$2,C285+C287)</f>
        <v>31</v>
      </c>
      <c r="J283" s="297" t="s">
        <v>59</v>
      </c>
      <c r="K283" s="298">
        <f>K279/$K$2*I283</f>
        <v>35000</v>
      </c>
      <c r="L283" s="299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4"/>
      <c r="V283" s="38"/>
      <c r="W283" s="64" t="str">
        <f t="shared" si="63"/>
        <v/>
      </c>
      <c r="X283" s="38"/>
      <c r="Y283" s="64" t="str">
        <f t="shared" si="64"/>
        <v/>
      </c>
      <c r="Z283" s="40"/>
    </row>
    <row r="284" spans="1:27" s="25" customFormat="1" ht="18" customHeight="1" x14ac:dyDescent="0.2">
      <c r="A284" s="279"/>
      <c r="B284" s="300"/>
      <c r="C284" s="300"/>
      <c r="D284" s="277"/>
      <c r="E284" s="277"/>
      <c r="F284" s="294" t="s">
        <v>18</v>
      </c>
      <c r="G284" s="29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92"/>
      <c r="I284" s="314">
        <v>10</v>
      </c>
      <c r="J284" s="297" t="s">
        <v>60</v>
      </c>
      <c r="K284" s="301">
        <f>K279/$K$2/8*I284</f>
        <v>1411.2903225806451</v>
      </c>
      <c r="L284" s="302"/>
      <c r="N284" s="35"/>
      <c r="O284" s="36" t="s">
        <v>47</v>
      </c>
      <c r="P284" s="36"/>
      <c r="Q284" s="36"/>
      <c r="R284" s="36">
        <v>0</v>
      </c>
      <c r="S284" s="27"/>
      <c r="T284" s="36" t="s">
        <v>47</v>
      </c>
      <c r="U284" s="64"/>
      <c r="V284" s="38"/>
      <c r="W284" s="64" t="str">
        <f t="shared" si="63"/>
        <v/>
      </c>
      <c r="X284" s="38"/>
      <c r="Y284" s="64" t="str">
        <f t="shared" si="64"/>
        <v/>
      </c>
      <c r="Z284" s="40"/>
    </row>
    <row r="285" spans="1:27" s="25" customFormat="1" ht="18" customHeight="1" x14ac:dyDescent="0.2">
      <c r="A285" s="279"/>
      <c r="B285" s="294" t="s">
        <v>7</v>
      </c>
      <c r="C285" s="30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0</v>
      </c>
      <c r="D285" s="277"/>
      <c r="E285" s="277"/>
      <c r="F285" s="294" t="s">
        <v>63</v>
      </c>
      <c r="G285" s="29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61870</v>
      </c>
      <c r="H285" s="292"/>
      <c r="I285" s="388" t="s">
        <v>67</v>
      </c>
      <c r="J285" s="389"/>
      <c r="K285" s="301">
        <f>K283+K284</f>
        <v>36411.290322580644</v>
      </c>
      <c r="L285" s="302"/>
      <c r="N285" s="35"/>
      <c r="O285" s="36" t="s">
        <v>48</v>
      </c>
      <c r="P285" s="36"/>
      <c r="Q285" s="36"/>
      <c r="R285" s="36">
        <v>0</v>
      </c>
      <c r="S285" s="27"/>
      <c r="T285" s="36" t="s">
        <v>48</v>
      </c>
      <c r="U285" s="64"/>
      <c r="V285" s="38"/>
      <c r="W285" s="64" t="str">
        <f t="shared" si="63"/>
        <v/>
      </c>
      <c r="X285" s="38"/>
      <c r="Y285" s="64" t="str">
        <f t="shared" si="64"/>
        <v/>
      </c>
      <c r="Z285" s="40"/>
    </row>
    <row r="286" spans="1:27" s="25" customFormat="1" ht="18" customHeight="1" x14ac:dyDescent="0.2">
      <c r="A286" s="279"/>
      <c r="B286" s="294" t="s">
        <v>6</v>
      </c>
      <c r="C286" s="30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277"/>
      <c r="E286" s="277"/>
      <c r="F286" s="294" t="s">
        <v>19</v>
      </c>
      <c r="G286" s="29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292"/>
      <c r="I286" s="388" t="s">
        <v>68</v>
      </c>
      <c r="J286" s="389"/>
      <c r="K286" s="295">
        <f>G286</f>
        <v>0</v>
      </c>
      <c r="L286" s="303"/>
      <c r="N286" s="35"/>
      <c r="O286" s="36" t="s">
        <v>49</v>
      </c>
      <c r="P286" s="36"/>
      <c r="Q286" s="36"/>
      <c r="R286" s="36">
        <v>0</v>
      </c>
      <c r="S286" s="27"/>
      <c r="T286" s="36" t="s">
        <v>49</v>
      </c>
      <c r="U286" s="64"/>
      <c r="V286" s="38"/>
      <c r="W286" s="64" t="str">
        <f t="shared" si="63"/>
        <v/>
      </c>
      <c r="X286" s="38"/>
      <c r="Y286" s="64" t="str">
        <f t="shared" si="64"/>
        <v/>
      </c>
      <c r="Z286" s="40"/>
    </row>
    <row r="287" spans="1:27" s="25" customFormat="1" ht="18" customHeight="1" x14ac:dyDescent="0.2">
      <c r="A287" s="279"/>
      <c r="B287" s="309" t="s">
        <v>66</v>
      </c>
      <c r="C287" s="300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9</v>
      </c>
      <c r="D287" s="277"/>
      <c r="E287" s="277"/>
      <c r="F287" s="309" t="s">
        <v>201</v>
      </c>
      <c r="G287" s="295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61870</v>
      </c>
      <c r="H287" s="277"/>
      <c r="I287" s="393" t="s">
        <v>61</v>
      </c>
      <c r="J287" s="395"/>
      <c r="K287" s="234">
        <f>K285-K286</f>
        <v>36411.290322580644</v>
      </c>
      <c r="L287" s="304"/>
      <c r="N287" s="35"/>
      <c r="O287" s="36" t="s">
        <v>54</v>
      </c>
      <c r="P287" s="36"/>
      <c r="Q287" s="36"/>
      <c r="R287" s="36">
        <v>0</v>
      </c>
      <c r="S287" s="27"/>
      <c r="T287" s="36" t="s">
        <v>54</v>
      </c>
      <c r="U287" s="64"/>
      <c r="V287" s="38"/>
      <c r="W287" s="64" t="str">
        <f t="shared" si="63"/>
        <v/>
      </c>
      <c r="X287" s="38"/>
      <c r="Y287" s="64" t="str">
        <f t="shared" si="64"/>
        <v/>
      </c>
      <c r="Z287" s="40"/>
    </row>
    <row r="288" spans="1:27" s="25" customFormat="1" ht="18" customHeight="1" x14ac:dyDescent="0.2">
      <c r="A288" s="279"/>
      <c r="B288" s="277"/>
      <c r="C288" s="277"/>
      <c r="D288" s="277"/>
      <c r="E288" s="277"/>
      <c r="F288" s="277"/>
      <c r="G288" s="277"/>
      <c r="H288" s="277"/>
      <c r="I288" s="277"/>
      <c r="J288" s="311"/>
      <c r="K288" s="311"/>
      <c r="L288" s="291"/>
      <c r="N288" s="35"/>
      <c r="O288" s="36" t="s">
        <v>50</v>
      </c>
      <c r="P288" s="443"/>
      <c r="Q288" s="443"/>
      <c r="R288" s="36">
        <v>0</v>
      </c>
      <c r="S288" s="27"/>
      <c r="T288" s="36" t="s">
        <v>50</v>
      </c>
      <c r="U288" s="64"/>
      <c r="V288" s="38"/>
      <c r="W288" s="64" t="str">
        <f t="shared" si="63"/>
        <v/>
      </c>
      <c r="X288" s="38"/>
      <c r="Y288" s="64" t="str">
        <f t="shared" si="64"/>
        <v/>
      </c>
      <c r="Z288" s="40"/>
    </row>
    <row r="289" spans="1:27" s="25" customFormat="1" ht="18" customHeight="1" x14ac:dyDescent="0.3">
      <c r="A289" s="279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91"/>
      <c r="N289" s="35"/>
      <c r="O289" s="36" t="s">
        <v>55</v>
      </c>
      <c r="P289" s="36"/>
      <c r="Q289" s="36"/>
      <c r="R289" s="36">
        <v>0</v>
      </c>
      <c r="S289" s="27"/>
      <c r="T289" s="36" t="s">
        <v>55</v>
      </c>
      <c r="U289" s="64"/>
      <c r="V289" s="38"/>
      <c r="W289" s="64" t="str">
        <f t="shared" ref="W289:W290" si="65">IF(U289="","",U289+V289)</f>
        <v/>
      </c>
      <c r="X289" s="38"/>
      <c r="Y289" s="64" t="str">
        <f t="shared" ref="Y289:Y290" si="66">IF(W289="","",W289-X289)</f>
        <v/>
      </c>
      <c r="Z289" s="40"/>
    </row>
    <row r="290" spans="1:27" s="25" customFormat="1" ht="18" customHeight="1" thickBot="1" x14ac:dyDescent="0.35">
      <c r="A290" s="305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7"/>
      <c r="N290" s="35"/>
      <c r="O290" s="36" t="s">
        <v>56</v>
      </c>
      <c r="P290" s="36"/>
      <c r="Q290" s="36"/>
      <c r="R290" s="36">
        <v>0</v>
      </c>
      <c r="S290" s="27"/>
      <c r="T290" s="36" t="s">
        <v>56</v>
      </c>
      <c r="U290" s="64"/>
      <c r="V290" s="38"/>
      <c r="W290" s="64" t="str">
        <f t="shared" si="65"/>
        <v/>
      </c>
      <c r="X290" s="38"/>
      <c r="Y290" s="64" t="str">
        <f t="shared" si="66"/>
        <v/>
      </c>
      <c r="Z290" s="40"/>
    </row>
    <row r="291" spans="1:27" s="57" customFormat="1" ht="18" customHeight="1" thickBot="1" x14ac:dyDescent="0.2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7" s="25" customFormat="1" ht="18" customHeight="1" thickBot="1" x14ac:dyDescent="0.25">
      <c r="A292" s="390" t="s">
        <v>38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2"/>
      <c r="M292" s="24"/>
      <c r="N292" s="28"/>
      <c r="O292" s="385" t="s">
        <v>40</v>
      </c>
      <c r="P292" s="386"/>
      <c r="Q292" s="386"/>
      <c r="R292" s="387"/>
      <c r="S292" s="29"/>
      <c r="T292" s="385" t="s">
        <v>41</v>
      </c>
      <c r="U292" s="386"/>
      <c r="V292" s="386"/>
      <c r="W292" s="386"/>
      <c r="X292" s="386"/>
      <c r="Y292" s="387"/>
      <c r="Z292" s="30"/>
      <c r="AA292" s="24"/>
    </row>
    <row r="293" spans="1:27" s="25" customFormat="1" ht="18" customHeight="1" x14ac:dyDescent="0.2">
      <c r="A293" s="279"/>
      <c r="B293" s="277"/>
      <c r="C293" s="396" t="s">
        <v>212</v>
      </c>
      <c r="D293" s="396"/>
      <c r="E293" s="396"/>
      <c r="F293" s="396"/>
      <c r="G293" s="280" t="str">
        <f>$J$1</f>
        <v>January</v>
      </c>
      <c r="H293" s="399">
        <f>$K$1</f>
        <v>2024</v>
      </c>
      <c r="I293" s="399"/>
      <c r="J293" s="277"/>
      <c r="K293" s="281"/>
      <c r="L293" s="282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9"/>
      <c r="B294" s="277"/>
      <c r="C294" s="277"/>
      <c r="D294" s="283"/>
      <c r="E294" s="283"/>
      <c r="F294" s="283"/>
      <c r="G294" s="283"/>
      <c r="H294" s="283"/>
      <c r="I294" s="277"/>
      <c r="J294" s="284" t="s">
        <v>1</v>
      </c>
      <c r="K294" s="285">
        <f>45000+20000</f>
        <v>65000</v>
      </c>
      <c r="L294" s="286"/>
      <c r="N294" s="35"/>
      <c r="O294" s="36" t="s">
        <v>43</v>
      </c>
      <c r="P294" s="36"/>
      <c r="Q294" s="36"/>
      <c r="R294" s="36">
        <f>15-Q294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/>
      <c r="Y294" s="38">
        <f>W294-X294</f>
        <v>12000</v>
      </c>
      <c r="Z294" s="34"/>
    </row>
    <row r="295" spans="1:27" s="25" customFormat="1" ht="18" customHeight="1" x14ac:dyDescent="0.2">
      <c r="A295" s="279"/>
      <c r="B295" s="277" t="s">
        <v>0</v>
      </c>
      <c r="C295" s="276" t="s">
        <v>164</v>
      </c>
      <c r="D295" s="277"/>
      <c r="E295" s="277"/>
      <c r="F295" s="277"/>
      <c r="G295" s="277"/>
      <c r="H295" s="287"/>
      <c r="I295" s="283"/>
      <c r="J295" s="277"/>
      <c r="K295" s="277"/>
      <c r="L295" s="288"/>
      <c r="M295" s="24"/>
      <c r="N295" s="39"/>
      <c r="O295" s="36" t="s">
        <v>69</v>
      </c>
      <c r="P295" s="36"/>
      <c r="Q295" s="36"/>
      <c r="R295" s="36">
        <f>R294-Q295</f>
        <v>15</v>
      </c>
      <c r="S295" s="27"/>
      <c r="T295" s="36" t="s">
        <v>69</v>
      </c>
      <c r="U295" s="64"/>
      <c r="V295" s="38"/>
      <c r="W295" s="38">
        <f>V295+U295</f>
        <v>0</v>
      </c>
      <c r="X295" s="38"/>
      <c r="Y295" s="64">
        <f>IF(W295="","",W295-X295)</f>
        <v>0</v>
      </c>
      <c r="Z295" s="40"/>
      <c r="AA295" s="24"/>
    </row>
    <row r="296" spans="1:27" s="25" customFormat="1" ht="18" customHeight="1" x14ac:dyDescent="0.2">
      <c r="A296" s="279"/>
      <c r="B296" s="289" t="s">
        <v>39</v>
      </c>
      <c r="C296" s="290"/>
      <c r="D296" s="277"/>
      <c r="E296" s="277"/>
      <c r="F296" s="393" t="s">
        <v>41</v>
      </c>
      <c r="G296" s="395"/>
      <c r="H296" s="277"/>
      <c r="I296" s="393" t="s">
        <v>42</v>
      </c>
      <c r="J296" s="394"/>
      <c r="K296" s="395"/>
      <c r="L296" s="291"/>
      <c r="N296" s="35"/>
      <c r="O296" s="36" t="s">
        <v>44</v>
      </c>
      <c r="P296" s="36"/>
      <c r="Q296" s="36"/>
      <c r="R296" s="36">
        <f t="shared" ref="R296:R304" si="67">R295-Q296</f>
        <v>15</v>
      </c>
      <c r="S296" s="27"/>
      <c r="T296" s="36" t="s">
        <v>44</v>
      </c>
      <c r="U296" s="64"/>
      <c r="V296" s="38"/>
      <c r="W296" s="38">
        <f>V296+U296</f>
        <v>0</v>
      </c>
      <c r="X296" s="38"/>
      <c r="Y296" s="64">
        <f t="shared" ref="Y296:Y305" si="68">IF(W296="","",W296-X296)</f>
        <v>0</v>
      </c>
      <c r="Z296" s="40"/>
    </row>
    <row r="297" spans="1:27" s="25" customFormat="1" ht="18" customHeight="1" x14ac:dyDescent="0.2">
      <c r="A297" s="279"/>
      <c r="B297" s="277"/>
      <c r="C297" s="277"/>
      <c r="D297" s="277"/>
      <c r="E297" s="277"/>
      <c r="F297" s="277"/>
      <c r="G297" s="277"/>
      <c r="H297" s="292"/>
      <c r="I297" s="277"/>
      <c r="J297" s="277"/>
      <c r="K297" s="277"/>
      <c r="L297" s="293"/>
      <c r="N297" s="35"/>
      <c r="O297" s="36" t="s">
        <v>45</v>
      </c>
      <c r="P297" s="36"/>
      <c r="Q297" s="36"/>
      <c r="R297" s="36">
        <f t="shared" si="67"/>
        <v>15</v>
      </c>
      <c r="S297" s="27"/>
      <c r="T297" s="36" t="s">
        <v>45</v>
      </c>
      <c r="U297" s="64"/>
      <c r="V297" s="38"/>
      <c r="W297" s="64" t="str">
        <f t="shared" ref="W297:W305" si="69">IF(U297="","",U297+V297)</f>
        <v/>
      </c>
      <c r="X297" s="38"/>
      <c r="Y297" s="64" t="str">
        <f t="shared" si="68"/>
        <v/>
      </c>
      <c r="Z297" s="40"/>
    </row>
    <row r="298" spans="1:27" s="25" customFormat="1" ht="18" customHeight="1" x14ac:dyDescent="0.2">
      <c r="A298" s="279"/>
      <c r="B298" s="397" t="s">
        <v>40</v>
      </c>
      <c r="C298" s="398"/>
      <c r="D298" s="277"/>
      <c r="E298" s="277"/>
      <c r="F298" s="294" t="s">
        <v>62</v>
      </c>
      <c r="G298" s="29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92"/>
      <c r="I298" s="341">
        <f>IF(C302&gt;=C301,$K$2,C300+C302)+5</f>
        <v>36</v>
      </c>
      <c r="J298" s="297" t="s">
        <v>59</v>
      </c>
      <c r="K298" s="298">
        <f>K294/$K$2*I298</f>
        <v>75483.870967741939</v>
      </c>
      <c r="L298" s="299"/>
      <c r="N298" s="35"/>
      <c r="O298" s="36" t="s">
        <v>46</v>
      </c>
      <c r="P298" s="36"/>
      <c r="Q298" s="36"/>
      <c r="R298" s="36">
        <f t="shared" si="67"/>
        <v>15</v>
      </c>
      <c r="S298" s="27"/>
      <c r="T298" s="36" t="s">
        <v>46</v>
      </c>
      <c r="U298" s="64"/>
      <c r="V298" s="38"/>
      <c r="W298" s="64" t="str">
        <f>IF(U298="","",U298+V298)</f>
        <v/>
      </c>
      <c r="X298" s="38"/>
      <c r="Y298" s="64" t="str">
        <f t="shared" si="68"/>
        <v/>
      </c>
      <c r="Z298" s="40"/>
    </row>
    <row r="299" spans="1:27" s="25" customFormat="1" ht="18" customHeight="1" x14ac:dyDescent="0.2">
      <c r="A299" s="279"/>
      <c r="B299" s="300"/>
      <c r="C299" s="300"/>
      <c r="D299" s="277"/>
      <c r="E299" s="277"/>
      <c r="F299" s="294" t="s">
        <v>18</v>
      </c>
      <c r="G299" s="29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92"/>
      <c r="I299" s="314"/>
      <c r="J299" s="297" t="s">
        <v>60</v>
      </c>
      <c r="K299" s="301">
        <f>K294/$K$2/8*I299</f>
        <v>0</v>
      </c>
      <c r="L299" s="302"/>
      <c r="N299" s="35"/>
      <c r="O299" s="36" t="s">
        <v>47</v>
      </c>
      <c r="P299" s="36"/>
      <c r="Q299" s="36"/>
      <c r="R299" s="36">
        <f t="shared" si="67"/>
        <v>15</v>
      </c>
      <c r="S299" s="27"/>
      <c r="T299" s="36" t="s">
        <v>47</v>
      </c>
      <c r="U299" s="64"/>
      <c r="V299" s="38"/>
      <c r="W299" s="38">
        <f>V299</f>
        <v>0</v>
      </c>
      <c r="X299" s="38"/>
      <c r="Y299" s="64">
        <f t="shared" si="68"/>
        <v>0</v>
      </c>
      <c r="Z299" s="40"/>
    </row>
    <row r="300" spans="1:27" s="25" customFormat="1" ht="18" customHeight="1" x14ac:dyDescent="0.2">
      <c r="A300" s="279"/>
      <c r="B300" s="294" t="s">
        <v>7</v>
      </c>
      <c r="C300" s="30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277"/>
      <c r="E300" s="277"/>
      <c r="F300" s="294" t="s">
        <v>63</v>
      </c>
      <c r="G300" s="29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12000</v>
      </c>
      <c r="H300" s="292"/>
      <c r="I300" s="388" t="s">
        <v>67</v>
      </c>
      <c r="J300" s="389"/>
      <c r="K300" s="301">
        <f>K298+K299</f>
        <v>75483.870967741939</v>
      </c>
      <c r="L300" s="302"/>
      <c r="N300" s="35"/>
      <c r="O300" s="36" t="s">
        <v>48</v>
      </c>
      <c r="P300" s="36"/>
      <c r="Q300" s="36"/>
      <c r="R300" s="36">
        <f t="shared" si="67"/>
        <v>15</v>
      </c>
      <c r="S300" s="27"/>
      <c r="T300" s="36" t="s">
        <v>48</v>
      </c>
      <c r="U300" s="64"/>
      <c r="V300" s="38"/>
      <c r="W300" s="64" t="str">
        <f t="shared" si="69"/>
        <v/>
      </c>
      <c r="X300" s="38"/>
      <c r="Y300" s="64" t="str">
        <f t="shared" si="68"/>
        <v/>
      </c>
      <c r="Z300" s="40"/>
    </row>
    <row r="301" spans="1:27" s="25" customFormat="1" ht="18" customHeight="1" x14ac:dyDescent="0.2">
      <c r="A301" s="279"/>
      <c r="B301" s="294" t="s">
        <v>6</v>
      </c>
      <c r="C301" s="30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77"/>
      <c r="E301" s="277"/>
      <c r="F301" s="294" t="s">
        <v>19</v>
      </c>
      <c r="G301" s="29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92"/>
      <c r="I301" s="388" t="s">
        <v>68</v>
      </c>
      <c r="J301" s="389"/>
      <c r="K301" s="295">
        <f>G301</f>
        <v>0</v>
      </c>
      <c r="L301" s="303"/>
      <c r="N301" s="35"/>
      <c r="O301" s="36" t="s">
        <v>49</v>
      </c>
      <c r="P301" s="36"/>
      <c r="Q301" s="36"/>
      <c r="R301" s="36">
        <f t="shared" si="67"/>
        <v>15</v>
      </c>
      <c r="S301" s="27"/>
      <c r="T301" s="36" t="s">
        <v>49</v>
      </c>
      <c r="U301" s="64" t="str">
        <f t="shared" ref="U301" si="70">Y300</f>
        <v/>
      </c>
      <c r="V301" s="38"/>
      <c r="W301" s="64" t="str">
        <f t="shared" si="69"/>
        <v/>
      </c>
      <c r="X301" s="38"/>
      <c r="Y301" s="64" t="str">
        <f t="shared" si="68"/>
        <v/>
      </c>
      <c r="Z301" s="40"/>
    </row>
    <row r="302" spans="1:27" s="25" customFormat="1" ht="18" customHeight="1" x14ac:dyDescent="0.2">
      <c r="A302" s="279"/>
      <c r="B302" s="309" t="s">
        <v>66</v>
      </c>
      <c r="C302" s="300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7"/>
      <c r="E302" s="277"/>
      <c r="F302" s="309" t="s">
        <v>201</v>
      </c>
      <c r="G302" s="295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7"/>
      <c r="I302" s="393" t="s">
        <v>61</v>
      </c>
      <c r="J302" s="395"/>
      <c r="K302" s="234">
        <f>K300-K301</f>
        <v>75483.870967741939</v>
      </c>
      <c r="L302" s="304"/>
      <c r="N302" s="35"/>
      <c r="O302" s="36" t="s">
        <v>54</v>
      </c>
      <c r="P302" s="36"/>
      <c r="Q302" s="36"/>
      <c r="R302" s="36">
        <f t="shared" si="67"/>
        <v>15</v>
      </c>
      <c r="S302" s="27"/>
      <c r="T302" s="36" t="s">
        <v>54</v>
      </c>
      <c r="U302" s="64" t="str">
        <f>Y301</f>
        <v/>
      </c>
      <c r="V302" s="38"/>
      <c r="W302" s="64" t="str">
        <f t="shared" ref="W302:W303" si="71">IF(U302="","",U302+V302)</f>
        <v/>
      </c>
      <c r="X302" s="38"/>
      <c r="Y302" s="64" t="str">
        <f t="shared" si="68"/>
        <v/>
      </c>
      <c r="Z302" s="40"/>
    </row>
    <row r="303" spans="1:27" s="25" customFormat="1" ht="18" customHeight="1" x14ac:dyDescent="0.2">
      <c r="A303" s="279"/>
      <c r="B303" s="277"/>
      <c r="C303" s="277"/>
      <c r="D303" s="277"/>
      <c r="E303" s="277"/>
      <c r="F303" s="277"/>
      <c r="G303" s="277"/>
      <c r="H303" s="277"/>
      <c r="I303" s="277"/>
      <c r="J303" s="277"/>
      <c r="K303" s="311"/>
      <c r="L303" s="291"/>
      <c r="N303" s="35"/>
      <c r="O303" s="36" t="s">
        <v>50</v>
      </c>
      <c r="P303" s="36"/>
      <c r="Q303" s="36"/>
      <c r="R303" s="36">
        <f t="shared" si="67"/>
        <v>15</v>
      </c>
      <c r="S303" s="27"/>
      <c r="T303" s="36" t="s">
        <v>50</v>
      </c>
      <c r="U303" s="64" t="str">
        <f>Y302</f>
        <v/>
      </c>
      <c r="V303" s="38"/>
      <c r="W303" s="64" t="str">
        <f t="shared" si="71"/>
        <v/>
      </c>
      <c r="X303" s="38"/>
      <c r="Y303" s="64" t="str">
        <f t="shared" si="68"/>
        <v/>
      </c>
      <c r="Z303" s="40"/>
    </row>
    <row r="304" spans="1:27" s="25" customFormat="1" ht="18" customHeight="1" x14ac:dyDescent="0.3">
      <c r="A304" s="279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91"/>
      <c r="N304" s="35"/>
      <c r="O304" s="36" t="s">
        <v>55</v>
      </c>
      <c r="P304" s="36"/>
      <c r="Q304" s="36"/>
      <c r="R304" s="36">
        <f t="shared" si="67"/>
        <v>15</v>
      </c>
      <c r="S304" s="27"/>
      <c r="T304" s="36" t="s">
        <v>55</v>
      </c>
      <c r="U304" s="64" t="str">
        <f>Y303</f>
        <v/>
      </c>
      <c r="V304" s="38"/>
      <c r="W304" s="64" t="str">
        <f t="shared" si="69"/>
        <v/>
      </c>
      <c r="X304" s="38"/>
      <c r="Y304" s="64" t="str">
        <f t="shared" si="68"/>
        <v/>
      </c>
      <c r="Z304" s="40"/>
    </row>
    <row r="305" spans="1:27" s="25" customFormat="1" ht="18" customHeight="1" thickBot="1" x14ac:dyDescent="0.35">
      <c r="A305" s="305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7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4" t="str">
        <f>Y304</f>
        <v/>
      </c>
      <c r="V305" s="38"/>
      <c r="W305" s="64" t="str">
        <f t="shared" si="69"/>
        <v/>
      </c>
      <c r="X305" s="38"/>
      <c r="Y305" s="64" t="str">
        <f t="shared" si="68"/>
        <v/>
      </c>
      <c r="Z305" s="40"/>
    </row>
    <row r="306" spans="1:27" s="57" customFormat="1" ht="18" customHeight="1" thickBot="1" x14ac:dyDescent="0.2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7" s="25" customFormat="1" ht="18" customHeight="1" thickBot="1" x14ac:dyDescent="0.25">
      <c r="A307" s="390" t="s">
        <v>38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2"/>
      <c r="M307" s="24"/>
      <c r="N307" s="28"/>
      <c r="O307" s="385" t="s">
        <v>40</v>
      </c>
      <c r="P307" s="386"/>
      <c r="Q307" s="386"/>
      <c r="R307" s="387"/>
      <c r="S307" s="29"/>
      <c r="T307" s="385" t="s">
        <v>41</v>
      </c>
      <c r="U307" s="386"/>
      <c r="V307" s="386"/>
      <c r="W307" s="386"/>
      <c r="X307" s="386"/>
      <c r="Y307" s="387"/>
      <c r="Z307" s="30"/>
      <c r="AA307" s="24"/>
    </row>
    <row r="308" spans="1:27" s="25" customFormat="1" ht="18" customHeight="1" x14ac:dyDescent="0.2">
      <c r="A308" s="279"/>
      <c r="B308" s="277"/>
      <c r="C308" s="396" t="s">
        <v>212</v>
      </c>
      <c r="D308" s="396"/>
      <c r="E308" s="396"/>
      <c r="F308" s="396"/>
      <c r="G308" s="280" t="str">
        <f>$J$1</f>
        <v>January</v>
      </c>
      <c r="H308" s="399">
        <f>$K$1</f>
        <v>2024</v>
      </c>
      <c r="I308" s="399"/>
      <c r="J308" s="277"/>
      <c r="K308" s="281"/>
      <c r="L308" s="282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9"/>
      <c r="B309" s="277"/>
      <c r="C309" s="277"/>
      <c r="D309" s="283"/>
      <c r="E309" s="283"/>
      <c r="F309" s="283"/>
      <c r="G309" s="283"/>
      <c r="H309" s="283"/>
      <c r="I309" s="277"/>
      <c r="J309" s="284" t="s">
        <v>1</v>
      </c>
      <c r="K309" s="285">
        <f>22000+13000</f>
        <v>35000</v>
      </c>
      <c r="L309" s="286"/>
      <c r="N309" s="35"/>
      <c r="O309" s="36" t="s">
        <v>43</v>
      </c>
      <c r="P309" s="36"/>
      <c r="Q309" s="36"/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/>
      <c r="Y309" s="38">
        <f>W309-X309</f>
        <v>14760</v>
      </c>
      <c r="Z309" s="34"/>
    </row>
    <row r="310" spans="1:27" s="25" customFormat="1" ht="18" customHeight="1" x14ac:dyDescent="0.2">
      <c r="A310" s="279"/>
      <c r="B310" s="277" t="s">
        <v>0</v>
      </c>
      <c r="C310" s="276" t="s">
        <v>163</v>
      </c>
      <c r="D310" s="277"/>
      <c r="E310" s="277"/>
      <c r="F310" s="277"/>
      <c r="G310" s="277"/>
      <c r="H310" s="287"/>
      <c r="I310" s="283"/>
      <c r="J310" s="277"/>
      <c r="K310" s="277"/>
      <c r="L310" s="288"/>
      <c r="M310" s="24"/>
      <c r="N310" s="39"/>
      <c r="O310" s="36" t="s">
        <v>69</v>
      </c>
      <c r="P310" s="36"/>
      <c r="Q310" s="36"/>
      <c r="R310" s="36">
        <f>R309-Q310</f>
        <v>15</v>
      </c>
      <c r="S310" s="27"/>
      <c r="T310" s="36" t="s">
        <v>69</v>
      </c>
      <c r="U310" s="64"/>
      <c r="V310" s="38"/>
      <c r="W310" s="64" t="str">
        <f>IF(U310="","",U310+V310)</f>
        <v/>
      </c>
      <c r="X310" s="38"/>
      <c r="Y310" s="64" t="str">
        <f>IF(W310="","",W310-X310)</f>
        <v/>
      </c>
      <c r="Z310" s="40"/>
      <c r="AA310" s="24"/>
    </row>
    <row r="311" spans="1:27" s="25" customFormat="1" ht="18" customHeight="1" x14ac:dyDescent="0.2">
      <c r="A311" s="279"/>
      <c r="B311" s="289" t="s">
        <v>39</v>
      </c>
      <c r="C311" s="290"/>
      <c r="D311" s="277"/>
      <c r="E311" s="277"/>
      <c r="F311" s="393" t="s">
        <v>41</v>
      </c>
      <c r="G311" s="395"/>
      <c r="H311" s="277"/>
      <c r="I311" s="393" t="s">
        <v>42</v>
      </c>
      <c r="J311" s="394"/>
      <c r="K311" s="395"/>
      <c r="L311" s="291"/>
      <c r="N311" s="35"/>
      <c r="O311" s="36" t="s">
        <v>44</v>
      </c>
      <c r="P311" s="36"/>
      <c r="Q311" s="36"/>
      <c r="R311" s="36">
        <f t="shared" ref="R311:R320" si="72">R310-Q311</f>
        <v>15</v>
      </c>
      <c r="S311" s="27"/>
      <c r="T311" s="36" t="s">
        <v>44</v>
      </c>
      <c r="U311" s="64"/>
      <c r="V311" s="38"/>
      <c r="W311" s="64" t="str">
        <f t="shared" ref="W311:W320" si="73">IF(U311="","",U311+V311)</f>
        <v/>
      </c>
      <c r="X311" s="38"/>
      <c r="Y311" s="64" t="str">
        <f t="shared" ref="Y311:Y320" si="74">IF(W311="","",W311-X311)</f>
        <v/>
      </c>
      <c r="Z311" s="40"/>
    </row>
    <row r="312" spans="1:27" s="25" customFormat="1" ht="18" customHeight="1" x14ac:dyDescent="0.2">
      <c r="A312" s="279"/>
      <c r="B312" s="277"/>
      <c r="C312" s="277"/>
      <c r="D312" s="277"/>
      <c r="E312" s="277"/>
      <c r="F312" s="277"/>
      <c r="G312" s="277"/>
      <c r="H312" s="292"/>
      <c r="I312" s="277"/>
      <c r="J312" s="277"/>
      <c r="K312" s="277"/>
      <c r="L312" s="293"/>
      <c r="N312" s="35"/>
      <c r="O312" s="36" t="s">
        <v>45</v>
      </c>
      <c r="P312" s="36"/>
      <c r="Q312" s="36"/>
      <c r="R312" s="36">
        <f t="shared" si="72"/>
        <v>15</v>
      </c>
      <c r="S312" s="27"/>
      <c r="T312" s="36" t="s">
        <v>45</v>
      </c>
      <c r="U312" s="64"/>
      <c r="V312" s="38"/>
      <c r="W312" s="64" t="str">
        <f t="shared" si="73"/>
        <v/>
      </c>
      <c r="X312" s="38"/>
      <c r="Y312" s="64" t="str">
        <f t="shared" si="74"/>
        <v/>
      </c>
      <c r="Z312" s="40"/>
    </row>
    <row r="313" spans="1:27" s="25" customFormat="1" ht="18" customHeight="1" x14ac:dyDescent="0.2">
      <c r="A313" s="279"/>
      <c r="B313" s="397" t="s">
        <v>40</v>
      </c>
      <c r="C313" s="398"/>
      <c r="D313" s="277"/>
      <c r="E313" s="277"/>
      <c r="F313" s="294" t="s">
        <v>62</v>
      </c>
      <c r="G313" s="29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14760</v>
      </c>
      <c r="H313" s="292"/>
      <c r="I313" s="296">
        <f>IF(C317&gt;=C316,$K$2,C315+C317)</f>
        <v>31</v>
      </c>
      <c r="J313" s="297" t="s">
        <v>59</v>
      </c>
      <c r="K313" s="298">
        <f>K309/$K$2*I313</f>
        <v>35000</v>
      </c>
      <c r="L313" s="299"/>
      <c r="N313" s="35"/>
      <c r="O313" s="36" t="s">
        <v>46</v>
      </c>
      <c r="P313" s="36"/>
      <c r="Q313" s="36"/>
      <c r="R313" s="36">
        <f t="shared" si="72"/>
        <v>15</v>
      </c>
      <c r="S313" s="27"/>
      <c r="T313" s="36" t="s">
        <v>46</v>
      </c>
      <c r="U313" s="64"/>
      <c r="V313" s="38"/>
      <c r="W313" s="64" t="str">
        <f t="shared" si="73"/>
        <v/>
      </c>
      <c r="X313" s="38"/>
      <c r="Y313" s="64" t="str">
        <f t="shared" si="74"/>
        <v/>
      </c>
      <c r="Z313" s="40"/>
    </row>
    <row r="314" spans="1:27" s="25" customFormat="1" ht="18" customHeight="1" x14ac:dyDescent="0.2">
      <c r="A314" s="279"/>
      <c r="B314" s="300"/>
      <c r="C314" s="300"/>
      <c r="D314" s="277"/>
      <c r="E314" s="277"/>
      <c r="F314" s="294" t="s">
        <v>18</v>
      </c>
      <c r="G314" s="29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92"/>
      <c r="I314" s="296">
        <v>73</v>
      </c>
      <c r="J314" s="297" t="s">
        <v>60</v>
      </c>
      <c r="K314" s="301">
        <f>K309/$K$2/8*I314</f>
        <v>10302.41935483871</v>
      </c>
      <c r="L314" s="302"/>
      <c r="N314" s="35"/>
      <c r="O314" s="36" t="s">
        <v>47</v>
      </c>
      <c r="P314" s="36"/>
      <c r="Q314" s="36"/>
      <c r="R314" s="36">
        <f t="shared" si="72"/>
        <v>15</v>
      </c>
      <c r="S314" s="27"/>
      <c r="T314" s="36" t="s">
        <v>47</v>
      </c>
      <c r="U314" s="64"/>
      <c r="V314" s="38"/>
      <c r="W314" s="64" t="str">
        <f t="shared" si="73"/>
        <v/>
      </c>
      <c r="X314" s="38"/>
      <c r="Y314" s="64" t="str">
        <f t="shared" si="74"/>
        <v/>
      </c>
      <c r="Z314" s="40"/>
    </row>
    <row r="315" spans="1:27" s="25" customFormat="1" ht="18" customHeight="1" x14ac:dyDescent="0.2">
      <c r="A315" s="279"/>
      <c r="B315" s="294" t="s">
        <v>7</v>
      </c>
      <c r="C315" s="30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277"/>
      <c r="E315" s="277"/>
      <c r="F315" s="294" t="s">
        <v>63</v>
      </c>
      <c r="G315" s="29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14760</v>
      </c>
      <c r="H315" s="292"/>
      <c r="I315" s="388" t="s">
        <v>67</v>
      </c>
      <c r="J315" s="389"/>
      <c r="K315" s="301">
        <f>K313+K314</f>
        <v>45302.419354838712</v>
      </c>
      <c r="L315" s="302"/>
      <c r="N315" s="35"/>
      <c r="O315" s="36" t="s">
        <v>48</v>
      </c>
      <c r="P315" s="36"/>
      <c r="Q315" s="36"/>
      <c r="R315" s="36">
        <f t="shared" si="72"/>
        <v>15</v>
      </c>
      <c r="S315" s="27"/>
      <c r="T315" s="36" t="s">
        <v>48</v>
      </c>
      <c r="U315" s="64"/>
      <c r="V315" s="38"/>
      <c r="W315" s="64" t="str">
        <f t="shared" si="73"/>
        <v/>
      </c>
      <c r="X315" s="38"/>
      <c r="Y315" s="64" t="str">
        <f t="shared" si="74"/>
        <v/>
      </c>
      <c r="Z315" s="40"/>
    </row>
    <row r="316" spans="1:27" s="25" customFormat="1" ht="18" customHeight="1" x14ac:dyDescent="0.2">
      <c r="A316" s="279"/>
      <c r="B316" s="294" t="s">
        <v>6</v>
      </c>
      <c r="C316" s="30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7"/>
      <c r="E316" s="277"/>
      <c r="F316" s="294" t="s">
        <v>19</v>
      </c>
      <c r="G316" s="29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292"/>
      <c r="I316" s="388" t="s">
        <v>68</v>
      </c>
      <c r="J316" s="389"/>
      <c r="K316" s="295">
        <f>G316</f>
        <v>0</v>
      </c>
      <c r="L316" s="303"/>
      <c r="N316" s="35"/>
      <c r="O316" s="36" t="s">
        <v>49</v>
      </c>
      <c r="P316" s="36"/>
      <c r="Q316" s="36"/>
      <c r="R316" s="36">
        <f t="shared" si="72"/>
        <v>15</v>
      </c>
      <c r="S316" s="27"/>
      <c r="T316" s="36" t="s">
        <v>49</v>
      </c>
      <c r="U316" s="64"/>
      <c r="V316" s="38"/>
      <c r="W316" s="64" t="str">
        <f t="shared" si="73"/>
        <v/>
      </c>
      <c r="X316" s="38"/>
      <c r="Y316" s="64" t="str">
        <f t="shared" si="74"/>
        <v/>
      </c>
      <c r="Z316" s="40"/>
    </row>
    <row r="317" spans="1:27" s="25" customFormat="1" ht="18" customHeight="1" x14ac:dyDescent="0.2">
      <c r="A317" s="279"/>
      <c r="B317" s="309" t="s">
        <v>66</v>
      </c>
      <c r="C317" s="300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15</v>
      </c>
      <c r="D317" s="277"/>
      <c r="E317" s="277"/>
      <c r="F317" s="309" t="s">
        <v>201</v>
      </c>
      <c r="G317" s="295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7"/>
      <c r="I317" s="393" t="s">
        <v>61</v>
      </c>
      <c r="J317" s="395"/>
      <c r="K317" s="234">
        <f>K315-K316</f>
        <v>45302.419354838712</v>
      </c>
      <c r="L317" s="304"/>
      <c r="N317" s="35"/>
      <c r="O317" s="36" t="s">
        <v>54</v>
      </c>
      <c r="P317" s="36"/>
      <c r="Q317" s="36"/>
      <c r="R317" s="36">
        <f t="shared" si="72"/>
        <v>15</v>
      </c>
      <c r="S317" s="27"/>
      <c r="T317" s="36" t="s">
        <v>54</v>
      </c>
      <c r="U317" s="64"/>
      <c r="V317" s="38"/>
      <c r="W317" s="64" t="str">
        <f t="shared" si="73"/>
        <v/>
      </c>
      <c r="X317" s="38"/>
      <c r="Y317" s="64" t="str">
        <f t="shared" si="74"/>
        <v/>
      </c>
      <c r="Z317" s="40"/>
    </row>
    <row r="318" spans="1:27" s="25" customFormat="1" ht="18" customHeight="1" x14ac:dyDescent="0.2">
      <c r="A318" s="279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91"/>
      <c r="N318" s="35"/>
      <c r="O318" s="36" t="s">
        <v>50</v>
      </c>
      <c r="P318" s="36"/>
      <c r="Q318" s="36"/>
      <c r="R318" s="36">
        <f t="shared" si="72"/>
        <v>15</v>
      </c>
      <c r="S318" s="27"/>
      <c r="T318" s="36" t="s">
        <v>50</v>
      </c>
      <c r="U318" s="64"/>
      <c r="V318" s="38"/>
      <c r="W318" s="64" t="str">
        <f t="shared" si="73"/>
        <v/>
      </c>
      <c r="X318" s="38"/>
      <c r="Y318" s="64" t="str">
        <f t="shared" si="74"/>
        <v/>
      </c>
      <c r="Z318" s="40"/>
    </row>
    <row r="319" spans="1:27" s="25" customFormat="1" ht="18" customHeight="1" x14ac:dyDescent="0.3">
      <c r="A319" s="279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91"/>
      <c r="N319" s="35"/>
      <c r="O319" s="36" t="s">
        <v>55</v>
      </c>
      <c r="P319" s="36"/>
      <c r="Q319" s="36"/>
      <c r="R319" s="36">
        <f t="shared" si="72"/>
        <v>15</v>
      </c>
      <c r="S319" s="27"/>
      <c r="T319" s="36" t="s">
        <v>55</v>
      </c>
      <c r="U319" s="64"/>
      <c r="V319" s="38"/>
      <c r="W319" s="64" t="str">
        <f t="shared" si="73"/>
        <v/>
      </c>
      <c r="X319" s="38"/>
      <c r="Y319" s="64" t="str">
        <f t="shared" si="74"/>
        <v/>
      </c>
      <c r="Z319" s="40"/>
    </row>
    <row r="320" spans="1:27" s="25" customFormat="1" ht="18" customHeight="1" thickBot="1" x14ac:dyDescent="0.35">
      <c r="A320" s="305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7"/>
      <c r="N320" s="35"/>
      <c r="O320" s="36" t="s">
        <v>56</v>
      </c>
      <c r="P320" s="36"/>
      <c r="Q320" s="36"/>
      <c r="R320" s="36">
        <f t="shared" si="72"/>
        <v>15</v>
      </c>
      <c r="S320" s="27"/>
      <c r="T320" s="36" t="s">
        <v>56</v>
      </c>
      <c r="U320" s="64"/>
      <c r="V320" s="38"/>
      <c r="W320" s="64" t="str">
        <f t="shared" si="73"/>
        <v/>
      </c>
      <c r="X320" s="38"/>
      <c r="Y320" s="64" t="str">
        <f t="shared" si="74"/>
        <v/>
      </c>
      <c r="Z320" s="40"/>
    </row>
    <row r="321" spans="1:27" s="57" customFormat="1" ht="18" customHeight="1" thickBot="1" x14ac:dyDescent="0.2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7" s="25" customFormat="1" ht="18" customHeight="1" thickBot="1" x14ac:dyDescent="0.25">
      <c r="A322" s="390" t="s">
        <v>38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2"/>
      <c r="M322" s="24"/>
      <c r="N322" s="28"/>
      <c r="O322" s="385" t="s">
        <v>40</v>
      </c>
      <c r="P322" s="386"/>
      <c r="Q322" s="386"/>
      <c r="R322" s="387"/>
      <c r="S322" s="29"/>
      <c r="T322" s="385" t="s">
        <v>41</v>
      </c>
      <c r="U322" s="386"/>
      <c r="V322" s="386"/>
      <c r="W322" s="386"/>
      <c r="X322" s="386"/>
      <c r="Y322" s="387"/>
      <c r="Z322" s="30"/>
      <c r="AA322" s="24"/>
    </row>
    <row r="323" spans="1:27" s="25" customFormat="1" ht="18" customHeight="1" x14ac:dyDescent="0.2">
      <c r="A323" s="279"/>
      <c r="B323" s="277"/>
      <c r="C323" s="396" t="s">
        <v>212</v>
      </c>
      <c r="D323" s="396"/>
      <c r="E323" s="396"/>
      <c r="F323" s="396"/>
      <c r="G323" s="280" t="str">
        <f>$J$1</f>
        <v>January</v>
      </c>
      <c r="H323" s="399">
        <f>$K$1</f>
        <v>2024</v>
      </c>
      <c r="I323" s="399"/>
      <c r="J323" s="277"/>
      <c r="K323" s="281"/>
      <c r="L323" s="282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9"/>
      <c r="B324" s="277"/>
      <c r="C324" s="277"/>
      <c r="D324" s="283"/>
      <c r="E324" s="283"/>
      <c r="F324" s="283"/>
      <c r="G324" s="283"/>
      <c r="H324" s="283"/>
      <c r="I324" s="277"/>
      <c r="J324" s="284" t="s">
        <v>1</v>
      </c>
      <c r="K324" s="285">
        <f>19000+3000+5000</f>
        <v>27000</v>
      </c>
      <c r="L324" s="286"/>
      <c r="N324" s="35"/>
      <c r="O324" s="36" t="s">
        <v>43</v>
      </c>
      <c r="P324" s="36"/>
      <c r="Q324" s="36"/>
      <c r="R324" s="36">
        <f>15-Q324</f>
        <v>15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/>
      <c r="Y324" s="38">
        <f>W324-X324</f>
        <v>18000</v>
      </c>
      <c r="Z324" s="34"/>
    </row>
    <row r="325" spans="1:27" s="25" customFormat="1" ht="18" customHeight="1" x14ac:dyDescent="0.2">
      <c r="A325" s="279"/>
      <c r="B325" s="277" t="s">
        <v>0</v>
      </c>
      <c r="C325" s="276" t="s">
        <v>131</v>
      </c>
      <c r="D325" s="277"/>
      <c r="E325" s="277"/>
      <c r="F325" s="277"/>
      <c r="G325" s="277"/>
      <c r="H325" s="287"/>
      <c r="I325" s="283"/>
      <c r="J325" s="277"/>
      <c r="K325" s="277"/>
      <c r="L325" s="288"/>
      <c r="M325" s="24"/>
      <c r="N325" s="39"/>
      <c r="O325" s="36" t="s">
        <v>69</v>
      </c>
      <c r="P325" s="36"/>
      <c r="Q325" s="36"/>
      <c r="R325" s="36" t="str">
        <f t="shared" ref="R325:R335" si="75">IF(Q325="","",R324-Q325)</f>
        <v/>
      </c>
      <c r="S325" s="27"/>
      <c r="T325" s="36" t="s">
        <v>69</v>
      </c>
      <c r="U325" s="64"/>
      <c r="V325" s="38"/>
      <c r="W325" s="64" t="str">
        <f>IF(U325="","",U325+V325)</f>
        <v/>
      </c>
      <c r="X325" s="38"/>
      <c r="Y325" s="64" t="str">
        <f>IF(W325="","",W325-X325)</f>
        <v/>
      </c>
      <c r="Z325" s="40"/>
      <c r="AA325" s="24"/>
    </row>
    <row r="326" spans="1:27" s="25" customFormat="1" ht="18" customHeight="1" x14ac:dyDescent="0.2">
      <c r="A326" s="279"/>
      <c r="B326" s="289" t="s">
        <v>39</v>
      </c>
      <c r="C326" s="290"/>
      <c r="D326" s="277"/>
      <c r="E326" s="277"/>
      <c r="F326" s="393" t="s">
        <v>41</v>
      </c>
      <c r="G326" s="395"/>
      <c r="H326" s="277"/>
      <c r="I326" s="393" t="s">
        <v>42</v>
      </c>
      <c r="J326" s="394"/>
      <c r="K326" s="395"/>
      <c r="L326" s="291"/>
      <c r="N326" s="35"/>
      <c r="O326" s="36" t="s">
        <v>44</v>
      </c>
      <c r="P326" s="36"/>
      <c r="Q326" s="36"/>
      <c r="R326" s="36" t="str">
        <f t="shared" si="75"/>
        <v/>
      </c>
      <c r="S326" s="27"/>
      <c r="T326" s="36" t="s">
        <v>44</v>
      </c>
      <c r="U326" s="64" t="str">
        <f>IF($J$1="February","",Y325)</f>
        <v/>
      </c>
      <c r="V326" s="38"/>
      <c r="W326" s="64" t="str">
        <f t="shared" ref="W326:W335" si="76">IF(U326="","",U326+V326)</f>
        <v/>
      </c>
      <c r="X326" s="38"/>
      <c r="Y326" s="64" t="str">
        <f t="shared" ref="Y326:Y335" si="77">IF(W326="","",W326-X326)</f>
        <v/>
      </c>
      <c r="Z326" s="40"/>
    </row>
    <row r="327" spans="1:27" s="25" customFormat="1" ht="18" customHeight="1" x14ac:dyDescent="0.2">
      <c r="A327" s="279"/>
      <c r="B327" s="277"/>
      <c r="C327" s="277"/>
      <c r="D327" s="277"/>
      <c r="E327" s="277"/>
      <c r="F327" s="277"/>
      <c r="G327" s="277"/>
      <c r="H327" s="292"/>
      <c r="I327" s="277"/>
      <c r="J327" s="277"/>
      <c r="K327" s="277"/>
      <c r="L327" s="293"/>
      <c r="N327" s="35"/>
      <c r="O327" s="36" t="s">
        <v>45</v>
      </c>
      <c r="P327" s="36"/>
      <c r="Q327" s="36"/>
      <c r="R327" s="36" t="str">
        <f t="shared" si="75"/>
        <v/>
      </c>
      <c r="S327" s="27"/>
      <c r="T327" s="36" t="s">
        <v>45</v>
      </c>
      <c r="U327" s="64" t="str">
        <f>IF($J$1="March","",Y326)</f>
        <v/>
      </c>
      <c r="V327" s="38"/>
      <c r="W327" s="64" t="str">
        <f t="shared" si="76"/>
        <v/>
      </c>
      <c r="X327" s="38"/>
      <c r="Y327" s="64" t="str">
        <f t="shared" si="77"/>
        <v/>
      </c>
      <c r="Z327" s="40"/>
    </row>
    <row r="328" spans="1:27" s="25" customFormat="1" ht="18" customHeight="1" x14ac:dyDescent="0.2">
      <c r="A328" s="279"/>
      <c r="B328" s="397" t="s">
        <v>40</v>
      </c>
      <c r="C328" s="398"/>
      <c r="D328" s="277"/>
      <c r="E328" s="277"/>
      <c r="F328" s="294" t="s">
        <v>62</v>
      </c>
      <c r="G328" s="29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18000</v>
      </c>
      <c r="H328" s="292"/>
      <c r="I328" s="296">
        <f>IF(C332&gt;=C331,$K$2,C330+C332)</f>
        <v>31</v>
      </c>
      <c r="J328" s="297" t="s">
        <v>59</v>
      </c>
      <c r="K328" s="298">
        <f>K324/$K$2*I328</f>
        <v>27000</v>
      </c>
      <c r="L328" s="299"/>
      <c r="N328" s="35"/>
      <c r="O328" s="36" t="s">
        <v>46</v>
      </c>
      <c r="P328" s="36"/>
      <c r="Q328" s="36"/>
      <c r="R328" s="36" t="str">
        <f t="shared" si="75"/>
        <v/>
      </c>
      <c r="S328" s="27"/>
      <c r="T328" s="36" t="s">
        <v>46</v>
      </c>
      <c r="U328" s="64" t="str">
        <f>IF($J$1="April","",Y327)</f>
        <v/>
      </c>
      <c r="V328" s="38"/>
      <c r="W328" s="64" t="str">
        <f t="shared" si="76"/>
        <v/>
      </c>
      <c r="X328" s="38"/>
      <c r="Y328" s="64" t="str">
        <f t="shared" si="77"/>
        <v/>
      </c>
      <c r="Z328" s="40"/>
    </row>
    <row r="329" spans="1:27" s="25" customFormat="1" ht="18" customHeight="1" x14ac:dyDescent="0.2">
      <c r="A329" s="279"/>
      <c r="B329" s="300"/>
      <c r="C329" s="300"/>
      <c r="D329" s="277"/>
      <c r="E329" s="277"/>
      <c r="F329" s="294" t="s">
        <v>18</v>
      </c>
      <c r="G329" s="29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92"/>
      <c r="I329" s="296">
        <v>114</v>
      </c>
      <c r="J329" s="297" t="s">
        <v>60</v>
      </c>
      <c r="K329" s="301">
        <f>K324/$K$2/8*I329</f>
        <v>12411.290322580646</v>
      </c>
      <c r="L329" s="302"/>
      <c r="N329" s="35"/>
      <c r="O329" s="36" t="s">
        <v>47</v>
      </c>
      <c r="P329" s="36"/>
      <c r="Q329" s="36"/>
      <c r="R329" s="36" t="str">
        <f t="shared" si="75"/>
        <v/>
      </c>
      <c r="S329" s="27"/>
      <c r="T329" s="36" t="s">
        <v>47</v>
      </c>
      <c r="U329" s="64" t="str">
        <f t="shared" ref="U329" si="78">Y328</f>
        <v/>
      </c>
      <c r="V329" s="38"/>
      <c r="W329" s="64" t="str">
        <f t="shared" si="76"/>
        <v/>
      </c>
      <c r="X329" s="38"/>
      <c r="Y329" s="64" t="str">
        <f t="shared" si="77"/>
        <v/>
      </c>
      <c r="Z329" s="40"/>
    </row>
    <row r="330" spans="1:27" s="25" customFormat="1" ht="18" customHeight="1" x14ac:dyDescent="0.2">
      <c r="A330" s="279"/>
      <c r="B330" s="294" t="s">
        <v>7</v>
      </c>
      <c r="C330" s="30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0</v>
      </c>
      <c r="D330" s="277"/>
      <c r="E330" s="277"/>
      <c r="F330" s="294" t="s">
        <v>63</v>
      </c>
      <c r="G330" s="29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18000</v>
      </c>
      <c r="H330" s="292"/>
      <c r="I330" s="388" t="s">
        <v>67</v>
      </c>
      <c r="J330" s="389"/>
      <c r="K330" s="301">
        <f>K328+K329</f>
        <v>39411.290322580644</v>
      </c>
      <c r="L330" s="302"/>
      <c r="N330" s="35"/>
      <c r="O330" s="36" t="s">
        <v>48</v>
      </c>
      <c r="P330" s="36"/>
      <c r="Q330" s="36"/>
      <c r="R330" s="36" t="str">
        <f t="shared" si="75"/>
        <v/>
      </c>
      <c r="S330" s="27"/>
      <c r="T330" s="36" t="s">
        <v>48</v>
      </c>
      <c r="U330" s="64"/>
      <c r="V330" s="38"/>
      <c r="W330" s="64" t="str">
        <f t="shared" ref="W330:W333" si="79">IF(U330="","",U330+V330)</f>
        <v/>
      </c>
      <c r="X330" s="38"/>
      <c r="Y330" s="64" t="str">
        <f t="shared" ref="Y330:Y333" si="80">IF(W330="","",W330-X330)</f>
        <v/>
      </c>
      <c r="Z330" s="40"/>
    </row>
    <row r="331" spans="1:27" s="25" customFormat="1" ht="18" customHeight="1" x14ac:dyDescent="0.2">
      <c r="A331" s="279"/>
      <c r="B331" s="294" t="s">
        <v>6</v>
      </c>
      <c r="C331" s="30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7"/>
      <c r="E331" s="277"/>
      <c r="F331" s="294" t="s">
        <v>19</v>
      </c>
      <c r="G331" s="29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0</v>
      </c>
      <c r="H331" s="292"/>
      <c r="I331" s="388" t="s">
        <v>68</v>
      </c>
      <c r="J331" s="389"/>
      <c r="K331" s="295">
        <f>G331</f>
        <v>0</v>
      </c>
      <c r="L331" s="303"/>
      <c r="N331" s="35"/>
      <c r="O331" s="36" t="s">
        <v>49</v>
      </c>
      <c r="P331" s="36"/>
      <c r="Q331" s="36"/>
      <c r="R331" s="36" t="str">
        <f t="shared" si="75"/>
        <v/>
      </c>
      <c r="S331" s="27"/>
      <c r="T331" s="36" t="s">
        <v>49</v>
      </c>
      <c r="U331" s="64"/>
      <c r="V331" s="38"/>
      <c r="W331" s="64" t="str">
        <f t="shared" si="79"/>
        <v/>
      </c>
      <c r="X331" s="38"/>
      <c r="Y331" s="64" t="str">
        <f t="shared" si="80"/>
        <v/>
      </c>
      <c r="Z331" s="40"/>
    </row>
    <row r="332" spans="1:27" s="25" customFormat="1" ht="18" customHeight="1" x14ac:dyDescent="0.2">
      <c r="A332" s="279"/>
      <c r="B332" s="309" t="s">
        <v>66</v>
      </c>
      <c r="C332" s="300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15</v>
      </c>
      <c r="D332" s="277"/>
      <c r="E332" s="277"/>
      <c r="F332" s="309" t="s">
        <v>201</v>
      </c>
      <c r="G332" s="295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18000</v>
      </c>
      <c r="H332" s="277"/>
      <c r="I332" s="393" t="s">
        <v>61</v>
      </c>
      <c r="J332" s="395"/>
      <c r="K332" s="234">
        <f>K330-K331</f>
        <v>39411.290322580644</v>
      </c>
      <c r="L332" s="304"/>
      <c r="N332" s="35"/>
      <c r="O332" s="36" t="s">
        <v>54</v>
      </c>
      <c r="P332" s="36"/>
      <c r="Q332" s="36"/>
      <c r="R332" s="36" t="str">
        <f t="shared" si="75"/>
        <v/>
      </c>
      <c r="S332" s="27"/>
      <c r="T332" s="36" t="s">
        <v>54</v>
      </c>
      <c r="U332" s="64"/>
      <c r="V332" s="38"/>
      <c r="W332" s="64" t="str">
        <f t="shared" si="79"/>
        <v/>
      </c>
      <c r="X332" s="38"/>
      <c r="Y332" s="64" t="str">
        <f t="shared" si="80"/>
        <v/>
      </c>
      <c r="Z332" s="40"/>
    </row>
    <row r="333" spans="1:27" s="25" customFormat="1" ht="18" customHeight="1" x14ac:dyDescent="0.2">
      <c r="A333" s="279"/>
      <c r="B333" s="277"/>
      <c r="C333" s="277"/>
      <c r="D333" s="277"/>
      <c r="E333" s="277"/>
      <c r="F333" s="277"/>
      <c r="G333" s="277"/>
      <c r="H333" s="277"/>
      <c r="I333" s="277"/>
      <c r="J333" s="277"/>
      <c r="K333" s="277"/>
      <c r="L333" s="291"/>
      <c r="N333" s="35"/>
      <c r="O333" s="36" t="s">
        <v>50</v>
      </c>
      <c r="P333" s="36"/>
      <c r="Q333" s="36"/>
      <c r="R333" s="36" t="str">
        <f t="shared" si="75"/>
        <v/>
      </c>
      <c r="S333" s="27"/>
      <c r="T333" s="36" t="s">
        <v>50</v>
      </c>
      <c r="U333" s="64"/>
      <c r="V333" s="38"/>
      <c r="W333" s="64" t="str">
        <f t="shared" si="79"/>
        <v/>
      </c>
      <c r="X333" s="38"/>
      <c r="Y333" s="64" t="str">
        <f t="shared" si="80"/>
        <v/>
      </c>
      <c r="Z333" s="40"/>
    </row>
    <row r="334" spans="1:27" s="25" customFormat="1" ht="18" customHeight="1" x14ac:dyDescent="0.3">
      <c r="A334" s="279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91"/>
      <c r="N334" s="35"/>
      <c r="O334" s="36" t="s">
        <v>55</v>
      </c>
      <c r="P334" s="36"/>
      <c r="Q334" s="36"/>
      <c r="R334" s="36" t="str">
        <f t="shared" si="75"/>
        <v/>
      </c>
      <c r="S334" s="27"/>
      <c r="T334" s="36" t="s">
        <v>55</v>
      </c>
      <c r="U334" s="64"/>
      <c r="V334" s="38"/>
      <c r="W334" s="64" t="str">
        <f t="shared" si="76"/>
        <v/>
      </c>
      <c r="X334" s="38"/>
      <c r="Y334" s="64" t="str">
        <f t="shared" si="77"/>
        <v/>
      </c>
      <c r="Z334" s="40"/>
    </row>
    <row r="335" spans="1:27" s="25" customFormat="1" ht="18" customHeight="1" thickBot="1" x14ac:dyDescent="0.35">
      <c r="A335" s="305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7"/>
      <c r="N335" s="35"/>
      <c r="O335" s="36" t="s">
        <v>56</v>
      </c>
      <c r="P335" s="36"/>
      <c r="Q335" s="36"/>
      <c r="R335" s="36" t="str">
        <f t="shared" si="75"/>
        <v/>
      </c>
      <c r="S335" s="27"/>
      <c r="T335" s="36" t="s">
        <v>56</v>
      </c>
      <c r="U335" s="64"/>
      <c r="V335" s="38"/>
      <c r="W335" s="64" t="str">
        <f t="shared" si="76"/>
        <v/>
      </c>
      <c r="X335" s="38"/>
      <c r="Y335" s="64" t="str">
        <f t="shared" si="77"/>
        <v/>
      </c>
      <c r="Z335" s="40"/>
    </row>
    <row r="336" spans="1:27" s="57" customFormat="1" ht="18" customHeight="1" thickBot="1" x14ac:dyDescent="0.25">
      <c r="A336" s="308"/>
      <c r="B336" s="308"/>
      <c r="C336" s="308"/>
      <c r="D336" s="308"/>
      <c r="E336" s="308"/>
      <c r="F336" s="308"/>
      <c r="G336" s="308"/>
      <c r="H336" s="308"/>
      <c r="I336" s="308"/>
      <c r="J336" s="308"/>
      <c r="K336" s="308"/>
      <c r="L336" s="30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s="25" customFormat="1" ht="18" customHeight="1" thickBot="1" x14ac:dyDescent="0.25">
      <c r="A337" s="390" t="s">
        <v>38</v>
      </c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2"/>
      <c r="M337" s="24"/>
      <c r="N337" s="28"/>
      <c r="O337" s="385" t="s">
        <v>40</v>
      </c>
      <c r="P337" s="386"/>
      <c r="Q337" s="386"/>
      <c r="R337" s="387"/>
      <c r="S337" s="29"/>
      <c r="T337" s="385" t="s">
        <v>41</v>
      </c>
      <c r="U337" s="386"/>
      <c r="V337" s="386"/>
      <c r="W337" s="386"/>
      <c r="X337" s="386"/>
      <c r="Y337" s="387"/>
      <c r="Z337" s="30"/>
    </row>
    <row r="338" spans="1:26" s="25" customFormat="1" ht="18" customHeight="1" x14ac:dyDescent="0.2">
      <c r="A338" s="279"/>
      <c r="B338" s="277"/>
      <c r="C338" s="396" t="s">
        <v>212</v>
      </c>
      <c r="D338" s="396"/>
      <c r="E338" s="396"/>
      <c r="F338" s="396"/>
      <c r="G338" s="280" t="str">
        <f>$J$1</f>
        <v>January</v>
      </c>
      <c r="H338" s="399">
        <f>$K$1</f>
        <v>2024</v>
      </c>
      <c r="I338" s="399"/>
      <c r="J338" s="277"/>
      <c r="K338" s="281"/>
      <c r="L338" s="282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9"/>
      <c r="B339" s="277"/>
      <c r="C339" s="277"/>
      <c r="D339" s="283"/>
      <c r="E339" s="283"/>
      <c r="F339" s="283"/>
      <c r="G339" s="283"/>
      <c r="H339" s="283"/>
      <c r="I339" s="277"/>
      <c r="J339" s="284" t="s">
        <v>1</v>
      </c>
      <c r="K339" s="285">
        <f>27000+8000</f>
        <v>35000</v>
      </c>
      <c r="L339" s="286"/>
      <c r="N339" s="35"/>
      <c r="O339" s="36" t="s">
        <v>43</v>
      </c>
      <c r="P339" s="273">
        <v>31</v>
      </c>
      <c r="Q339" s="273">
        <v>0</v>
      </c>
      <c r="R339" s="273">
        <f>9-Q339</f>
        <v>9</v>
      </c>
      <c r="S339" s="37"/>
      <c r="T339" s="36" t="s">
        <v>43</v>
      </c>
      <c r="U339" s="38"/>
      <c r="V339" s="38"/>
      <c r="W339" s="38">
        <f>V339+U339</f>
        <v>0</v>
      </c>
      <c r="X339" s="38"/>
      <c r="Y339" s="38">
        <f>W339-X339</f>
        <v>0</v>
      </c>
      <c r="Z339" s="34"/>
    </row>
    <row r="340" spans="1:26" s="25" customFormat="1" ht="18" customHeight="1" x14ac:dyDescent="0.2">
      <c r="A340" s="279"/>
      <c r="B340" s="277" t="s">
        <v>0</v>
      </c>
      <c r="C340" s="276" t="s">
        <v>156</v>
      </c>
      <c r="D340" s="277"/>
      <c r="E340" s="277"/>
      <c r="F340" s="277"/>
      <c r="G340" s="277"/>
      <c r="H340" s="287"/>
      <c r="I340" s="283"/>
      <c r="J340" s="277"/>
      <c r="K340" s="277"/>
      <c r="L340" s="288"/>
      <c r="M340" s="24"/>
      <c r="N340" s="39"/>
      <c r="O340" s="36" t="s">
        <v>69</v>
      </c>
      <c r="P340" s="273">
        <v>28</v>
      </c>
      <c r="Q340" s="273">
        <v>0</v>
      </c>
      <c r="R340" s="273">
        <f t="shared" ref="R340:R350" si="81">IF(Q340="","",R339-Q340)</f>
        <v>9</v>
      </c>
      <c r="S340" s="27"/>
      <c r="T340" s="36" t="s">
        <v>69</v>
      </c>
      <c r="U340" s="64" t="str">
        <f>IF($J$1="January","",Y339)</f>
        <v/>
      </c>
      <c r="V340" s="38"/>
      <c r="W340" s="64" t="str">
        <f>IF(U340="","",U340+V340)</f>
        <v/>
      </c>
      <c r="X340" s="38"/>
      <c r="Y340" s="64" t="str">
        <f>IF(W340="","",W340-X340)</f>
        <v/>
      </c>
      <c r="Z340" s="40"/>
    </row>
    <row r="341" spans="1:26" s="25" customFormat="1" ht="18" customHeight="1" x14ac:dyDescent="0.2">
      <c r="A341" s="279"/>
      <c r="B341" s="289" t="s">
        <v>39</v>
      </c>
      <c r="C341" s="290"/>
      <c r="D341" s="277"/>
      <c r="E341" s="277"/>
      <c r="F341" s="393" t="s">
        <v>41</v>
      </c>
      <c r="G341" s="395"/>
      <c r="H341" s="277"/>
      <c r="I341" s="393" t="s">
        <v>42</v>
      </c>
      <c r="J341" s="394"/>
      <c r="K341" s="395"/>
      <c r="L341" s="291"/>
      <c r="N341" s="35"/>
      <c r="O341" s="36" t="s">
        <v>44</v>
      </c>
      <c r="P341" s="273">
        <v>31</v>
      </c>
      <c r="Q341" s="273">
        <v>0</v>
      </c>
      <c r="R341" s="273">
        <f t="shared" si="81"/>
        <v>9</v>
      </c>
      <c r="S341" s="27"/>
      <c r="T341" s="36" t="s">
        <v>44</v>
      </c>
      <c r="U341" s="64" t="str">
        <f>IF($J$1="February","",Y340)</f>
        <v/>
      </c>
      <c r="V341" s="38"/>
      <c r="W341" s="64" t="str">
        <f t="shared" ref="W341:W344" si="82">IF(U341="","",U341+V341)</f>
        <v/>
      </c>
      <c r="X341" s="38"/>
      <c r="Y341" s="64" t="str">
        <f t="shared" ref="Y341:Y344" si="83">IF(W341="","",W341-X341)</f>
        <v/>
      </c>
      <c r="Z341" s="40"/>
    </row>
    <row r="342" spans="1:26" s="25" customFormat="1" ht="18" customHeight="1" x14ac:dyDescent="0.2">
      <c r="A342" s="279"/>
      <c r="B342" s="277"/>
      <c r="C342" s="277"/>
      <c r="D342" s="277"/>
      <c r="E342" s="277"/>
      <c r="F342" s="277"/>
      <c r="G342" s="277"/>
      <c r="H342" s="292"/>
      <c r="I342" s="277"/>
      <c r="J342" s="277"/>
      <c r="K342" s="277"/>
      <c r="L342" s="293"/>
      <c r="N342" s="35"/>
      <c r="O342" s="36" t="s">
        <v>45</v>
      </c>
      <c r="P342" s="273">
        <v>30</v>
      </c>
      <c r="Q342" s="273">
        <v>0</v>
      </c>
      <c r="R342" s="273">
        <f t="shared" si="81"/>
        <v>9</v>
      </c>
      <c r="S342" s="27"/>
      <c r="T342" s="36" t="s">
        <v>45</v>
      </c>
      <c r="U342" s="64" t="str">
        <f>IF($J$1="March","",Y341)</f>
        <v/>
      </c>
      <c r="V342" s="38"/>
      <c r="W342" s="64" t="str">
        <f t="shared" si="82"/>
        <v/>
      </c>
      <c r="X342" s="38"/>
      <c r="Y342" s="64" t="str">
        <f t="shared" si="83"/>
        <v/>
      </c>
      <c r="Z342" s="40"/>
    </row>
    <row r="343" spans="1:26" s="25" customFormat="1" ht="18" customHeight="1" x14ac:dyDescent="0.2">
      <c r="A343" s="279"/>
      <c r="B343" s="397" t="s">
        <v>40</v>
      </c>
      <c r="C343" s="398"/>
      <c r="D343" s="277"/>
      <c r="E343" s="277"/>
      <c r="F343" s="294" t="s">
        <v>62</v>
      </c>
      <c r="G343" s="29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92"/>
      <c r="I343" s="296">
        <f>IF(C347&gt;=C346,$K$2,C345+C347)</f>
        <v>31</v>
      </c>
      <c r="J343" s="297" t="s">
        <v>59</v>
      </c>
      <c r="K343" s="298">
        <f>K339/$K$2*I343</f>
        <v>35000</v>
      </c>
      <c r="L343" s="299"/>
      <c r="N343" s="35"/>
      <c r="O343" s="36" t="s">
        <v>46</v>
      </c>
      <c r="P343" s="273">
        <v>30</v>
      </c>
      <c r="Q343" s="273">
        <v>1</v>
      </c>
      <c r="R343" s="273">
        <f t="shared" si="81"/>
        <v>8</v>
      </c>
      <c r="S343" s="27"/>
      <c r="T343" s="36" t="s">
        <v>46</v>
      </c>
      <c r="U343" s="64" t="str">
        <f>IF($J$1="April","",Y342)</f>
        <v/>
      </c>
      <c r="V343" s="38"/>
      <c r="W343" s="64" t="str">
        <f t="shared" si="82"/>
        <v/>
      </c>
      <c r="X343" s="38"/>
      <c r="Y343" s="64" t="str">
        <f t="shared" si="83"/>
        <v/>
      </c>
      <c r="Z343" s="40"/>
    </row>
    <row r="344" spans="1:26" s="25" customFormat="1" ht="18" customHeight="1" x14ac:dyDescent="0.2">
      <c r="A344" s="279"/>
      <c r="B344" s="300"/>
      <c r="C344" s="300"/>
      <c r="D344" s="277"/>
      <c r="E344" s="277"/>
      <c r="F344" s="294" t="s">
        <v>18</v>
      </c>
      <c r="G344" s="29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92"/>
      <c r="I344" s="296">
        <v>37</v>
      </c>
      <c r="J344" s="297" t="s">
        <v>60</v>
      </c>
      <c r="K344" s="301">
        <f>K339/$K$2/8*I344</f>
        <v>5221.7741935483873</v>
      </c>
      <c r="L344" s="302"/>
      <c r="N344" s="35"/>
      <c r="O344" s="36" t="s">
        <v>47</v>
      </c>
      <c r="P344" s="273">
        <v>30</v>
      </c>
      <c r="Q344" s="273">
        <v>0</v>
      </c>
      <c r="R344" s="273">
        <f t="shared" si="81"/>
        <v>8</v>
      </c>
      <c r="S344" s="27"/>
      <c r="T344" s="36" t="s">
        <v>47</v>
      </c>
      <c r="U344" s="64" t="str">
        <f>Y343</f>
        <v/>
      </c>
      <c r="V344" s="38"/>
      <c r="W344" s="64" t="str">
        <f t="shared" si="82"/>
        <v/>
      </c>
      <c r="X344" s="38"/>
      <c r="Y344" s="64" t="str">
        <f t="shared" si="83"/>
        <v/>
      </c>
      <c r="Z344" s="40"/>
    </row>
    <row r="345" spans="1:26" s="25" customFormat="1" ht="18" customHeight="1" x14ac:dyDescent="0.2">
      <c r="A345" s="279"/>
      <c r="B345" s="294" t="s">
        <v>7</v>
      </c>
      <c r="C345" s="30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277"/>
      <c r="E345" s="277"/>
      <c r="F345" s="294" t="s">
        <v>63</v>
      </c>
      <c r="G345" s="29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92"/>
      <c r="I345" s="388" t="s">
        <v>67</v>
      </c>
      <c r="J345" s="389"/>
      <c r="K345" s="301">
        <f>K343+K344</f>
        <v>40221.774193548386</v>
      </c>
      <c r="L345" s="302"/>
      <c r="N345" s="35"/>
      <c r="O345" s="36" t="s">
        <v>48</v>
      </c>
      <c r="P345" s="273">
        <v>29</v>
      </c>
      <c r="Q345" s="273">
        <v>2</v>
      </c>
      <c r="R345" s="273">
        <f t="shared" si="81"/>
        <v>6</v>
      </c>
      <c r="S345" s="27"/>
      <c r="T345" s="36" t="s">
        <v>48</v>
      </c>
      <c r="U345" s="64" t="str">
        <f>IF($J$1="June","",Y344)</f>
        <v/>
      </c>
      <c r="V345" s="38"/>
      <c r="W345" s="64" t="str">
        <f t="shared" ref="W345:W350" si="84">IF(U345="","",U345+V345)</f>
        <v/>
      </c>
      <c r="X345" s="38"/>
      <c r="Y345" s="64" t="str">
        <f t="shared" ref="Y345:Y350" si="85">IF(W345="","",W345-X345)</f>
        <v/>
      </c>
      <c r="Z345" s="40"/>
    </row>
    <row r="346" spans="1:26" s="25" customFormat="1" ht="18" customHeight="1" x14ac:dyDescent="0.2">
      <c r="A346" s="279"/>
      <c r="B346" s="294" t="s">
        <v>6</v>
      </c>
      <c r="C346" s="30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7"/>
      <c r="E346" s="277"/>
      <c r="F346" s="294" t="s">
        <v>19</v>
      </c>
      <c r="G346" s="29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92"/>
      <c r="I346" s="388" t="s">
        <v>68</v>
      </c>
      <c r="J346" s="389"/>
      <c r="K346" s="295">
        <f>G346</f>
        <v>0</v>
      </c>
      <c r="L346" s="303"/>
      <c r="N346" s="35"/>
      <c r="O346" s="36" t="s">
        <v>49</v>
      </c>
      <c r="P346" s="273">
        <v>31</v>
      </c>
      <c r="Q346" s="273">
        <v>0</v>
      </c>
      <c r="R346" s="273">
        <f t="shared" si="81"/>
        <v>6</v>
      </c>
      <c r="S346" s="27"/>
      <c r="T346" s="36" t="s">
        <v>49</v>
      </c>
      <c r="U346" s="64" t="str">
        <f>IF($J$1="July","",Y345)</f>
        <v/>
      </c>
      <c r="V346" s="38"/>
      <c r="W346" s="64" t="str">
        <f t="shared" si="84"/>
        <v/>
      </c>
      <c r="X346" s="38"/>
      <c r="Y346" s="64" t="str">
        <f t="shared" si="85"/>
        <v/>
      </c>
      <c r="Z346" s="40"/>
    </row>
    <row r="347" spans="1:26" s="25" customFormat="1" ht="18" customHeight="1" x14ac:dyDescent="0.2">
      <c r="A347" s="279"/>
      <c r="B347" s="309" t="s">
        <v>66</v>
      </c>
      <c r="C347" s="300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9</v>
      </c>
      <c r="D347" s="277"/>
      <c r="E347" s="277"/>
      <c r="F347" s="309" t="s">
        <v>201</v>
      </c>
      <c r="G347" s="295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7"/>
      <c r="I347" s="393" t="s">
        <v>61</v>
      </c>
      <c r="J347" s="395"/>
      <c r="K347" s="234">
        <f>K345-K346</f>
        <v>40221.774193548386</v>
      </c>
      <c r="L347" s="304"/>
      <c r="N347" s="35"/>
      <c r="O347" s="36" t="s">
        <v>54</v>
      </c>
      <c r="P347" s="273">
        <v>30</v>
      </c>
      <c r="Q347" s="273">
        <v>0</v>
      </c>
      <c r="R347" s="273">
        <f t="shared" si="81"/>
        <v>6</v>
      </c>
      <c r="S347" s="27"/>
      <c r="T347" s="36" t="s">
        <v>54</v>
      </c>
      <c r="U347" s="64" t="str">
        <f>Y346</f>
        <v/>
      </c>
      <c r="V347" s="38"/>
      <c r="W347" s="64" t="str">
        <f t="shared" si="84"/>
        <v/>
      </c>
      <c r="X347" s="38"/>
      <c r="Y347" s="64" t="str">
        <f t="shared" si="85"/>
        <v/>
      </c>
      <c r="Z347" s="40"/>
    </row>
    <row r="348" spans="1:26" s="25" customFormat="1" ht="18" customHeight="1" x14ac:dyDescent="0.2">
      <c r="A348" s="279"/>
      <c r="B348" s="277"/>
      <c r="C348" s="277"/>
      <c r="D348" s="277"/>
      <c r="E348" s="277"/>
      <c r="F348" s="277"/>
      <c r="G348" s="277"/>
      <c r="H348" s="277"/>
      <c r="I348" s="277"/>
      <c r="J348" s="277"/>
      <c r="K348" s="277"/>
      <c r="L348" s="291"/>
      <c r="N348" s="35"/>
      <c r="O348" s="36" t="s">
        <v>50</v>
      </c>
      <c r="P348" s="273">
        <v>31</v>
      </c>
      <c r="Q348" s="273">
        <v>0</v>
      </c>
      <c r="R348" s="273">
        <f t="shared" si="81"/>
        <v>6</v>
      </c>
      <c r="S348" s="27"/>
      <c r="T348" s="36" t="s">
        <v>50</v>
      </c>
      <c r="U348" s="64" t="str">
        <f>Y347</f>
        <v/>
      </c>
      <c r="V348" s="38"/>
      <c r="W348" s="64" t="str">
        <f t="shared" si="84"/>
        <v/>
      </c>
      <c r="X348" s="38"/>
      <c r="Y348" s="64" t="str">
        <f t="shared" si="85"/>
        <v/>
      </c>
      <c r="Z348" s="40"/>
    </row>
    <row r="349" spans="1:26" s="25" customFormat="1" ht="18" customHeight="1" x14ac:dyDescent="0.3">
      <c r="A349" s="279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91"/>
      <c r="N349" s="35"/>
      <c r="O349" s="36" t="s">
        <v>55</v>
      </c>
      <c r="P349" s="273">
        <v>30</v>
      </c>
      <c r="Q349" s="273">
        <v>0</v>
      </c>
      <c r="R349" s="273">
        <f t="shared" si="81"/>
        <v>6</v>
      </c>
      <c r="S349" s="27"/>
      <c r="T349" s="36" t="s">
        <v>55</v>
      </c>
      <c r="U349" s="64" t="str">
        <f>Y348</f>
        <v/>
      </c>
      <c r="V349" s="38"/>
      <c r="W349" s="64" t="str">
        <f t="shared" si="84"/>
        <v/>
      </c>
      <c r="X349" s="38"/>
      <c r="Y349" s="64" t="str">
        <f t="shared" si="85"/>
        <v/>
      </c>
      <c r="Z349" s="40"/>
    </row>
    <row r="350" spans="1:26" s="25" customFormat="1" ht="18" customHeight="1" thickBot="1" x14ac:dyDescent="0.35">
      <c r="A350" s="305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7"/>
      <c r="N350" s="35"/>
      <c r="O350" s="36" t="s">
        <v>56</v>
      </c>
      <c r="P350" s="273">
        <v>31</v>
      </c>
      <c r="Q350" s="273">
        <v>0</v>
      </c>
      <c r="R350" s="273">
        <f t="shared" si="81"/>
        <v>6</v>
      </c>
      <c r="S350" s="27"/>
      <c r="T350" s="36" t="s">
        <v>56</v>
      </c>
      <c r="U350" s="64">
        <v>0</v>
      </c>
      <c r="V350" s="38"/>
      <c r="W350" s="64">
        <f t="shared" si="84"/>
        <v>0</v>
      </c>
      <c r="X350" s="38"/>
      <c r="Y350" s="64">
        <f t="shared" si="85"/>
        <v>0</v>
      </c>
      <c r="Z350" s="40"/>
    </row>
    <row r="351" spans="1:26" s="57" customFormat="1" ht="18" customHeight="1" thickBot="1" x14ac:dyDescent="0.2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s="25" customFormat="1" ht="18" customHeight="1" thickBot="1" x14ac:dyDescent="0.25">
      <c r="A352" s="390" t="s">
        <v>38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2"/>
      <c r="M352" s="24"/>
      <c r="N352" s="28"/>
      <c r="O352" s="385" t="s">
        <v>40</v>
      </c>
      <c r="P352" s="386"/>
      <c r="Q352" s="386"/>
      <c r="R352" s="387"/>
      <c r="S352" s="29"/>
      <c r="T352" s="385" t="s">
        <v>41</v>
      </c>
      <c r="U352" s="386"/>
      <c r="V352" s="386"/>
      <c r="W352" s="386"/>
      <c r="X352" s="386"/>
      <c r="Y352" s="387"/>
      <c r="Z352" s="30"/>
    </row>
    <row r="353" spans="1:26" s="25" customFormat="1" ht="18" customHeight="1" x14ac:dyDescent="0.2">
      <c r="A353" s="279"/>
      <c r="B353" s="277"/>
      <c r="C353" s="396" t="s">
        <v>212</v>
      </c>
      <c r="D353" s="396"/>
      <c r="E353" s="396"/>
      <c r="F353" s="396"/>
      <c r="G353" s="280" t="str">
        <f>$J$1</f>
        <v>January</v>
      </c>
      <c r="H353" s="399">
        <f>$K$1</f>
        <v>2024</v>
      </c>
      <c r="I353" s="399"/>
      <c r="J353" s="277"/>
      <c r="K353" s="281"/>
      <c r="L353" s="282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9"/>
      <c r="B354" s="277"/>
      <c r="C354" s="277"/>
      <c r="D354" s="283"/>
      <c r="E354" s="283"/>
      <c r="F354" s="283"/>
      <c r="G354" s="283"/>
      <c r="H354" s="283"/>
      <c r="I354" s="277"/>
      <c r="J354" s="284" t="s">
        <v>1</v>
      </c>
      <c r="K354" s="285">
        <f>21000+6000</f>
        <v>27000</v>
      </c>
      <c r="L354" s="286"/>
      <c r="N354" s="35"/>
      <c r="O354" s="36" t="s">
        <v>43</v>
      </c>
      <c r="P354" s="36"/>
      <c r="Q354" s="36"/>
      <c r="R354" s="36">
        <f>15-Q354</f>
        <v>15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9"/>
      <c r="B355" s="277" t="s">
        <v>0</v>
      </c>
      <c r="C355" s="276" t="s">
        <v>101</v>
      </c>
      <c r="D355" s="277"/>
      <c r="E355" s="277"/>
      <c r="F355" s="277"/>
      <c r="G355" s="277"/>
      <c r="H355" s="287"/>
      <c r="I355" s="283"/>
      <c r="J355" s="277"/>
      <c r="K355" s="277"/>
      <c r="L355" s="288"/>
      <c r="M355" s="24"/>
      <c r="N355" s="39"/>
      <c r="O355" s="36" t="s">
        <v>69</v>
      </c>
      <c r="P355" s="36"/>
      <c r="Q355" s="36"/>
      <c r="R355" s="36" t="str">
        <f t="shared" ref="R355:R364" si="86">IF(Q355="","",R354-Q355)</f>
        <v/>
      </c>
      <c r="S355" s="27"/>
      <c r="T355" s="36" t="s">
        <v>69</v>
      </c>
      <c r="U355" s="64" t="str">
        <f>IF($J$1="January","",Y354)</f>
        <v/>
      </c>
      <c r="V355" s="38"/>
      <c r="W355" s="64" t="str">
        <f>IF(U355="","",U355+V355)</f>
        <v/>
      </c>
      <c r="X355" s="38"/>
      <c r="Y355" s="64" t="str">
        <f>IF(W355="","",W355-X355)</f>
        <v/>
      </c>
      <c r="Z355" s="40"/>
    </row>
    <row r="356" spans="1:26" s="25" customFormat="1" ht="18" customHeight="1" x14ac:dyDescent="0.2">
      <c r="A356" s="279"/>
      <c r="B356" s="289" t="s">
        <v>39</v>
      </c>
      <c r="C356" s="290"/>
      <c r="D356" s="277"/>
      <c r="E356" s="277"/>
      <c r="F356" s="393" t="s">
        <v>41</v>
      </c>
      <c r="G356" s="395"/>
      <c r="H356" s="277"/>
      <c r="I356" s="393" t="s">
        <v>42</v>
      </c>
      <c r="J356" s="394"/>
      <c r="K356" s="395"/>
      <c r="L356" s="291"/>
      <c r="N356" s="35"/>
      <c r="O356" s="36" t="s">
        <v>44</v>
      </c>
      <c r="P356" s="36"/>
      <c r="Q356" s="36"/>
      <c r="R356" s="36" t="str">
        <f t="shared" si="86"/>
        <v/>
      </c>
      <c r="S356" s="27"/>
      <c r="T356" s="36" t="s">
        <v>44</v>
      </c>
      <c r="U356" s="64" t="str">
        <f>IF($J$1="February","",Y355)</f>
        <v/>
      </c>
      <c r="V356" s="38"/>
      <c r="W356" s="64" t="str">
        <f t="shared" ref="W356:W359" si="87">IF(U356="","",U356+V356)</f>
        <v/>
      </c>
      <c r="X356" s="38"/>
      <c r="Y356" s="64" t="str">
        <f t="shared" ref="Y356:Y359" si="88">IF(W356="","",W356-X356)</f>
        <v/>
      </c>
      <c r="Z356" s="40"/>
    </row>
    <row r="357" spans="1:26" s="25" customFormat="1" ht="18" customHeight="1" x14ac:dyDescent="0.2">
      <c r="A357" s="279"/>
      <c r="B357" s="277"/>
      <c r="C357" s="277"/>
      <c r="D357" s="277"/>
      <c r="E357" s="277"/>
      <c r="F357" s="277"/>
      <c r="G357" s="277"/>
      <c r="H357" s="292"/>
      <c r="I357" s="277"/>
      <c r="J357" s="277"/>
      <c r="K357" s="277"/>
      <c r="L357" s="293"/>
      <c r="N357" s="35"/>
      <c r="O357" s="36" t="s">
        <v>45</v>
      </c>
      <c r="P357" s="36"/>
      <c r="Q357" s="36"/>
      <c r="R357" s="36" t="str">
        <f t="shared" si="86"/>
        <v/>
      </c>
      <c r="S357" s="27"/>
      <c r="T357" s="36" t="s">
        <v>45</v>
      </c>
      <c r="U357" s="64" t="str">
        <f>IF($J$1="March","",Y356)</f>
        <v/>
      </c>
      <c r="V357" s="38"/>
      <c r="W357" s="64" t="str">
        <f t="shared" si="87"/>
        <v/>
      </c>
      <c r="X357" s="38"/>
      <c r="Y357" s="64" t="str">
        <f t="shared" si="88"/>
        <v/>
      </c>
      <c r="Z357" s="40"/>
    </row>
    <row r="358" spans="1:26" s="25" customFormat="1" ht="18" customHeight="1" x14ac:dyDescent="0.2">
      <c r="A358" s="279"/>
      <c r="B358" s="397" t="s">
        <v>40</v>
      </c>
      <c r="C358" s="398"/>
      <c r="D358" s="277"/>
      <c r="E358" s="277"/>
      <c r="F358" s="294" t="s">
        <v>62</v>
      </c>
      <c r="G358" s="29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92"/>
      <c r="I358" s="296">
        <f>IF(C362&gt;=C361,$K$2,C360+C362)</f>
        <v>31</v>
      </c>
      <c r="J358" s="297" t="s">
        <v>59</v>
      </c>
      <c r="K358" s="298">
        <f>K354/$K$2*I358</f>
        <v>27000</v>
      </c>
      <c r="L358" s="299"/>
      <c r="N358" s="35"/>
      <c r="O358" s="36" t="s">
        <v>46</v>
      </c>
      <c r="P358" s="36"/>
      <c r="Q358" s="36"/>
      <c r="R358" s="36" t="str">
        <f t="shared" si="86"/>
        <v/>
      </c>
      <c r="S358" s="27"/>
      <c r="T358" s="36" t="s">
        <v>46</v>
      </c>
      <c r="U358" s="64" t="str">
        <f>IF($J$1="April","",Y357)</f>
        <v/>
      </c>
      <c r="V358" s="38"/>
      <c r="W358" s="64" t="str">
        <f t="shared" si="87"/>
        <v/>
      </c>
      <c r="X358" s="38"/>
      <c r="Y358" s="64" t="str">
        <f t="shared" si="88"/>
        <v/>
      </c>
      <c r="Z358" s="40"/>
    </row>
    <row r="359" spans="1:26" s="25" customFormat="1" ht="18" customHeight="1" x14ac:dyDescent="0.2">
      <c r="A359" s="279"/>
      <c r="B359" s="300"/>
      <c r="C359" s="300"/>
      <c r="D359" s="277"/>
      <c r="E359" s="277"/>
      <c r="F359" s="294" t="s">
        <v>18</v>
      </c>
      <c r="G359" s="29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92"/>
      <c r="I359" s="296">
        <v>22</v>
      </c>
      <c r="J359" s="297" t="s">
        <v>60</v>
      </c>
      <c r="K359" s="301">
        <f>K354/$K$2/8*I359</f>
        <v>2395.1612903225805</v>
      </c>
      <c r="L359" s="302"/>
      <c r="N359" s="35"/>
      <c r="O359" s="36" t="s">
        <v>47</v>
      </c>
      <c r="P359" s="36"/>
      <c r="Q359" s="36"/>
      <c r="R359" s="36" t="str">
        <f t="shared" si="86"/>
        <v/>
      </c>
      <c r="S359" s="27"/>
      <c r="T359" s="36" t="s">
        <v>47</v>
      </c>
      <c r="U359" s="64" t="str">
        <f>Y358</f>
        <v/>
      </c>
      <c r="V359" s="38"/>
      <c r="W359" s="64" t="str">
        <f t="shared" si="87"/>
        <v/>
      </c>
      <c r="X359" s="38"/>
      <c r="Y359" s="64" t="str">
        <f t="shared" si="88"/>
        <v/>
      </c>
      <c r="Z359" s="40"/>
    </row>
    <row r="360" spans="1:26" s="25" customFormat="1" ht="18" customHeight="1" x14ac:dyDescent="0.2">
      <c r="A360" s="279"/>
      <c r="B360" s="294" t="s">
        <v>7</v>
      </c>
      <c r="C360" s="30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0</v>
      </c>
      <c r="D360" s="277"/>
      <c r="E360" s="277"/>
      <c r="F360" s="294" t="s">
        <v>63</v>
      </c>
      <c r="G360" s="295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92"/>
      <c r="I360" s="388" t="s">
        <v>67</v>
      </c>
      <c r="J360" s="389"/>
      <c r="K360" s="301">
        <f>K358+K359</f>
        <v>29395.16129032258</v>
      </c>
      <c r="L360" s="302"/>
      <c r="N360" s="35"/>
      <c r="O360" s="36" t="s">
        <v>48</v>
      </c>
      <c r="P360" s="36"/>
      <c r="Q360" s="36"/>
      <c r="R360" s="36" t="str">
        <f t="shared" si="86"/>
        <v/>
      </c>
      <c r="S360" s="27"/>
      <c r="T360" s="36" t="s">
        <v>48</v>
      </c>
      <c r="U360" s="64" t="str">
        <f>Y359</f>
        <v/>
      </c>
      <c r="V360" s="38"/>
      <c r="W360" s="64" t="str">
        <f t="shared" ref="W360:W363" si="89">IF(U360="","",U360+V360)</f>
        <v/>
      </c>
      <c r="X360" s="38"/>
      <c r="Y360" s="64" t="str">
        <f t="shared" ref="Y360:Y363" si="90">IF(W360="","",W360-X360)</f>
        <v/>
      </c>
      <c r="Z360" s="40"/>
    </row>
    <row r="361" spans="1:26" s="25" customFormat="1" ht="18" customHeight="1" x14ac:dyDescent="0.2">
      <c r="A361" s="279"/>
      <c r="B361" s="294" t="s">
        <v>6</v>
      </c>
      <c r="C361" s="30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7"/>
      <c r="E361" s="277"/>
      <c r="F361" s="294" t="s">
        <v>19</v>
      </c>
      <c r="G361" s="29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92"/>
      <c r="I361" s="388" t="s">
        <v>68</v>
      </c>
      <c r="J361" s="389"/>
      <c r="K361" s="295">
        <f>G361</f>
        <v>0</v>
      </c>
      <c r="L361" s="303"/>
      <c r="N361" s="35"/>
      <c r="O361" s="36" t="s">
        <v>49</v>
      </c>
      <c r="P361" s="36"/>
      <c r="Q361" s="36"/>
      <c r="R361" s="36" t="str">
        <f t="shared" si="86"/>
        <v/>
      </c>
      <c r="S361" s="27"/>
      <c r="T361" s="36" t="s">
        <v>49</v>
      </c>
      <c r="U361" s="64"/>
      <c r="V361" s="38"/>
      <c r="W361" s="64" t="str">
        <f t="shared" si="89"/>
        <v/>
      </c>
      <c r="X361" s="38"/>
      <c r="Y361" s="64" t="str">
        <f t="shared" si="90"/>
        <v/>
      </c>
      <c r="Z361" s="40"/>
    </row>
    <row r="362" spans="1:26" s="25" customFormat="1" ht="18" customHeight="1" x14ac:dyDescent="0.2">
      <c r="A362" s="279"/>
      <c r="B362" s="309" t="s">
        <v>66</v>
      </c>
      <c r="C362" s="300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15</v>
      </c>
      <c r="D362" s="277"/>
      <c r="E362" s="277"/>
      <c r="F362" s="309" t="s">
        <v>201</v>
      </c>
      <c r="G362" s="295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7"/>
      <c r="I362" s="393" t="s">
        <v>61</v>
      </c>
      <c r="J362" s="395"/>
      <c r="K362" s="234">
        <f>K360-K361</f>
        <v>29395.16129032258</v>
      </c>
      <c r="L362" s="304"/>
      <c r="N362" s="35"/>
      <c r="O362" s="36" t="s">
        <v>54</v>
      </c>
      <c r="P362" s="36"/>
      <c r="Q362" s="36"/>
      <c r="R362" s="36" t="str">
        <f t="shared" si="86"/>
        <v/>
      </c>
      <c r="S362" s="27"/>
      <c r="T362" s="36" t="s">
        <v>54</v>
      </c>
      <c r="U362" s="64" t="str">
        <f>IF($J$1="September",Y361,"")</f>
        <v/>
      </c>
      <c r="V362" s="38"/>
      <c r="W362" s="64" t="str">
        <f t="shared" si="89"/>
        <v/>
      </c>
      <c r="X362" s="38"/>
      <c r="Y362" s="64" t="str">
        <f t="shared" si="90"/>
        <v/>
      </c>
      <c r="Z362" s="40"/>
    </row>
    <row r="363" spans="1:26" s="25" customFormat="1" ht="18" customHeight="1" x14ac:dyDescent="0.2">
      <c r="A363" s="279"/>
      <c r="B363" s="277"/>
      <c r="C363" s="277"/>
      <c r="D363" s="277"/>
      <c r="E363" s="277"/>
      <c r="F363" s="277"/>
      <c r="G363" s="277"/>
      <c r="H363" s="277"/>
      <c r="I363" s="277"/>
      <c r="J363" s="277"/>
      <c r="K363" s="277"/>
      <c r="L363" s="291"/>
      <c r="N363" s="35"/>
      <c r="O363" s="36" t="s">
        <v>50</v>
      </c>
      <c r="P363" s="36"/>
      <c r="Q363" s="36"/>
      <c r="R363" s="36" t="str">
        <f t="shared" si="86"/>
        <v/>
      </c>
      <c r="S363" s="27"/>
      <c r="T363" s="36" t="s">
        <v>50</v>
      </c>
      <c r="U363" s="64" t="str">
        <f>Y362</f>
        <v/>
      </c>
      <c r="V363" s="38"/>
      <c r="W363" s="64" t="str">
        <f t="shared" si="89"/>
        <v/>
      </c>
      <c r="X363" s="38"/>
      <c r="Y363" s="64" t="str">
        <f t="shared" si="90"/>
        <v/>
      </c>
      <c r="Z363" s="40"/>
    </row>
    <row r="364" spans="1:26" s="25" customFormat="1" ht="18" customHeight="1" x14ac:dyDescent="0.3">
      <c r="A364" s="279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91"/>
      <c r="N364" s="35"/>
      <c r="O364" s="36" t="s">
        <v>55</v>
      </c>
      <c r="P364" s="36"/>
      <c r="Q364" s="36"/>
      <c r="R364" s="36" t="str">
        <f t="shared" si="86"/>
        <v/>
      </c>
      <c r="S364" s="27"/>
      <c r="T364" s="36" t="s">
        <v>55</v>
      </c>
      <c r="U364" s="64" t="str">
        <f>Y363</f>
        <v/>
      </c>
      <c r="V364" s="38"/>
      <c r="W364" s="64" t="str">
        <f t="shared" ref="W364:W365" si="91">IF(U364="","",U364+V364)</f>
        <v/>
      </c>
      <c r="X364" s="38"/>
      <c r="Y364" s="64" t="str">
        <f t="shared" ref="Y364:Y365" si="92">IF(W364="","",W364-X364)</f>
        <v/>
      </c>
      <c r="Z364" s="40"/>
    </row>
    <row r="365" spans="1:26" s="25" customFormat="1" ht="18" customHeight="1" thickBot="1" x14ac:dyDescent="0.35">
      <c r="A365" s="305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7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4">
        <v>0</v>
      </c>
      <c r="V365" s="38"/>
      <c r="W365" s="64">
        <f t="shared" si="91"/>
        <v>0</v>
      </c>
      <c r="X365" s="38"/>
      <c r="Y365" s="64">
        <f t="shared" si="92"/>
        <v>0</v>
      </c>
      <c r="Z365" s="40"/>
    </row>
    <row r="366" spans="1:26" s="57" customFormat="1" ht="18" customHeight="1" thickBot="1" x14ac:dyDescent="0.25">
      <c r="A366" s="308"/>
      <c r="B366" s="308"/>
      <c r="C366" s="308"/>
      <c r="D366" s="308"/>
      <c r="E366" s="308"/>
      <c r="F366" s="308"/>
      <c r="G366" s="308"/>
      <c r="H366" s="308"/>
      <c r="I366" s="308"/>
      <c r="J366" s="308"/>
      <c r="K366" s="308"/>
      <c r="L366" s="30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s="25" customFormat="1" ht="18" customHeight="1" thickBot="1" x14ac:dyDescent="0.25">
      <c r="A367" s="390" t="s">
        <v>38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2"/>
      <c r="M367" s="24"/>
      <c r="N367" s="28"/>
      <c r="O367" s="385" t="s">
        <v>40</v>
      </c>
      <c r="P367" s="386"/>
      <c r="Q367" s="386"/>
      <c r="R367" s="387"/>
      <c r="S367" s="29"/>
      <c r="T367" s="385" t="s">
        <v>41</v>
      </c>
      <c r="U367" s="386"/>
      <c r="V367" s="386"/>
      <c r="W367" s="386"/>
      <c r="X367" s="386"/>
      <c r="Y367" s="387"/>
      <c r="Z367" s="30"/>
    </row>
    <row r="368" spans="1:26" s="25" customFormat="1" ht="18" customHeight="1" x14ac:dyDescent="0.2">
      <c r="A368" s="279"/>
      <c r="B368" s="277"/>
      <c r="C368" s="396" t="s">
        <v>212</v>
      </c>
      <c r="D368" s="396"/>
      <c r="E368" s="396"/>
      <c r="F368" s="396"/>
      <c r="G368" s="280" t="str">
        <f>$J$1</f>
        <v>January</v>
      </c>
      <c r="H368" s="399">
        <f>$K$1</f>
        <v>2024</v>
      </c>
      <c r="I368" s="399"/>
      <c r="J368" s="277"/>
      <c r="K368" s="281"/>
      <c r="L368" s="282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9"/>
      <c r="B369" s="277"/>
      <c r="C369" s="277"/>
      <c r="D369" s="283"/>
      <c r="E369" s="283"/>
      <c r="F369" s="283"/>
      <c r="G369" s="283"/>
      <c r="H369" s="283"/>
      <c r="I369" s="277"/>
      <c r="J369" s="284" t="s">
        <v>1</v>
      </c>
      <c r="K369" s="285">
        <v>28000</v>
      </c>
      <c r="L369" s="286"/>
      <c r="N369" s="35"/>
      <c r="O369" s="36" t="s">
        <v>43</v>
      </c>
      <c r="P369" s="36"/>
      <c r="Q369" s="36"/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9"/>
      <c r="B370" s="277" t="s">
        <v>0</v>
      </c>
      <c r="C370" s="276" t="s">
        <v>165</v>
      </c>
      <c r="D370" s="277"/>
      <c r="E370" s="277"/>
      <c r="F370" s="277"/>
      <c r="G370" s="277"/>
      <c r="H370" s="287"/>
      <c r="I370" s="283"/>
      <c r="J370" s="277"/>
      <c r="K370" s="277"/>
      <c r="L370" s="288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4" t="str">
        <f>IF($J$1="January","",Y369)</f>
        <v/>
      </c>
      <c r="V370" s="38"/>
      <c r="W370" s="64" t="str">
        <f>IF(U370="","",U370+V370)</f>
        <v/>
      </c>
      <c r="X370" s="38"/>
      <c r="Y370" s="64" t="str">
        <f>IF(W370="","",W370-X370)</f>
        <v/>
      </c>
      <c r="Z370" s="40"/>
    </row>
    <row r="371" spans="1:27" s="25" customFormat="1" ht="18" customHeight="1" x14ac:dyDescent="0.2">
      <c r="A371" s="279"/>
      <c r="B371" s="289" t="s">
        <v>39</v>
      </c>
      <c r="C371" s="290"/>
      <c r="D371" s="277"/>
      <c r="E371" s="277"/>
      <c r="F371" s="393" t="s">
        <v>41</v>
      </c>
      <c r="G371" s="395"/>
      <c r="H371" s="277"/>
      <c r="I371" s="393" t="s">
        <v>42</v>
      </c>
      <c r="J371" s="394"/>
      <c r="K371" s="395"/>
      <c r="L371" s="291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4" t="str">
        <f>IF($J$1="February","",Y370)</f>
        <v/>
      </c>
      <c r="V371" s="38"/>
      <c r="W371" s="64" t="str">
        <f t="shared" ref="W371:W374" si="93">IF(U371="","",U371+V371)</f>
        <v/>
      </c>
      <c r="X371" s="38"/>
      <c r="Y371" s="64" t="str">
        <f t="shared" ref="Y371:Y374" si="94">IF(W371="","",W371-X371)</f>
        <v/>
      </c>
      <c r="Z371" s="40"/>
    </row>
    <row r="372" spans="1:27" s="25" customFormat="1" ht="18" customHeight="1" x14ac:dyDescent="0.2">
      <c r="A372" s="279"/>
      <c r="B372" s="277"/>
      <c r="C372" s="277"/>
      <c r="D372" s="277"/>
      <c r="E372" s="277"/>
      <c r="F372" s="277"/>
      <c r="G372" s="277"/>
      <c r="H372" s="292"/>
      <c r="I372" s="277"/>
      <c r="J372" s="277"/>
      <c r="K372" s="277"/>
      <c r="L372" s="293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4" t="str">
        <f>IF($J$1="March","",Y371)</f>
        <v/>
      </c>
      <c r="V372" s="38"/>
      <c r="W372" s="64" t="str">
        <f t="shared" si="93"/>
        <v/>
      </c>
      <c r="X372" s="38"/>
      <c r="Y372" s="64" t="str">
        <f t="shared" si="94"/>
        <v/>
      </c>
      <c r="Z372" s="40"/>
    </row>
    <row r="373" spans="1:27" s="25" customFormat="1" ht="18" customHeight="1" x14ac:dyDescent="0.2">
      <c r="A373" s="279"/>
      <c r="B373" s="397" t="s">
        <v>40</v>
      </c>
      <c r="C373" s="398"/>
      <c r="D373" s="277"/>
      <c r="E373" s="277"/>
      <c r="F373" s="294" t="s">
        <v>62</v>
      </c>
      <c r="G373" s="29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92"/>
      <c r="I373" s="296">
        <f>IF(C377&gt;=C376,$K$2,C375+C377)</f>
        <v>31</v>
      </c>
      <c r="J373" s="297" t="s">
        <v>59</v>
      </c>
      <c r="K373" s="298">
        <f>K369/$K$2*I373</f>
        <v>28000</v>
      </c>
      <c r="L373" s="299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4" t="str">
        <f>IF($J$1="April","",Y372)</f>
        <v/>
      </c>
      <c r="V373" s="38"/>
      <c r="W373" s="64" t="str">
        <f t="shared" si="93"/>
        <v/>
      </c>
      <c r="X373" s="38"/>
      <c r="Y373" s="64" t="str">
        <f t="shared" si="94"/>
        <v/>
      </c>
      <c r="Z373" s="40"/>
    </row>
    <row r="374" spans="1:27" s="25" customFormat="1" ht="18" customHeight="1" x14ac:dyDescent="0.2">
      <c r="A374" s="279"/>
      <c r="B374" s="300"/>
      <c r="C374" s="300"/>
      <c r="D374" s="277"/>
      <c r="E374" s="277"/>
      <c r="F374" s="294" t="s">
        <v>18</v>
      </c>
      <c r="G374" s="29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92"/>
      <c r="I374" s="296"/>
      <c r="J374" s="297" t="s">
        <v>60</v>
      </c>
      <c r="K374" s="301">
        <f>K369/$K$2/8*I374</f>
        <v>0</v>
      </c>
      <c r="L374" s="302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4" t="str">
        <f>Y373</f>
        <v/>
      </c>
      <c r="V374" s="38"/>
      <c r="W374" s="64" t="str">
        <f t="shared" si="93"/>
        <v/>
      </c>
      <c r="X374" s="38"/>
      <c r="Y374" s="64" t="str">
        <f t="shared" si="94"/>
        <v/>
      </c>
      <c r="Z374" s="40"/>
    </row>
    <row r="375" spans="1:27" s="25" customFormat="1" ht="18" customHeight="1" x14ac:dyDescent="0.2">
      <c r="A375" s="279"/>
      <c r="B375" s="294" t="s">
        <v>7</v>
      </c>
      <c r="C375" s="30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0</v>
      </c>
      <c r="D375" s="277"/>
      <c r="E375" s="277"/>
      <c r="F375" s="294" t="s">
        <v>63</v>
      </c>
      <c r="G375" s="29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92"/>
      <c r="I375" s="388" t="s">
        <v>67</v>
      </c>
      <c r="J375" s="389"/>
      <c r="K375" s="301">
        <f>K373+K374</f>
        <v>28000</v>
      </c>
      <c r="L375" s="302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4" t="str">
        <f>Y374</f>
        <v/>
      </c>
      <c r="V375" s="38"/>
      <c r="W375" s="64" t="str">
        <f t="shared" ref="W375:W380" si="95">IF(U375="","",U375+V375)</f>
        <v/>
      </c>
      <c r="X375" s="38"/>
      <c r="Y375" s="64" t="str">
        <f t="shared" ref="Y375:Y380" si="96">IF(W375="","",W375-X375)</f>
        <v/>
      </c>
      <c r="Z375" s="40"/>
    </row>
    <row r="376" spans="1:27" s="25" customFormat="1" ht="18" customHeight="1" x14ac:dyDescent="0.2">
      <c r="A376" s="279"/>
      <c r="B376" s="294" t="s">
        <v>6</v>
      </c>
      <c r="C376" s="30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7"/>
      <c r="E376" s="277"/>
      <c r="F376" s="294" t="s">
        <v>19</v>
      </c>
      <c r="G376" s="29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92"/>
      <c r="I376" s="388" t="s">
        <v>68</v>
      </c>
      <c r="J376" s="389"/>
      <c r="K376" s="295">
        <f>G376</f>
        <v>0</v>
      </c>
      <c r="L376" s="303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4"/>
      <c r="V376" s="38"/>
      <c r="W376" s="64" t="str">
        <f t="shared" si="95"/>
        <v/>
      </c>
      <c r="X376" s="38"/>
      <c r="Y376" s="64" t="str">
        <f t="shared" si="96"/>
        <v/>
      </c>
      <c r="Z376" s="40"/>
    </row>
    <row r="377" spans="1:27" s="25" customFormat="1" ht="18" customHeight="1" x14ac:dyDescent="0.2">
      <c r="A377" s="279"/>
      <c r="B377" s="309" t="s">
        <v>66</v>
      </c>
      <c r="C377" s="300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7"/>
      <c r="E377" s="277"/>
      <c r="F377" s="309" t="s">
        <v>201</v>
      </c>
      <c r="G377" s="295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7"/>
      <c r="I377" s="393" t="s">
        <v>61</v>
      </c>
      <c r="J377" s="395"/>
      <c r="K377" s="234">
        <f>K375-K376</f>
        <v>28000</v>
      </c>
      <c r="L377" s="304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4" t="str">
        <f>IF($J$1="September",Y376,"")</f>
        <v/>
      </c>
      <c r="V377" s="38"/>
      <c r="W377" s="64" t="str">
        <f t="shared" si="95"/>
        <v/>
      </c>
      <c r="X377" s="38"/>
      <c r="Y377" s="64" t="str">
        <f t="shared" si="96"/>
        <v/>
      </c>
      <c r="Z377" s="40"/>
    </row>
    <row r="378" spans="1:27" s="25" customFormat="1" ht="18" customHeight="1" x14ac:dyDescent="0.2">
      <c r="A378" s="279"/>
      <c r="B378" s="277"/>
      <c r="C378" s="277"/>
      <c r="D378" s="277"/>
      <c r="E378" s="277"/>
      <c r="F378" s="277"/>
      <c r="G378" s="277"/>
      <c r="H378" s="277"/>
      <c r="I378" s="277"/>
      <c r="J378" s="277"/>
      <c r="K378" s="277"/>
      <c r="L378" s="291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4" t="str">
        <f>Y377</f>
        <v/>
      </c>
      <c r="V378" s="38"/>
      <c r="W378" s="64" t="str">
        <f t="shared" si="95"/>
        <v/>
      </c>
      <c r="X378" s="38"/>
      <c r="Y378" s="64" t="str">
        <f t="shared" si="96"/>
        <v/>
      </c>
      <c r="Z378" s="40"/>
    </row>
    <row r="379" spans="1:27" s="25" customFormat="1" ht="18" customHeight="1" x14ac:dyDescent="0.3">
      <c r="A379" s="279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91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4" t="str">
        <f>Y378</f>
        <v/>
      </c>
      <c r="V379" s="38"/>
      <c r="W379" s="64" t="str">
        <f t="shared" si="95"/>
        <v/>
      </c>
      <c r="X379" s="38"/>
      <c r="Y379" s="64" t="str">
        <f t="shared" si="96"/>
        <v/>
      </c>
      <c r="Z379" s="40"/>
    </row>
    <row r="380" spans="1:27" s="25" customFormat="1" ht="18" customHeight="1" thickBot="1" x14ac:dyDescent="0.35">
      <c r="A380" s="305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7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4">
        <v>0</v>
      </c>
      <c r="V380" s="38"/>
      <c r="W380" s="64">
        <f t="shared" si="95"/>
        <v>0</v>
      </c>
      <c r="X380" s="38"/>
      <c r="Y380" s="64">
        <f t="shared" si="96"/>
        <v>0</v>
      </c>
      <c r="Z380" s="40"/>
    </row>
    <row r="381" spans="1:27" s="57" customFormat="1" ht="18" customHeight="1" thickBot="1" x14ac:dyDescent="0.25">
      <c r="A381" s="308"/>
      <c r="B381" s="308"/>
      <c r="C381" s="308"/>
      <c r="D381" s="308"/>
      <c r="E381" s="308"/>
      <c r="F381" s="308"/>
      <c r="G381" s="308"/>
      <c r="H381" s="308"/>
      <c r="I381" s="308"/>
      <c r="J381" s="308"/>
      <c r="K381" s="308"/>
      <c r="L381" s="30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7" s="25" customFormat="1" ht="18" customHeight="1" thickBot="1" x14ac:dyDescent="0.25">
      <c r="A382" s="390" t="s">
        <v>38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2"/>
      <c r="M382" s="24"/>
      <c r="N382" s="28"/>
      <c r="O382" s="385" t="s">
        <v>40</v>
      </c>
      <c r="P382" s="386"/>
      <c r="Q382" s="386"/>
      <c r="R382" s="387"/>
      <c r="S382" s="29"/>
      <c r="T382" s="385" t="s">
        <v>41</v>
      </c>
      <c r="U382" s="386"/>
      <c r="V382" s="386"/>
      <c r="W382" s="386"/>
      <c r="X382" s="386"/>
      <c r="Y382" s="387"/>
      <c r="Z382" s="30"/>
      <c r="AA382" s="24"/>
    </row>
    <row r="383" spans="1:27" s="25" customFormat="1" ht="18" customHeight="1" x14ac:dyDescent="0.2">
      <c r="A383" s="279"/>
      <c r="B383" s="277"/>
      <c r="C383" s="396" t="s">
        <v>212</v>
      </c>
      <c r="D383" s="396"/>
      <c r="E383" s="396"/>
      <c r="F383" s="396"/>
      <c r="G383" s="280" t="str">
        <f>$J$1</f>
        <v>January</v>
      </c>
      <c r="H383" s="399">
        <f>$K$1</f>
        <v>2024</v>
      </c>
      <c r="I383" s="399"/>
      <c r="J383" s="277"/>
      <c r="K383" s="281"/>
      <c r="L383" s="282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9"/>
      <c r="B384" s="277"/>
      <c r="C384" s="277"/>
      <c r="D384" s="283"/>
      <c r="E384" s="283"/>
      <c r="F384" s="283"/>
      <c r="G384" s="283"/>
      <c r="H384" s="283"/>
      <c r="I384" s="277"/>
      <c r="J384" s="284" t="s">
        <v>1</v>
      </c>
      <c r="K384" s="285">
        <f>20000+5000</f>
        <v>25000</v>
      </c>
      <c r="L384" s="286"/>
      <c r="N384" s="35"/>
      <c r="O384" s="36" t="s">
        <v>43</v>
      </c>
      <c r="P384" s="36"/>
      <c r="Q384" s="36"/>
      <c r="R384" s="36">
        <f>15-Q384</f>
        <v>15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/>
      <c r="Y384" s="38">
        <f>W384-X384</f>
        <v>20000</v>
      </c>
      <c r="Z384" s="34"/>
    </row>
    <row r="385" spans="1:27" s="25" customFormat="1" ht="18" customHeight="1" x14ac:dyDescent="0.2">
      <c r="A385" s="279"/>
      <c r="B385" s="277" t="s">
        <v>0</v>
      </c>
      <c r="C385" s="276" t="s">
        <v>74</v>
      </c>
      <c r="D385" s="277"/>
      <c r="E385" s="277"/>
      <c r="F385" s="277"/>
      <c r="G385" s="277"/>
      <c r="H385" s="287"/>
      <c r="I385" s="283"/>
      <c r="J385" s="277"/>
      <c r="K385" s="277"/>
      <c r="L385" s="288"/>
      <c r="M385" s="24"/>
      <c r="N385" s="39"/>
      <c r="O385" s="36" t="s">
        <v>69</v>
      </c>
      <c r="P385" s="36"/>
      <c r="Q385" s="36"/>
      <c r="R385" s="36" t="str">
        <f t="shared" ref="R385:R395" si="97">IF(Q385="","",R384-Q385)</f>
        <v/>
      </c>
      <c r="S385" s="27"/>
      <c r="T385" s="36" t="s">
        <v>69</v>
      </c>
      <c r="U385" s="64"/>
      <c r="V385" s="38"/>
      <c r="W385" s="64" t="str">
        <f>IF(U385="","",U385+V385)</f>
        <v/>
      </c>
      <c r="X385" s="38"/>
      <c r="Y385" s="38" t="e">
        <f>W385-X385</f>
        <v>#VALUE!</v>
      </c>
      <c r="Z385" s="40"/>
      <c r="AA385" s="24"/>
    </row>
    <row r="386" spans="1:27" s="25" customFormat="1" ht="18" customHeight="1" x14ac:dyDescent="0.2">
      <c r="A386" s="279"/>
      <c r="B386" s="289" t="s">
        <v>39</v>
      </c>
      <c r="C386" s="290"/>
      <c r="D386" s="277"/>
      <c r="E386" s="277"/>
      <c r="F386" s="393" t="s">
        <v>41</v>
      </c>
      <c r="G386" s="395"/>
      <c r="H386" s="277"/>
      <c r="I386" s="393" t="s">
        <v>42</v>
      </c>
      <c r="J386" s="394"/>
      <c r="K386" s="395"/>
      <c r="L386" s="291"/>
      <c r="N386" s="35"/>
      <c r="O386" s="36" t="s">
        <v>44</v>
      </c>
      <c r="P386" s="36"/>
      <c r="Q386" s="36"/>
      <c r="R386" s="36" t="str">
        <f t="shared" si="97"/>
        <v/>
      </c>
      <c r="S386" s="27"/>
      <c r="T386" s="36" t="s">
        <v>44</v>
      </c>
      <c r="U386" s="64"/>
      <c r="V386" s="38"/>
      <c r="W386" s="64" t="str">
        <f t="shared" ref="W386:W395" si="98">IF(U386="","",U386+V386)</f>
        <v/>
      </c>
      <c r="X386" s="38"/>
      <c r="Y386" s="64" t="str">
        <f t="shared" ref="Y386:Y395" si="99">IF(W386="","",W386-X386)</f>
        <v/>
      </c>
      <c r="Z386" s="40"/>
    </row>
    <row r="387" spans="1:27" s="25" customFormat="1" ht="18" customHeight="1" x14ac:dyDescent="0.2">
      <c r="A387" s="279"/>
      <c r="B387" s="277"/>
      <c r="C387" s="277"/>
      <c r="D387" s="277"/>
      <c r="E387" s="277"/>
      <c r="F387" s="277"/>
      <c r="G387" s="277"/>
      <c r="H387" s="292"/>
      <c r="I387" s="277"/>
      <c r="J387" s="277"/>
      <c r="K387" s="277"/>
      <c r="L387" s="293"/>
      <c r="N387" s="35"/>
      <c r="O387" s="36" t="s">
        <v>45</v>
      </c>
      <c r="P387" s="36"/>
      <c r="Q387" s="36"/>
      <c r="R387" s="36" t="str">
        <f t="shared" si="97"/>
        <v/>
      </c>
      <c r="S387" s="27"/>
      <c r="T387" s="36" t="s">
        <v>45</v>
      </c>
      <c r="U387" s="64"/>
      <c r="V387" s="38"/>
      <c r="W387" s="64" t="str">
        <f t="shared" si="98"/>
        <v/>
      </c>
      <c r="X387" s="38"/>
      <c r="Y387" s="64" t="str">
        <f t="shared" si="99"/>
        <v/>
      </c>
      <c r="Z387" s="40"/>
    </row>
    <row r="388" spans="1:27" s="25" customFormat="1" ht="18" customHeight="1" x14ac:dyDescent="0.2">
      <c r="A388" s="279"/>
      <c r="B388" s="397" t="s">
        <v>40</v>
      </c>
      <c r="C388" s="398"/>
      <c r="D388" s="277"/>
      <c r="E388" s="277"/>
      <c r="F388" s="294" t="s">
        <v>62</v>
      </c>
      <c r="G388" s="29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20000</v>
      </c>
      <c r="H388" s="292"/>
      <c r="I388" s="296">
        <f>IF(C392&gt;=C391,$K$2,C390+C392)</f>
        <v>31</v>
      </c>
      <c r="J388" s="297" t="s">
        <v>59</v>
      </c>
      <c r="K388" s="298">
        <f>K384/$K$2*I388</f>
        <v>25000</v>
      </c>
      <c r="L388" s="299"/>
      <c r="N388" s="35"/>
      <c r="O388" s="36" t="s">
        <v>46</v>
      </c>
      <c r="P388" s="36"/>
      <c r="Q388" s="36"/>
      <c r="R388" s="36" t="str">
        <f t="shared" si="97"/>
        <v/>
      </c>
      <c r="S388" s="27"/>
      <c r="T388" s="36" t="s">
        <v>46</v>
      </c>
      <c r="U388" s="64"/>
      <c r="V388" s="38"/>
      <c r="W388" s="64" t="str">
        <f t="shared" si="98"/>
        <v/>
      </c>
      <c r="X388" s="38"/>
      <c r="Y388" s="64" t="str">
        <f t="shared" si="99"/>
        <v/>
      </c>
      <c r="Z388" s="40"/>
    </row>
    <row r="389" spans="1:27" s="25" customFormat="1" ht="18" customHeight="1" x14ac:dyDescent="0.2">
      <c r="A389" s="279"/>
      <c r="B389" s="300"/>
      <c r="C389" s="300"/>
      <c r="D389" s="277"/>
      <c r="E389" s="277"/>
      <c r="F389" s="294" t="s">
        <v>18</v>
      </c>
      <c r="G389" s="29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92"/>
      <c r="I389" s="296">
        <v>14</v>
      </c>
      <c r="J389" s="297" t="s">
        <v>60</v>
      </c>
      <c r="K389" s="301">
        <f>K384/$K$2/8*I389</f>
        <v>1411.2903225806454</v>
      </c>
      <c r="L389" s="302"/>
      <c r="N389" s="35"/>
      <c r="O389" s="36" t="s">
        <v>47</v>
      </c>
      <c r="P389" s="36"/>
      <c r="Q389" s="36"/>
      <c r="R389" s="36" t="str">
        <f t="shared" si="97"/>
        <v/>
      </c>
      <c r="S389" s="27"/>
      <c r="T389" s="36" t="s">
        <v>47</v>
      </c>
      <c r="U389" s="64"/>
      <c r="V389" s="38"/>
      <c r="W389" s="64" t="str">
        <f t="shared" si="98"/>
        <v/>
      </c>
      <c r="X389" s="38"/>
      <c r="Y389" s="64" t="str">
        <f t="shared" si="99"/>
        <v/>
      </c>
      <c r="Z389" s="40"/>
    </row>
    <row r="390" spans="1:27" s="25" customFormat="1" ht="18" customHeight="1" x14ac:dyDescent="0.2">
      <c r="A390" s="279"/>
      <c r="B390" s="294" t="s">
        <v>7</v>
      </c>
      <c r="C390" s="30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0</v>
      </c>
      <c r="D390" s="277"/>
      <c r="E390" s="277"/>
      <c r="F390" s="294" t="s">
        <v>63</v>
      </c>
      <c r="G390" s="29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20000</v>
      </c>
      <c r="H390" s="292"/>
      <c r="I390" s="388" t="s">
        <v>67</v>
      </c>
      <c r="J390" s="389"/>
      <c r="K390" s="301">
        <f>K388+K389</f>
        <v>26411.290322580644</v>
      </c>
      <c r="L390" s="302"/>
      <c r="N390" s="35"/>
      <c r="O390" s="36" t="s">
        <v>48</v>
      </c>
      <c r="P390" s="36"/>
      <c r="Q390" s="36"/>
      <c r="R390" s="36" t="str">
        <f t="shared" si="97"/>
        <v/>
      </c>
      <c r="S390" s="27"/>
      <c r="T390" s="36" t="s">
        <v>48</v>
      </c>
      <c r="U390" s="64"/>
      <c r="V390" s="38"/>
      <c r="W390" s="64" t="str">
        <f t="shared" si="98"/>
        <v/>
      </c>
      <c r="X390" s="38"/>
      <c r="Y390" s="64" t="str">
        <f t="shared" si="99"/>
        <v/>
      </c>
      <c r="Z390" s="40"/>
    </row>
    <row r="391" spans="1:27" s="25" customFormat="1" ht="18" customHeight="1" x14ac:dyDescent="0.2">
      <c r="A391" s="279"/>
      <c r="B391" s="294" t="s">
        <v>6</v>
      </c>
      <c r="C391" s="30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7"/>
      <c r="E391" s="277"/>
      <c r="F391" s="294" t="s">
        <v>19</v>
      </c>
      <c r="G391" s="29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0</v>
      </c>
      <c r="H391" s="292"/>
      <c r="I391" s="388" t="s">
        <v>68</v>
      </c>
      <c r="J391" s="389"/>
      <c r="K391" s="295">
        <f>G391</f>
        <v>0</v>
      </c>
      <c r="L391" s="303"/>
      <c r="N391" s="35"/>
      <c r="O391" s="36" t="s">
        <v>49</v>
      </c>
      <c r="P391" s="36"/>
      <c r="Q391" s="36"/>
      <c r="R391" s="36" t="str">
        <f t="shared" si="97"/>
        <v/>
      </c>
      <c r="S391" s="27"/>
      <c r="T391" s="36" t="s">
        <v>49</v>
      </c>
      <c r="U391" s="64"/>
      <c r="V391" s="38"/>
      <c r="W391" s="64" t="str">
        <f t="shared" si="98"/>
        <v/>
      </c>
      <c r="X391" s="38"/>
      <c r="Y391" s="64" t="str">
        <f t="shared" si="99"/>
        <v/>
      </c>
      <c r="Z391" s="40"/>
    </row>
    <row r="392" spans="1:27" s="25" customFormat="1" ht="18" customHeight="1" x14ac:dyDescent="0.2">
      <c r="A392" s="279"/>
      <c r="B392" s="309" t="s">
        <v>66</v>
      </c>
      <c r="C392" s="300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15</v>
      </c>
      <c r="D392" s="277"/>
      <c r="E392" s="277"/>
      <c r="F392" s="309" t="s">
        <v>201</v>
      </c>
      <c r="G392" s="295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20000</v>
      </c>
      <c r="H392" s="277"/>
      <c r="I392" s="393" t="s">
        <v>61</v>
      </c>
      <c r="J392" s="395"/>
      <c r="K392" s="234">
        <f>K390-K391</f>
        <v>26411.290322580644</v>
      </c>
      <c r="L392" s="304"/>
      <c r="N392" s="35"/>
      <c r="O392" s="36" t="s">
        <v>54</v>
      </c>
      <c r="P392" s="36"/>
      <c r="Q392" s="36"/>
      <c r="R392" s="36" t="str">
        <f t="shared" si="97"/>
        <v/>
      </c>
      <c r="S392" s="27"/>
      <c r="T392" s="36" t="s">
        <v>54</v>
      </c>
      <c r="U392" s="64"/>
      <c r="V392" s="38"/>
      <c r="W392" s="64" t="str">
        <f t="shared" si="98"/>
        <v/>
      </c>
      <c r="X392" s="38"/>
      <c r="Y392" s="64" t="str">
        <f t="shared" si="99"/>
        <v/>
      </c>
      <c r="Z392" s="40"/>
    </row>
    <row r="393" spans="1:27" s="25" customFormat="1" ht="18" customHeight="1" x14ac:dyDescent="0.2">
      <c r="A393" s="279"/>
      <c r="B393" s="277"/>
      <c r="C393" s="277"/>
      <c r="D393" s="277"/>
      <c r="E393" s="277"/>
      <c r="F393" s="277"/>
      <c r="G393" s="277"/>
      <c r="H393" s="277"/>
      <c r="I393" s="277"/>
      <c r="J393" s="277"/>
      <c r="K393" s="277"/>
      <c r="L393" s="291"/>
      <c r="N393" s="35"/>
      <c r="O393" s="36" t="s">
        <v>50</v>
      </c>
      <c r="P393" s="36"/>
      <c r="Q393" s="36"/>
      <c r="R393" s="36" t="str">
        <f t="shared" si="97"/>
        <v/>
      </c>
      <c r="S393" s="27"/>
      <c r="T393" s="36" t="s">
        <v>50</v>
      </c>
      <c r="U393" s="64"/>
      <c r="V393" s="38"/>
      <c r="W393" s="64" t="str">
        <f t="shared" si="98"/>
        <v/>
      </c>
      <c r="X393" s="38"/>
      <c r="Y393" s="64" t="str">
        <f t="shared" si="99"/>
        <v/>
      </c>
      <c r="Z393" s="40"/>
    </row>
    <row r="394" spans="1:27" s="25" customFormat="1" ht="18" customHeight="1" x14ac:dyDescent="0.3">
      <c r="A394" s="279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91"/>
      <c r="N394" s="35"/>
      <c r="O394" s="36" t="s">
        <v>55</v>
      </c>
      <c r="P394" s="36"/>
      <c r="Q394" s="36"/>
      <c r="R394" s="36" t="str">
        <f t="shared" si="97"/>
        <v/>
      </c>
      <c r="S394" s="27"/>
      <c r="T394" s="36" t="s">
        <v>55</v>
      </c>
      <c r="U394" s="64"/>
      <c r="V394" s="38"/>
      <c r="W394" s="64" t="str">
        <f t="shared" si="98"/>
        <v/>
      </c>
      <c r="X394" s="38"/>
      <c r="Y394" s="64" t="str">
        <f t="shared" si="99"/>
        <v/>
      </c>
      <c r="Z394" s="40"/>
    </row>
    <row r="395" spans="1:27" s="25" customFormat="1" ht="18" customHeight="1" thickBot="1" x14ac:dyDescent="0.35">
      <c r="A395" s="305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7"/>
      <c r="N395" s="35"/>
      <c r="O395" s="36" t="s">
        <v>56</v>
      </c>
      <c r="P395" s="36"/>
      <c r="Q395" s="36"/>
      <c r="R395" s="36" t="str">
        <f t="shared" si="97"/>
        <v/>
      </c>
      <c r="S395" s="27"/>
      <c r="T395" s="36" t="s">
        <v>56</v>
      </c>
      <c r="U395" s="64"/>
      <c r="V395" s="38"/>
      <c r="W395" s="64" t="str">
        <f t="shared" si="98"/>
        <v/>
      </c>
      <c r="X395" s="38"/>
      <c r="Y395" s="64" t="str">
        <f t="shared" si="99"/>
        <v/>
      </c>
      <c r="Z395" s="40"/>
    </row>
    <row r="396" spans="1:27" s="57" customFormat="1" ht="18" customHeight="1" thickBot="1" x14ac:dyDescent="0.25">
      <c r="A396" s="308"/>
      <c r="B396" s="308"/>
      <c r="C396" s="308"/>
      <c r="D396" s="308"/>
      <c r="E396" s="308"/>
      <c r="F396" s="308"/>
      <c r="G396" s="308"/>
      <c r="H396" s="308"/>
      <c r="I396" s="308"/>
      <c r="J396" s="308"/>
      <c r="K396" s="308"/>
      <c r="L396" s="30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7" s="25" customFormat="1" ht="18" customHeight="1" thickBot="1" x14ac:dyDescent="0.25">
      <c r="A397" s="390" t="s">
        <v>38</v>
      </c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2"/>
      <c r="M397" s="24"/>
      <c r="N397" s="28"/>
      <c r="O397" s="385" t="s">
        <v>40</v>
      </c>
      <c r="P397" s="386"/>
      <c r="Q397" s="386"/>
      <c r="R397" s="387"/>
      <c r="S397" s="29"/>
      <c r="T397" s="385" t="s">
        <v>41</v>
      </c>
      <c r="U397" s="386"/>
      <c r="V397" s="386"/>
      <c r="W397" s="386"/>
      <c r="X397" s="386"/>
      <c r="Y397" s="387"/>
      <c r="Z397" s="30"/>
      <c r="AA397" s="24"/>
    </row>
    <row r="398" spans="1:27" s="25" customFormat="1" ht="18" customHeight="1" x14ac:dyDescent="0.2">
      <c r="A398" s="279"/>
      <c r="B398" s="277"/>
      <c r="C398" s="396" t="s">
        <v>212</v>
      </c>
      <c r="D398" s="396"/>
      <c r="E398" s="396"/>
      <c r="F398" s="396"/>
      <c r="G398" s="280" t="str">
        <f>$J$1</f>
        <v>January</v>
      </c>
      <c r="H398" s="399">
        <f>$K$1</f>
        <v>2024</v>
      </c>
      <c r="I398" s="399"/>
      <c r="J398" s="277"/>
      <c r="K398" s="281"/>
      <c r="L398" s="282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34"/>
      <c r="AA398" s="26"/>
    </row>
    <row r="399" spans="1:27" s="25" customFormat="1" ht="18" customHeight="1" x14ac:dyDescent="0.2">
      <c r="A399" s="279"/>
      <c r="B399" s="277"/>
      <c r="C399" s="277"/>
      <c r="D399" s="283"/>
      <c r="E399" s="283"/>
      <c r="F399" s="283"/>
      <c r="G399" s="283"/>
      <c r="H399" s="283"/>
      <c r="I399" s="277"/>
      <c r="J399" s="284" t="s">
        <v>1</v>
      </c>
      <c r="K399" s="285">
        <f>25000+2000</f>
        <v>27000</v>
      </c>
      <c r="L399" s="286"/>
      <c r="N399" s="35"/>
      <c r="O399" s="36" t="s">
        <v>43</v>
      </c>
      <c r="P399" s="36"/>
      <c r="Q399" s="36"/>
      <c r="R399" s="36">
        <f>15-Q399</f>
        <v>15</v>
      </c>
      <c r="S399" s="37"/>
      <c r="T399" s="36" t="s">
        <v>43</v>
      </c>
      <c r="U399" s="38">
        <v>19000</v>
      </c>
      <c r="V399" s="38"/>
      <c r="W399" s="38">
        <f>V399+U399</f>
        <v>19000</v>
      </c>
      <c r="X399" s="38"/>
      <c r="Y399" s="38">
        <f>W399-X399</f>
        <v>19000</v>
      </c>
      <c r="Z399" s="34"/>
    </row>
    <row r="400" spans="1:27" s="25" customFormat="1" ht="18" customHeight="1" x14ac:dyDescent="0.2">
      <c r="A400" s="279"/>
      <c r="B400" s="277" t="s">
        <v>0</v>
      </c>
      <c r="C400" s="276" t="s">
        <v>104</v>
      </c>
      <c r="D400" s="277"/>
      <c r="E400" s="277"/>
      <c r="F400" s="277"/>
      <c r="G400" s="277"/>
      <c r="H400" s="287"/>
      <c r="I400" s="283"/>
      <c r="J400" s="277"/>
      <c r="K400" s="277"/>
      <c r="L400" s="288"/>
      <c r="M400" s="24"/>
      <c r="N400" s="39"/>
      <c r="O400" s="36" t="s">
        <v>69</v>
      </c>
      <c r="P400" s="36"/>
      <c r="Q400" s="36"/>
      <c r="R400" s="36" t="str">
        <f t="shared" ref="R400:R410" si="100">IF(Q400="","",R399-Q400)</f>
        <v/>
      </c>
      <c r="S400" s="27"/>
      <c r="T400" s="36" t="s">
        <v>69</v>
      </c>
      <c r="U400" s="64"/>
      <c r="V400" s="38"/>
      <c r="W400" s="64" t="str">
        <f>IF(U400="","",U400+V400)</f>
        <v/>
      </c>
      <c r="X400" s="38"/>
      <c r="Y400" s="64" t="str">
        <f>IF(W400="","",W400-X400)</f>
        <v/>
      </c>
      <c r="Z400" s="40"/>
      <c r="AA400" s="24"/>
    </row>
    <row r="401" spans="1:26" s="25" customFormat="1" ht="18" customHeight="1" x14ac:dyDescent="0.2">
      <c r="A401" s="279"/>
      <c r="B401" s="289" t="s">
        <v>39</v>
      </c>
      <c r="C401" s="290"/>
      <c r="D401" s="277"/>
      <c r="E401" s="277"/>
      <c r="F401" s="393" t="s">
        <v>41</v>
      </c>
      <c r="G401" s="395"/>
      <c r="H401" s="277"/>
      <c r="I401" s="393" t="s">
        <v>42</v>
      </c>
      <c r="J401" s="394"/>
      <c r="K401" s="395"/>
      <c r="L401" s="291"/>
      <c r="N401" s="35"/>
      <c r="O401" s="36" t="s">
        <v>44</v>
      </c>
      <c r="P401" s="36"/>
      <c r="Q401" s="36"/>
      <c r="R401" s="36" t="str">
        <f t="shared" si="100"/>
        <v/>
      </c>
      <c r="S401" s="27"/>
      <c r="T401" s="36" t="s">
        <v>44</v>
      </c>
      <c r="U401" s="64" t="str">
        <f>IF($J$1="February","",Y400)</f>
        <v/>
      </c>
      <c r="V401" s="38"/>
      <c r="W401" s="64" t="str">
        <f t="shared" ref="W401:W410" si="101">IF(U401="","",U401+V401)</f>
        <v/>
      </c>
      <c r="X401" s="38"/>
      <c r="Y401" s="64" t="str">
        <f t="shared" ref="Y401:Y410" si="102">IF(W401="","",W401-X401)</f>
        <v/>
      </c>
      <c r="Z401" s="40"/>
    </row>
    <row r="402" spans="1:26" s="25" customFormat="1" ht="18" customHeight="1" x14ac:dyDescent="0.2">
      <c r="A402" s="279"/>
      <c r="B402" s="277"/>
      <c r="C402" s="277"/>
      <c r="D402" s="277"/>
      <c r="E402" s="277"/>
      <c r="F402" s="277"/>
      <c r="G402" s="277"/>
      <c r="H402" s="292"/>
      <c r="I402" s="277"/>
      <c r="J402" s="277"/>
      <c r="K402" s="277"/>
      <c r="L402" s="293"/>
      <c r="N402" s="35"/>
      <c r="O402" s="36" t="s">
        <v>45</v>
      </c>
      <c r="P402" s="36"/>
      <c r="Q402" s="36"/>
      <c r="R402" s="36" t="str">
        <f t="shared" si="100"/>
        <v/>
      </c>
      <c r="S402" s="27"/>
      <c r="T402" s="36" t="s">
        <v>45</v>
      </c>
      <c r="U402" s="64" t="str">
        <f>IF($J$1="March","",Y401)</f>
        <v/>
      </c>
      <c r="V402" s="38"/>
      <c r="W402" s="64" t="str">
        <f t="shared" si="101"/>
        <v/>
      </c>
      <c r="X402" s="38"/>
      <c r="Y402" s="64" t="str">
        <f t="shared" si="102"/>
        <v/>
      </c>
      <c r="Z402" s="40"/>
    </row>
    <row r="403" spans="1:26" s="25" customFormat="1" ht="18" customHeight="1" x14ac:dyDescent="0.2">
      <c r="A403" s="279"/>
      <c r="B403" s="397" t="s">
        <v>40</v>
      </c>
      <c r="C403" s="398"/>
      <c r="D403" s="277"/>
      <c r="E403" s="277"/>
      <c r="F403" s="294" t="s">
        <v>62</v>
      </c>
      <c r="G403" s="29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19000</v>
      </c>
      <c r="H403" s="292"/>
      <c r="I403" s="296">
        <f>IF(C407&gt;=C406,$K$2,C405+C407)</f>
        <v>31</v>
      </c>
      <c r="J403" s="297" t="s">
        <v>59</v>
      </c>
      <c r="K403" s="298">
        <f>K399/$K$2*I403</f>
        <v>27000</v>
      </c>
      <c r="L403" s="299"/>
      <c r="N403" s="35"/>
      <c r="O403" s="36" t="s">
        <v>46</v>
      </c>
      <c r="P403" s="36"/>
      <c r="Q403" s="36"/>
      <c r="R403" s="36" t="str">
        <f t="shared" si="100"/>
        <v/>
      </c>
      <c r="S403" s="27"/>
      <c r="T403" s="36" t="s">
        <v>46</v>
      </c>
      <c r="U403" s="64" t="str">
        <f t="shared" ref="U403:U409" si="103">Y402</f>
        <v/>
      </c>
      <c r="V403" s="38"/>
      <c r="W403" s="64" t="str">
        <f t="shared" si="101"/>
        <v/>
      </c>
      <c r="X403" s="38"/>
      <c r="Y403" s="64" t="str">
        <f t="shared" si="102"/>
        <v/>
      </c>
      <c r="Z403" s="40"/>
    </row>
    <row r="404" spans="1:26" s="25" customFormat="1" ht="18" customHeight="1" x14ac:dyDescent="0.2">
      <c r="A404" s="279"/>
      <c r="B404" s="300"/>
      <c r="C404" s="300"/>
      <c r="D404" s="277"/>
      <c r="E404" s="277"/>
      <c r="F404" s="294" t="s">
        <v>18</v>
      </c>
      <c r="G404" s="29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92"/>
      <c r="I404" s="296">
        <v>3</v>
      </c>
      <c r="J404" s="297" t="s">
        <v>60</v>
      </c>
      <c r="K404" s="301">
        <f>K399/$K$2/8*I404</f>
        <v>326.61290322580646</v>
      </c>
      <c r="L404" s="302"/>
      <c r="N404" s="35"/>
      <c r="O404" s="36" t="s">
        <v>47</v>
      </c>
      <c r="P404" s="36"/>
      <c r="Q404" s="36"/>
      <c r="R404" s="36" t="str">
        <f t="shared" si="100"/>
        <v/>
      </c>
      <c r="S404" s="27"/>
      <c r="T404" s="36" t="s">
        <v>47</v>
      </c>
      <c r="U404" s="64" t="str">
        <f t="shared" si="103"/>
        <v/>
      </c>
      <c r="V404" s="38"/>
      <c r="W404" s="64" t="str">
        <f t="shared" si="101"/>
        <v/>
      </c>
      <c r="X404" s="38"/>
      <c r="Y404" s="64" t="str">
        <f t="shared" si="102"/>
        <v/>
      </c>
      <c r="Z404" s="40"/>
    </row>
    <row r="405" spans="1:26" s="25" customFormat="1" ht="18" customHeight="1" x14ac:dyDescent="0.2">
      <c r="A405" s="279"/>
      <c r="B405" s="294" t="s">
        <v>7</v>
      </c>
      <c r="C405" s="30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0</v>
      </c>
      <c r="D405" s="277"/>
      <c r="E405" s="277"/>
      <c r="F405" s="294" t="s">
        <v>63</v>
      </c>
      <c r="G405" s="29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19000</v>
      </c>
      <c r="H405" s="292"/>
      <c r="I405" s="388" t="s">
        <v>67</v>
      </c>
      <c r="J405" s="389"/>
      <c r="K405" s="301">
        <f>K403+K404</f>
        <v>27326.612903225807</v>
      </c>
      <c r="L405" s="302"/>
      <c r="N405" s="35"/>
      <c r="O405" s="36" t="s">
        <v>48</v>
      </c>
      <c r="P405" s="36"/>
      <c r="Q405" s="36"/>
      <c r="R405" s="36" t="str">
        <f t="shared" si="100"/>
        <v/>
      </c>
      <c r="S405" s="27"/>
      <c r="T405" s="36" t="s">
        <v>48</v>
      </c>
      <c r="U405" s="64" t="str">
        <f t="shared" si="103"/>
        <v/>
      </c>
      <c r="V405" s="38"/>
      <c r="W405" s="64" t="str">
        <f t="shared" si="101"/>
        <v/>
      </c>
      <c r="X405" s="38"/>
      <c r="Y405" s="64" t="str">
        <f t="shared" si="102"/>
        <v/>
      </c>
      <c r="Z405" s="40"/>
    </row>
    <row r="406" spans="1:26" s="25" customFormat="1" ht="18" customHeight="1" x14ac:dyDescent="0.2">
      <c r="A406" s="279"/>
      <c r="B406" s="294" t="s">
        <v>6</v>
      </c>
      <c r="C406" s="30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7"/>
      <c r="E406" s="277"/>
      <c r="F406" s="294" t="s">
        <v>19</v>
      </c>
      <c r="G406" s="29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92"/>
      <c r="I406" s="388" t="s">
        <v>68</v>
      </c>
      <c r="J406" s="389"/>
      <c r="K406" s="295">
        <f>G406</f>
        <v>0</v>
      </c>
      <c r="L406" s="303"/>
      <c r="N406" s="35"/>
      <c r="O406" s="36" t="s">
        <v>49</v>
      </c>
      <c r="P406" s="36"/>
      <c r="Q406" s="36"/>
      <c r="R406" s="36" t="str">
        <f t="shared" si="100"/>
        <v/>
      </c>
      <c r="S406" s="27"/>
      <c r="T406" s="36" t="s">
        <v>49</v>
      </c>
      <c r="U406" s="64" t="str">
        <f t="shared" si="103"/>
        <v/>
      </c>
      <c r="V406" s="38"/>
      <c r="W406" s="64" t="str">
        <f t="shared" si="101"/>
        <v/>
      </c>
      <c r="X406" s="38"/>
      <c r="Y406" s="64" t="str">
        <f t="shared" si="102"/>
        <v/>
      </c>
      <c r="Z406" s="40"/>
    </row>
    <row r="407" spans="1:26" s="25" customFormat="1" ht="18" customHeight="1" x14ac:dyDescent="0.2">
      <c r="A407" s="279"/>
      <c r="B407" s="309" t="s">
        <v>66</v>
      </c>
      <c r="C407" s="300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15</v>
      </c>
      <c r="D407" s="277"/>
      <c r="E407" s="277"/>
      <c r="F407" s="309" t="s">
        <v>201</v>
      </c>
      <c r="G407" s="295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19000</v>
      </c>
      <c r="H407" s="277"/>
      <c r="I407" s="393" t="s">
        <v>61</v>
      </c>
      <c r="J407" s="395"/>
      <c r="K407" s="234">
        <f>K405-K406</f>
        <v>27326.612903225807</v>
      </c>
      <c r="L407" s="304"/>
      <c r="N407" s="35"/>
      <c r="O407" s="36" t="s">
        <v>54</v>
      </c>
      <c r="P407" s="36"/>
      <c r="Q407" s="36"/>
      <c r="R407" s="36" t="str">
        <f t="shared" si="100"/>
        <v/>
      </c>
      <c r="S407" s="27"/>
      <c r="T407" s="36" t="s">
        <v>54</v>
      </c>
      <c r="U407" s="64" t="str">
        <f t="shared" si="103"/>
        <v/>
      </c>
      <c r="V407" s="38"/>
      <c r="W407" s="64" t="str">
        <f t="shared" si="101"/>
        <v/>
      </c>
      <c r="X407" s="38"/>
      <c r="Y407" s="64" t="str">
        <f t="shared" si="102"/>
        <v/>
      </c>
      <c r="Z407" s="40"/>
    </row>
    <row r="408" spans="1:26" s="25" customFormat="1" ht="18" customHeight="1" x14ac:dyDescent="0.2">
      <c r="A408" s="279"/>
      <c r="B408" s="277"/>
      <c r="C408" s="277"/>
      <c r="D408" s="277"/>
      <c r="E408" s="277"/>
      <c r="F408" s="277"/>
      <c r="G408" s="277"/>
      <c r="H408" s="277"/>
      <c r="I408" s="277"/>
      <c r="J408" s="277"/>
      <c r="K408" s="277"/>
      <c r="L408" s="291"/>
      <c r="N408" s="35"/>
      <c r="O408" s="36" t="s">
        <v>50</v>
      </c>
      <c r="P408" s="36"/>
      <c r="Q408" s="36"/>
      <c r="R408" s="36" t="str">
        <f t="shared" si="100"/>
        <v/>
      </c>
      <c r="S408" s="27"/>
      <c r="T408" s="36" t="s">
        <v>50</v>
      </c>
      <c r="U408" s="64" t="str">
        <f t="shared" si="103"/>
        <v/>
      </c>
      <c r="V408" s="38"/>
      <c r="W408" s="64" t="str">
        <f t="shared" si="101"/>
        <v/>
      </c>
      <c r="X408" s="38"/>
      <c r="Y408" s="64" t="str">
        <f t="shared" si="102"/>
        <v/>
      </c>
      <c r="Z408" s="40"/>
    </row>
    <row r="409" spans="1:26" s="25" customFormat="1" ht="18" customHeight="1" x14ac:dyDescent="0.3">
      <c r="A409" s="279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91"/>
      <c r="N409" s="35"/>
      <c r="O409" s="36" t="s">
        <v>55</v>
      </c>
      <c r="P409" s="36"/>
      <c r="Q409" s="36"/>
      <c r="R409" s="36" t="str">
        <f t="shared" si="100"/>
        <v/>
      </c>
      <c r="S409" s="27"/>
      <c r="T409" s="36" t="s">
        <v>55</v>
      </c>
      <c r="U409" s="64" t="str">
        <f t="shared" si="103"/>
        <v/>
      </c>
      <c r="V409" s="38"/>
      <c r="W409" s="64" t="str">
        <f t="shared" si="101"/>
        <v/>
      </c>
      <c r="X409" s="38"/>
      <c r="Y409" s="64" t="str">
        <f t="shared" si="102"/>
        <v/>
      </c>
      <c r="Z409" s="40"/>
    </row>
    <row r="410" spans="1:26" s="25" customFormat="1" ht="18" customHeight="1" thickBot="1" x14ac:dyDescent="0.35">
      <c r="A410" s="305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7"/>
      <c r="N410" s="35"/>
      <c r="O410" s="36" t="s">
        <v>56</v>
      </c>
      <c r="P410" s="36"/>
      <c r="Q410" s="36"/>
      <c r="R410" s="36" t="str">
        <f t="shared" si="100"/>
        <v/>
      </c>
      <c r="S410" s="27"/>
      <c r="T410" s="36" t="s">
        <v>56</v>
      </c>
      <c r="U410" s="64" t="str">
        <f>Y409</f>
        <v/>
      </c>
      <c r="V410" s="38"/>
      <c r="W410" s="64" t="str">
        <f t="shared" si="101"/>
        <v/>
      </c>
      <c r="X410" s="38"/>
      <c r="Y410" s="64" t="str">
        <f t="shared" si="102"/>
        <v/>
      </c>
      <c r="Z410" s="40"/>
    </row>
    <row r="411" spans="1:26" s="57" customFormat="1" ht="18" customHeight="1" thickBot="1" x14ac:dyDescent="0.25">
      <c r="A411" s="308"/>
      <c r="B411" s="308"/>
      <c r="C411" s="308"/>
      <c r="D411" s="308"/>
      <c r="E411" s="308"/>
      <c r="F411" s="308"/>
      <c r="G411" s="308"/>
      <c r="H411" s="308"/>
      <c r="I411" s="308"/>
      <c r="J411" s="308"/>
      <c r="K411" s="308"/>
      <c r="L411" s="30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s="25" customFormat="1" ht="18" customHeight="1" thickBot="1" x14ac:dyDescent="0.25">
      <c r="A412" s="390" t="s">
        <v>38</v>
      </c>
      <c r="B412" s="391"/>
      <c r="C412" s="391"/>
      <c r="D412" s="391"/>
      <c r="E412" s="391"/>
      <c r="F412" s="391"/>
      <c r="G412" s="391"/>
      <c r="H412" s="391"/>
      <c r="I412" s="391"/>
      <c r="J412" s="391"/>
      <c r="K412" s="391"/>
      <c r="L412" s="392"/>
      <c r="M412" s="24"/>
      <c r="N412" s="28"/>
      <c r="O412" s="385" t="s">
        <v>40</v>
      </c>
      <c r="P412" s="386"/>
      <c r="Q412" s="386"/>
      <c r="R412" s="387"/>
      <c r="S412" s="29"/>
      <c r="T412" s="385" t="s">
        <v>41</v>
      </c>
      <c r="U412" s="386"/>
      <c r="V412" s="386"/>
      <c r="W412" s="386"/>
      <c r="X412" s="386"/>
      <c r="Y412" s="387"/>
      <c r="Z412" s="30"/>
    </row>
    <row r="413" spans="1:26" s="25" customFormat="1" ht="18" customHeight="1" x14ac:dyDescent="0.2">
      <c r="A413" s="279"/>
      <c r="B413" s="277"/>
      <c r="C413" s="396" t="s">
        <v>212</v>
      </c>
      <c r="D413" s="396"/>
      <c r="E413" s="396"/>
      <c r="F413" s="396"/>
      <c r="G413" s="280" t="str">
        <f>$J$1</f>
        <v>January</v>
      </c>
      <c r="H413" s="399">
        <f>$K$1</f>
        <v>2024</v>
      </c>
      <c r="I413" s="399"/>
      <c r="J413" s="277"/>
      <c r="K413" s="281"/>
      <c r="L413" s="282"/>
      <c r="M413" s="26"/>
      <c r="N413" s="31"/>
      <c r="O413" s="32" t="s">
        <v>51</v>
      </c>
      <c r="P413" s="32" t="s">
        <v>7</v>
      </c>
      <c r="Q413" s="32" t="s">
        <v>6</v>
      </c>
      <c r="R413" s="32" t="s">
        <v>52</v>
      </c>
      <c r="S413" s="33"/>
      <c r="T413" s="32" t="s">
        <v>51</v>
      </c>
      <c r="U413" s="32" t="s">
        <v>53</v>
      </c>
      <c r="V413" s="32" t="s">
        <v>18</v>
      </c>
      <c r="W413" s="32" t="s">
        <v>17</v>
      </c>
      <c r="X413" s="32" t="s">
        <v>19</v>
      </c>
      <c r="Y413" s="32" t="s">
        <v>57</v>
      </c>
      <c r="Z413" s="34"/>
    </row>
    <row r="414" spans="1:26" s="25" customFormat="1" ht="18" customHeight="1" x14ac:dyDescent="0.2">
      <c r="A414" s="279"/>
      <c r="B414" s="277"/>
      <c r="C414" s="277"/>
      <c r="D414" s="283"/>
      <c r="E414" s="283"/>
      <c r="F414" s="283"/>
      <c r="G414" s="283"/>
      <c r="H414" s="283"/>
      <c r="I414" s="277"/>
      <c r="J414" s="284" t="s">
        <v>1</v>
      </c>
      <c r="K414" s="285">
        <v>30000</v>
      </c>
      <c r="L414" s="286"/>
      <c r="N414" s="35"/>
      <c r="O414" s="36" t="s">
        <v>43</v>
      </c>
      <c r="P414" s="273"/>
      <c r="Q414" s="273"/>
      <c r="R414" s="273"/>
      <c r="S414" s="37"/>
      <c r="T414" s="36" t="s">
        <v>43</v>
      </c>
      <c r="U414" s="38">
        <v>27500</v>
      </c>
      <c r="V414" s="38"/>
      <c r="W414" s="38">
        <f>V414+U414</f>
        <v>27500</v>
      </c>
      <c r="X414" s="38"/>
      <c r="Y414" s="38">
        <f>W414-X414</f>
        <v>27500</v>
      </c>
      <c r="Z414" s="34"/>
    </row>
    <row r="415" spans="1:26" s="25" customFormat="1" ht="18" customHeight="1" x14ac:dyDescent="0.2">
      <c r="A415" s="279"/>
      <c r="B415" s="277" t="s">
        <v>0</v>
      </c>
      <c r="C415" s="276" t="s">
        <v>191</v>
      </c>
      <c r="D415" s="277"/>
      <c r="E415" s="277"/>
      <c r="F415" s="277"/>
      <c r="G415" s="277"/>
      <c r="H415" s="287"/>
      <c r="I415" s="283"/>
      <c r="J415" s="277"/>
      <c r="K415" s="277"/>
      <c r="L415" s="288"/>
      <c r="M415" s="24"/>
      <c r="N415" s="39"/>
      <c r="O415" s="36" t="s">
        <v>69</v>
      </c>
      <c r="P415" s="273"/>
      <c r="Q415" s="273"/>
      <c r="R415" s="273" t="str">
        <f>IF(Q415="","",R414-Q415)</f>
        <v/>
      </c>
      <c r="S415" s="27"/>
      <c r="T415" s="36" t="s">
        <v>69</v>
      </c>
      <c r="U415" s="64"/>
      <c r="V415" s="38"/>
      <c r="W415" s="64" t="str">
        <f>IF(U415="","",U415+V415)</f>
        <v/>
      </c>
      <c r="X415" s="38"/>
      <c r="Y415" s="64" t="str">
        <f>IF(W415="","",W415-X415)</f>
        <v/>
      </c>
      <c r="Z415" s="40"/>
    </row>
    <row r="416" spans="1:26" s="25" customFormat="1" ht="18" customHeight="1" x14ac:dyDescent="0.2">
      <c r="A416" s="279"/>
      <c r="B416" s="289" t="s">
        <v>39</v>
      </c>
      <c r="C416" s="290"/>
      <c r="D416" s="277"/>
      <c r="E416" s="277"/>
      <c r="F416" s="393" t="s">
        <v>41</v>
      </c>
      <c r="G416" s="395"/>
      <c r="H416" s="277"/>
      <c r="I416" s="393" t="s">
        <v>42</v>
      </c>
      <c r="J416" s="394"/>
      <c r="K416" s="395"/>
      <c r="L416" s="291"/>
      <c r="N416" s="35"/>
      <c r="O416" s="36" t="s">
        <v>44</v>
      </c>
      <c r="P416" s="273"/>
      <c r="Q416" s="273"/>
      <c r="R416" s="273" t="str">
        <f t="shared" ref="R416:R417" si="104">IF(Q416="","",R415-Q416)</f>
        <v/>
      </c>
      <c r="S416" s="27"/>
      <c r="T416" s="36" t="s">
        <v>44</v>
      </c>
      <c r="U416" s="64" t="str">
        <f>IF($J$1="February","",Y415)</f>
        <v/>
      </c>
      <c r="V416" s="38"/>
      <c r="W416" s="64" t="str">
        <f t="shared" ref="W416:W425" si="105">IF(U416="","",U416+V416)</f>
        <v/>
      </c>
      <c r="X416" s="38"/>
      <c r="Y416" s="64" t="str">
        <f t="shared" ref="Y416:Y425" si="106">IF(W416="","",W416-X416)</f>
        <v/>
      </c>
      <c r="Z416" s="40"/>
    </row>
    <row r="417" spans="1:29" s="25" customFormat="1" ht="18" customHeight="1" x14ac:dyDescent="0.2">
      <c r="A417" s="279"/>
      <c r="B417" s="277"/>
      <c r="C417" s="277"/>
      <c r="D417" s="277"/>
      <c r="E417" s="277"/>
      <c r="F417" s="277"/>
      <c r="G417" s="277"/>
      <c r="H417" s="292"/>
      <c r="I417" s="277"/>
      <c r="J417" s="277"/>
      <c r="K417" s="277"/>
      <c r="L417" s="293"/>
      <c r="N417" s="35"/>
      <c r="O417" s="36" t="s">
        <v>45</v>
      </c>
      <c r="P417" s="273"/>
      <c r="Q417" s="273"/>
      <c r="R417" s="273" t="str">
        <f t="shared" si="104"/>
        <v/>
      </c>
      <c r="S417" s="27"/>
      <c r="T417" s="36" t="s">
        <v>45</v>
      </c>
      <c r="U417" s="64" t="str">
        <f>IF($J$1="March","",Y416)</f>
        <v/>
      </c>
      <c r="V417" s="38"/>
      <c r="W417" s="64" t="str">
        <f t="shared" si="105"/>
        <v/>
      </c>
      <c r="X417" s="38"/>
      <c r="Y417" s="64" t="str">
        <f t="shared" si="106"/>
        <v/>
      </c>
      <c r="Z417" s="40"/>
    </row>
    <row r="418" spans="1:29" s="25" customFormat="1" ht="18" customHeight="1" x14ac:dyDescent="0.2">
      <c r="A418" s="279"/>
      <c r="B418" s="397" t="s">
        <v>40</v>
      </c>
      <c r="C418" s="398"/>
      <c r="D418" s="277"/>
      <c r="E418" s="277"/>
      <c r="F418" s="294" t="s">
        <v>62</v>
      </c>
      <c r="G418" s="29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27500</v>
      </c>
      <c r="H418" s="292"/>
      <c r="I418" s="296">
        <f>IF(C422&gt;=C421,$K$2,C420+C422)</f>
        <v>31</v>
      </c>
      <c r="J418" s="297" t="s">
        <v>59</v>
      </c>
      <c r="K418" s="298">
        <f>K414/$K$2*I418</f>
        <v>30000</v>
      </c>
      <c r="L418" s="299"/>
      <c r="N418" s="35"/>
      <c r="O418" s="36" t="s">
        <v>46</v>
      </c>
      <c r="P418" s="273"/>
      <c r="Q418" s="273"/>
      <c r="R418" s="273"/>
      <c r="S418" s="27"/>
      <c r="T418" s="36" t="s">
        <v>46</v>
      </c>
      <c r="U418" s="64" t="str">
        <f t="shared" ref="U418:U424" si="107">Y417</f>
        <v/>
      </c>
      <c r="V418" s="38"/>
      <c r="W418" s="64" t="str">
        <f t="shared" si="105"/>
        <v/>
      </c>
      <c r="X418" s="38"/>
      <c r="Y418" s="64" t="str">
        <f t="shared" si="106"/>
        <v/>
      </c>
      <c r="Z418" s="40"/>
    </row>
    <row r="419" spans="1:29" s="25" customFormat="1" ht="18" customHeight="1" x14ac:dyDescent="0.2">
      <c r="A419" s="279"/>
      <c r="B419" s="300"/>
      <c r="C419" s="300"/>
      <c r="D419" s="277"/>
      <c r="E419" s="277"/>
      <c r="F419" s="294" t="s">
        <v>18</v>
      </c>
      <c r="G419" s="29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292"/>
      <c r="I419" s="296">
        <v>53</v>
      </c>
      <c r="J419" s="297" t="s">
        <v>60</v>
      </c>
      <c r="K419" s="301">
        <f>K414/$K$2/8*I419</f>
        <v>6411.2903225806449</v>
      </c>
      <c r="L419" s="302"/>
      <c r="N419" s="35"/>
      <c r="O419" s="36" t="s">
        <v>47</v>
      </c>
      <c r="P419" s="273"/>
      <c r="Q419" s="273"/>
      <c r="R419" s="273"/>
      <c r="S419" s="27"/>
      <c r="T419" s="36" t="s">
        <v>47</v>
      </c>
      <c r="U419" s="64" t="str">
        <f t="shared" si="107"/>
        <v/>
      </c>
      <c r="V419" s="38"/>
      <c r="W419" s="64" t="str">
        <f t="shared" si="105"/>
        <v/>
      </c>
      <c r="X419" s="38"/>
      <c r="Y419" s="64" t="str">
        <f t="shared" si="106"/>
        <v/>
      </c>
      <c r="Z419" s="40"/>
    </row>
    <row r="420" spans="1:29" s="25" customFormat="1" ht="18" customHeight="1" x14ac:dyDescent="0.2">
      <c r="A420" s="279"/>
      <c r="B420" s="294" t="s">
        <v>7</v>
      </c>
      <c r="C420" s="30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0</v>
      </c>
      <c r="D420" s="277"/>
      <c r="E420" s="277"/>
      <c r="F420" s="294" t="s">
        <v>63</v>
      </c>
      <c r="G420" s="29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27500</v>
      </c>
      <c r="H420" s="292"/>
      <c r="I420" s="388" t="s">
        <v>67</v>
      </c>
      <c r="J420" s="389"/>
      <c r="K420" s="301">
        <f>K418+K419</f>
        <v>36411.290322580644</v>
      </c>
      <c r="L420" s="302"/>
      <c r="N420" s="35"/>
      <c r="O420" s="36" t="s">
        <v>48</v>
      </c>
      <c r="P420" s="273"/>
      <c r="Q420" s="273"/>
      <c r="R420" s="273"/>
      <c r="S420" s="27"/>
      <c r="T420" s="36" t="s">
        <v>48</v>
      </c>
      <c r="U420" s="64" t="str">
        <f t="shared" si="107"/>
        <v/>
      </c>
      <c r="V420" s="38"/>
      <c r="W420" s="64" t="str">
        <f t="shared" si="105"/>
        <v/>
      </c>
      <c r="X420" s="38"/>
      <c r="Y420" s="64" t="str">
        <f t="shared" si="106"/>
        <v/>
      </c>
      <c r="Z420" s="40"/>
    </row>
    <row r="421" spans="1:29" s="25" customFormat="1" ht="18" customHeight="1" x14ac:dyDescent="0.2">
      <c r="A421" s="279"/>
      <c r="B421" s="294" t="s">
        <v>6</v>
      </c>
      <c r="C421" s="30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D421" s="277"/>
      <c r="E421" s="277"/>
      <c r="F421" s="294" t="s">
        <v>19</v>
      </c>
      <c r="G421" s="29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0</v>
      </c>
      <c r="H421" s="292"/>
      <c r="I421" s="388" t="s">
        <v>68</v>
      </c>
      <c r="J421" s="389"/>
      <c r="K421" s="295">
        <f>G421</f>
        <v>0</v>
      </c>
      <c r="L421" s="303"/>
      <c r="N421" s="35"/>
      <c r="O421" s="36" t="s">
        <v>49</v>
      </c>
      <c r="P421" s="273"/>
      <c r="Q421" s="273"/>
      <c r="R421" s="273"/>
      <c r="S421" s="27"/>
      <c r="T421" s="36" t="s">
        <v>49</v>
      </c>
      <c r="U421" s="64" t="str">
        <f t="shared" si="107"/>
        <v/>
      </c>
      <c r="V421" s="38"/>
      <c r="W421" s="64" t="str">
        <f t="shared" si="105"/>
        <v/>
      </c>
      <c r="X421" s="38"/>
      <c r="Y421" s="64" t="str">
        <f t="shared" si="106"/>
        <v/>
      </c>
      <c r="Z421" s="40"/>
      <c r="AC421" s="66"/>
    </row>
    <row r="422" spans="1:29" s="25" customFormat="1" ht="18" customHeight="1" x14ac:dyDescent="0.2">
      <c r="A422" s="279"/>
      <c r="B422" s="309" t="s">
        <v>66</v>
      </c>
      <c r="C422" s="300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277"/>
      <c r="E422" s="277"/>
      <c r="F422" s="309" t="s">
        <v>201</v>
      </c>
      <c r="G422" s="295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27500</v>
      </c>
      <c r="H422" s="277"/>
      <c r="I422" s="393" t="s">
        <v>61</v>
      </c>
      <c r="J422" s="395"/>
      <c r="K422" s="234">
        <f>K420-K421</f>
        <v>36411.290322580644</v>
      </c>
      <c r="L422" s="304"/>
      <c r="N422" s="35"/>
      <c r="O422" s="36" t="s">
        <v>54</v>
      </c>
      <c r="P422" s="273"/>
      <c r="Q422" s="273"/>
      <c r="R422" s="273"/>
      <c r="S422" s="27"/>
      <c r="T422" s="36" t="s">
        <v>54</v>
      </c>
      <c r="U422" s="64" t="str">
        <f t="shared" si="107"/>
        <v/>
      </c>
      <c r="V422" s="38"/>
      <c r="W422" s="64" t="str">
        <f t="shared" si="105"/>
        <v/>
      </c>
      <c r="X422" s="38"/>
      <c r="Y422" s="64" t="str">
        <f t="shared" si="106"/>
        <v/>
      </c>
      <c r="Z422" s="40"/>
    </row>
    <row r="423" spans="1:29" s="25" customFormat="1" ht="18" customHeight="1" x14ac:dyDescent="0.2">
      <c r="A423" s="279"/>
      <c r="B423" s="277"/>
      <c r="C423" s="277"/>
      <c r="D423" s="277"/>
      <c r="E423" s="277"/>
      <c r="F423" s="277"/>
      <c r="G423" s="277"/>
      <c r="H423" s="277"/>
      <c r="I423" s="277"/>
      <c r="J423" s="277"/>
      <c r="K423" s="277"/>
      <c r="L423" s="291"/>
      <c r="N423" s="35"/>
      <c r="O423" s="36" t="s">
        <v>50</v>
      </c>
      <c r="P423" s="273"/>
      <c r="Q423" s="273"/>
      <c r="R423" s="273"/>
      <c r="S423" s="27"/>
      <c r="T423" s="36" t="s">
        <v>50</v>
      </c>
      <c r="U423" s="64" t="str">
        <f t="shared" si="107"/>
        <v/>
      </c>
      <c r="V423" s="38"/>
      <c r="W423" s="64" t="str">
        <f t="shared" si="105"/>
        <v/>
      </c>
      <c r="X423" s="38"/>
      <c r="Y423" s="64" t="str">
        <f t="shared" si="106"/>
        <v/>
      </c>
      <c r="Z423" s="40"/>
    </row>
    <row r="424" spans="1:29" s="25" customFormat="1" ht="18" customHeight="1" x14ac:dyDescent="0.3">
      <c r="A424" s="279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91"/>
      <c r="N424" s="35"/>
      <c r="O424" s="36" t="s">
        <v>55</v>
      </c>
      <c r="P424" s="273"/>
      <c r="Q424" s="273"/>
      <c r="R424" s="273"/>
      <c r="S424" s="27"/>
      <c r="T424" s="36" t="s">
        <v>55</v>
      </c>
      <c r="U424" s="64" t="str">
        <f t="shared" si="107"/>
        <v/>
      </c>
      <c r="V424" s="38"/>
      <c r="W424" s="64" t="str">
        <f t="shared" si="105"/>
        <v/>
      </c>
      <c r="X424" s="38"/>
      <c r="Y424" s="64" t="str">
        <f t="shared" si="106"/>
        <v/>
      </c>
      <c r="Z424" s="40"/>
    </row>
    <row r="425" spans="1:29" s="25" customFormat="1" ht="18" customHeight="1" thickBot="1" x14ac:dyDescent="0.35">
      <c r="A425" s="305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7"/>
      <c r="N425" s="35"/>
      <c r="O425" s="36" t="s">
        <v>56</v>
      </c>
      <c r="P425" s="273"/>
      <c r="Q425" s="273"/>
      <c r="R425" s="273"/>
      <c r="S425" s="27"/>
      <c r="T425" s="36" t="s">
        <v>56</v>
      </c>
      <c r="U425" s="64" t="str">
        <f>Y424</f>
        <v/>
      </c>
      <c r="V425" s="38"/>
      <c r="W425" s="64" t="str">
        <f t="shared" si="105"/>
        <v/>
      </c>
      <c r="X425" s="38"/>
      <c r="Y425" s="64" t="str">
        <f t="shared" si="106"/>
        <v/>
      </c>
      <c r="Z425" s="40"/>
    </row>
    <row r="426" spans="1:29" s="57" customFormat="1" ht="18" customHeight="1" thickBot="1" x14ac:dyDescent="0.25">
      <c r="A426" s="308"/>
      <c r="B426" s="308"/>
      <c r="C426" s="308"/>
      <c r="D426" s="308"/>
      <c r="E426" s="308"/>
      <c r="F426" s="308"/>
      <c r="G426" s="308"/>
      <c r="H426" s="308"/>
      <c r="I426" s="308"/>
      <c r="J426" s="308"/>
      <c r="K426" s="308"/>
      <c r="L426" s="30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9" s="25" customFormat="1" ht="18" customHeight="1" thickBot="1" x14ac:dyDescent="0.25">
      <c r="A427" s="390" t="s">
        <v>38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2"/>
      <c r="M427" s="24"/>
      <c r="N427" s="28"/>
      <c r="O427" s="385" t="s">
        <v>40</v>
      </c>
      <c r="P427" s="386"/>
      <c r="Q427" s="386"/>
      <c r="R427" s="387"/>
      <c r="S427" s="29"/>
      <c r="T427" s="385" t="s">
        <v>41</v>
      </c>
      <c r="U427" s="386"/>
      <c r="V427" s="386"/>
      <c r="W427" s="386"/>
      <c r="X427" s="386"/>
      <c r="Y427" s="387"/>
      <c r="Z427" s="30"/>
      <c r="AA427" s="24"/>
    </row>
    <row r="428" spans="1:29" s="25" customFormat="1" ht="18" customHeight="1" x14ac:dyDescent="0.2">
      <c r="A428" s="279"/>
      <c r="B428" s="277"/>
      <c r="C428" s="396" t="s">
        <v>212</v>
      </c>
      <c r="D428" s="396"/>
      <c r="E428" s="396"/>
      <c r="F428" s="396"/>
      <c r="G428" s="280" t="str">
        <f>$J$1</f>
        <v>January</v>
      </c>
      <c r="H428" s="399">
        <f>$K$1</f>
        <v>2024</v>
      </c>
      <c r="I428" s="399"/>
      <c r="J428" s="277"/>
      <c r="K428" s="281"/>
      <c r="L428" s="282"/>
      <c r="M428" s="26"/>
      <c r="N428" s="31"/>
      <c r="O428" s="32" t="s">
        <v>51</v>
      </c>
      <c r="P428" s="32" t="s">
        <v>7</v>
      </c>
      <c r="Q428" s="32" t="s">
        <v>6</v>
      </c>
      <c r="R428" s="32" t="s">
        <v>52</v>
      </c>
      <c r="S428" s="33"/>
      <c r="T428" s="32" t="s">
        <v>51</v>
      </c>
      <c r="U428" s="32" t="s">
        <v>53</v>
      </c>
      <c r="V428" s="32" t="s">
        <v>18</v>
      </c>
      <c r="W428" s="32" t="s">
        <v>17</v>
      </c>
      <c r="X428" s="32" t="s">
        <v>19</v>
      </c>
      <c r="Y428" s="32" t="s">
        <v>57</v>
      </c>
      <c r="Z428" s="34"/>
      <c r="AA428" s="26"/>
    </row>
    <row r="429" spans="1:29" s="25" customFormat="1" ht="18" customHeight="1" x14ac:dyDescent="0.2">
      <c r="A429" s="279"/>
      <c r="B429" s="277"/>
      <c r="C429" s="277"/>
      <c r="D429" s="283"/>
      <c r="E429" s="283"/>
      <c r="F429" s="283"/>
      <c r="G429" s="283"/>
      <c r="H429" s="283"/>
      <c r="I429" s="277"/>
      <c r="J429" s="284" t="s">
        <v>1</v>
      </c>
      <c r="K429" s="285">
        <f>20000+2500+2000+2000</f>
        <v>26500</v>
      </c>
      <c r="L429" s="286"/>
      <c r="N429" s="35"/>
      <c r="O429" s="36" t="s">
        <v>43</v>
      </c>
      <c r="P429" s="36"/>
      <c r="Q429" s="36"/>
      <c r="R429" s="36">
        <v>0</v>
      </c>
      <c r="S429" s="37"/>
      <c r="T429" s="36" t="s">
        <v>43</v>
      </c>
      <c r="U429" s="38"/>
      <c r="V429" s="38"/>
      <c r="W429" s="38">
        <f>V429+U429</f>
        <v>0</v>
      </c>
      <c r="X429" s="38"/>
      <c r="Y429" s="38">
        <f>W429-X429</f>
        <v>0</v>
      </c>
      <c r="Z429" s="34"/>
    </row>
    <row r="430" spans="1:29" s="25" customFormat="1" ht="18" customHeight="1" x14ac:dyDescent="0.2">
      <c r="A430" s="279"/>
      <c r="B430" s="277" t="s">
        <v>0</v>
      </c>
      <c r="C430" s="276" t="s">
        <v>124</v>
      </c>
      <c r="D430" s="277"/>
      <c r="E430" s="277"/>
      <c r="F430" s="277"/>
      <c r="G430" s="277"/>
      <c r="H430" s="287"/>
      <c r="I430" s="283"/>
      <c r="J430" s="277"/>
      <c r="K430" s="277"/>
      <c r="L430" s="288"/>
      <c r="M430" s="24"/>
      <c r="N430" s="39"/>
      <c r="O430" s="36" t="s">
        <v>69</v>
      </c>
      <c r="P430" s="36"/>
      <c r="Q430" s="36"/>
      <c r="R430" s="36" t="str">
        <f>IF(Q430="","",R429-Q430)</f>
        <v/>
      </c>
      <c r="S430" s="27"/>
      <c r="T430" s="36" t="s">
        <v>69</v>
      </c>
      <c r="U430" s="64" t="str">
        <f>IF($J$1="January","",Y429)</f>
        <v/>
      </c>
      <c r="V430" s="38"/>
      <c r="W430" s="64" t="str">
        <f>IF(U430="","",U430+V430)</f>
        <v/>
      </c>
      <c r="X430" s="38"/>
      <c r="Y430" s="64" t="str">
        <f>IF(W430="","",W430-X430)</f>
        <v/>
      </c>
      <c r="Z430" s="40"/>
      <c r="AA430" s="24"/>
    </row>
    <row r="431" spans="1:29" s="25" customFormat="1" ht="18" customHeight="1" x14ac:dyDescent="0.2">
      <c r="A431" s="279"/>
      <c r="B431" s="289" t="s">
        <v>39</v>
      </c>
      <c r="C431" s="290"/>
      <c r="D431" s="277"/>
      <c r="E431" s="277"/>
      <c r="F431" s="393" t="s">
        <v>41</v>
      </c>
      <c r="G431" s="395"/>
      <c r="H431" s="277"/>
      <c r="I431" s="393" t="s">
        <v>42</v>
      </c>
      <c r="J431" s="394"/>
      <c r="K431" s="395"/>
      <c r="L431" s="291"/>
      <c r="N431" s="35"/>
      <c r="O431" s="36" t="s">
        <v>44</v>
      </c>
      <c r="P431" s="36"/>
      <c r="Q431" s="36"/>
      <c r="R431" s="36">
        <v>0</v>
      </c>
      <c r="S431" s="27"/>
      <c r="T431" s="36" t="s">
        <v>44</v>
      </c>
      <c r="U431" s="64" t="str">
        <f>IF($J$1="February","",Y430)</f>
        <v/>
      </c>
      <c r="V431" s="38"/>
      <c r="W431" s="64" t="str">
        <f t="shared" ref="W431:W440" si="108">IF(U431="","",U431+V431)</f>
        <v/>
      </c>
      <c r="X431" s="38"/>
      <c r="Y431" s="64" t="str">
        <f t="shared" ref="Y431:Y440" si="109">IF(W431="","",W431-X431)</f>
        <v/>
      </c>
      <c r="Z431" s="40"/>
    </row>
    <row r="432" spans="1:29" s="25" customFormat="1" ht="18" customHeight="1" x14ac:dyDescent="0.2">
      <c r="A432" s="279"/>
      <c r="B432" s="277"/>
      <c r="C432" s="277"/>
      <c r="D432" s="277"/>
      <c r="E432" s="277"/>
      <c r="F432" s="277"/>
      <c r="G432" s="277"/>
      <c r="H432" s="292"/>
      <c r="I432" s="277"/>
      <c r="J432" s="277"/>
      <c r="K432" s="277"/>
      <c r="L432" s="293"/>
      <c r="N432" s="35"/>
      <c r="O432" s="36" t="s">
        <v>45</v>
      </c>
      <c r="P432" s="36"/>
      <c r="Q432" s="36"/>
      <c r="R432" s="36">
        <v>0</v>
      </c>
      <c r="S432" s="27"/>
      <c r="T432" s="36" t="s">
        <v>45</v>
      </c>
      <c r="U432" s="64" t="str">
        <f>IF($J$1="March","",Y431)</f>
        <v/>
      </c>
      <c r="V432" s="38"/>
      <c r="W432" s="64" t="str">
        <f t="shared" si="108"/>
        <v/>
      </c>
      <c r="X432" s="38"/>
      <c r="Y432" s="64" t="str">
        <f t="shared" si="109"/>
        <v/>
      </c>
      <c r="Z432" s="40"/>
    </row>
    <row r="433" spans="1:26" s="25" customFormat="1" ht="18" customHeight="1" x14ac:dyDescent="0.2">
      <c r="A433" s="279"/>
      <c r="B433" s="397" t="s">
        <v>40</v>
      </c>
      <c r="C433" s="398"/>
      <c r="D433" s="277"/>
      <c r="E433" s="277"/>
      <c r="F433" s="294" t="s">
        <v>62</v>
      </c>
      <c r="G433" s="29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292"/>
      <c r="I433" s="296">
        <f>IF(C437&gt;=C436,$K$2,C435+C437)</f>
        <v>31</v>
      </c>
      <c r="J433" s="297" t="s">
        <v>59</v>
      </c>
      <c r="K433" s="298">
        <f>K429/$K$2*I433</f>
        <v>26500</v>
      </c>
      <c r="L433" s="299"/>
      <c r="N433" s="35"/>
      <c r="O433" s="36" t="s">
        <v>46</v>
      </c>
      <c r="P433" s="36"/>
      <c r="Q433" s="36"/>
      <c r="R433" s="36">
        <v>0</v>
      </c>
      <c r="S433" s="27"/>
      <c r="T433" s="36" t="s">
        <v>46</v>
      </c>
      <c r="U433" s="64" t="str">
        <f>IF($J$1="April","",Y432)</f>
        <v/>
      </c>
      <c r="V433" s="38"/>
      <c r="W433" s="64" t="str">
        <f t="shared" si="108"/>
        <v/>
      </c>
      <c r="X433" s="38"/>
      <c r="Y433" s="64" t="str">
        <f t="shared" si="109"/>
        <v/>
      </c>
      <c r="Z433" s="40"/>
    </row>
    <row r="434" spans="1:26" s="25" customFormat="1" ht="18" customHeight="1" x14ac:dyDescent="0.2">
      <c r="A434" s="279"/>
      <c r="B434" s="300"/>
      <c r="C434" s="300"/>
      <c r="D434" s="277"/>
      <c r="E434" s="277"/>
      <c r="F434" s="294" t="s">
        <v>18</v>
      </c>
      <c r="G434" s="29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292"/>
      <c r="I434" s="296">
        <v>74</v>
      </c>
      <c r="J434" s="297" t="s">
        <v>60</v>
      </c>
      <c r="K434" s="301">
        <f>K429/$K$2/8*I434</f>
        <v>7907.2580645161297</v>
      </c>
      <c r="L434" s="302"/>
      <c r="N434" s="35"/>
      <c r="O434" s="36" t="s">
        <v>47</v>
      </c>
      <c r="P434" s="36"/>
      <c r="Q434" s="36"/>
      <c r="R434" s="36">
        <v>0</v>
      </c>
      <c r="S434" s="27"/>
      <c r="T434" s="36" t="s">
        <v>47</v>
      </c>
      <c r="U434" s="64" t="str">
        <f>IF($J$1="May","",Y433)</f>
        <v/>
      </c>
      <c r="V434" s="38"/>
      <c r="W434" s="64" t="str">
        <f t="shared" si="108"/>
        <v/>
      </c>
      <c r="X434" s="38"/>
      <c r="Y434" s="64" t="str">
        <f t="shared" si="109"/>
        <v/>
      </c>
      <c r="Z434" s="40"/>
    </row>
    <row r="435" spans="1:26" s="25" customFormat="1" ht="18" customHeight="1" x14ac:dyDescent="0.2">
      <c r="A435" s="279"/>
      <c r="B435" s="294" t="s">
        <v>7</v>
      </c>
      <c r="C435" s="30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0</v>
      </c>
      <c r="D435" s="277"/>
      <c r="E435" s="277"/>
      <c r="F435" s="294" t="s">
        <v>63</v>
      </c>
      <c r="G435" s="29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292"/>
      <c r="I435" s="388" t="s">
        <v>67</v>
      </c>
      <c r="J435" s="389"/>
      <c r="K435" s="301">
        <f>K433+K434</f>
        <v>34407.258064516129</v>
      </c>
      <c r="L435" s="302"/>
      <c r="N435" s="35"/>
      <c r="O435" s="36" t="s">
        <v>48</v>
      </c>
      <c r="P435" s="36"/>
      <c r="Q435" s="36"/>
      <c r="R435" s="36">
        <v>0</v>
      </c>
      <c r="S435" s="27"/>
      <c r="T435" s="36" t="s">
        <v>48</v>
      </c>
      <c r="U435" s="64" t="str">
        <f>IF($J$1="June","",Y434)</f>
        <v/>
      </c>
      <c r="V435" s="38"/>
      <c r="W435" s="64" t="str">
        <f t="shared" si="108"/>
        <v/>
      </c>
      <c r="X435" s="38"/>
      <c r="Y435" s="64" t="str">
        <f t="shared" si="109"/>
        <v/>
      </c>
      <c r="Z435" s="40"/>
    </row>
    <row r="436" spans="1:26" s="25" customFormat="1" ht="18" customHeight="1" x14ac:dyDescent="0.2">
      <c r="A436" s="279"/>
      <c r="B436" s="294" t="s">
        <v>6</v>
      </c>
      <c r="C436" s="30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277"/>
      <c r="E436" s="277"/>
      <c r="F436" s="294" t="s">
        <v>19</v>
      </c>
      <c r="G436" s="29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292"/>
      <c r="I436" s="388" t="s">
        <v>68</v>
      </c>
      <c r="J436" s="389"/>
      <c r="K436" s="295">
        <f>G436</f>
        <v>0</v>
      </c>
      <c r="L436" s="303"/>
      <c r="N436" s="35"/>
      <c r="O436" s="36" t="s">
        <v>49</v>
      </c>
      <c r="P436" s="36"/>
      <c r="Q436" s="36"/>
      <c r="R436" s="36">
        <v>0</v>
      </c>
      <c r="S436" s="27"/>
      <c r="T436" s="36" t="s">
        <v>49</v>
      </c>
      <c r="U436" s="64" t="str">
        <f>IF($J$1="July","",Y435)</f>
        <v/>
      </c>
      <c r="V436" s="38"/>
      <c r="W436" s="64" t="str">
        <f t="shared" si="108"/>
        <v/>
      </c>
      <c r="X436" s="38"/>
      <c r="Y436" s="64" t="str">
        <f t="shared" si="109"/>
        <v/>
      </c>
      <c r="Z436" s="40"/>
    </row>
    <row r="437" spans="1:26" s="25" customFormat="1" ht="18" customHeight="1" x14ac:dyDescent="0.2">
      <c r="A437" s="279"/>
      <c r="B437" s="309" t="s">
        <v>66</v>
      </c>
      <c r="C437" s="300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277"/>
      <c r="E437" s="277"/>
      <c r="F437" s="309" t="s">
        <v>201</v>
      </c>
      <c r="G437" s="295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277"/>
      <c r="I437" s="393" t="s">
        <v>61</v>
      </c>
      <c r="J437" s="395"/>
      <c r="K437" s="234">
        <f>K435-K436</f>
        <v>34407.258064516129</v>
      </c>
      <c r="L437" s="304"/>
      <c r="N437" s="35"/>
      <c r="O437" s="36" t="s">
        <v>54</v>
      </c>
      <c r="P437" s="36"/>
      <c r="Q437" s="36"/>
      <c r="R437" s="36">
        <v>0</v>
      </c>
      <c r="S437" s="27"/>
      <c r="T437" s="36" t="s">
        <v>54</v>
      </c>
      <c r="U437" s="64" t="str">
        <f>IF($J$1="September",Y436,"")</f>
        <v/>
      </c>
      <c r="V437" s="38"/>
      <c r="W437" s="64" t="str">
        <f t="shared" si="108"/>
        <v/>
      </c>
      <c r="X437" s="38"/>
      <c r="Y437" s="64" t="str">
        <f t="shared" si="109"/>
        <v/>
      </c>
      <c r="Z437" s="40"/>
    </row>
    <row r="438" spans="1:26" s="25" customFormat="1" ht="18" customHeight="1" x14ac:dyDescent="0.2">
      <c r="A438" s="279"/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91"/>
      <c r="N438" s="35"/>
      <c r="O438" s="36" t="s">
        <v>50</v>
      </c>
      <c r="P438" s="36"/>
      <c r="Q438" s="36"/>
      <c r="R438" s="36">
        <v>0</v>
      </c>
      <c r="S438" s="27"/>
      <c r="T438" s="36" t="s">
        <v>50</v>
      </c>
      <c r="U438" s="64" t="str">
        <f>Y437</f>
        <v/>
      </c>
      <c r="V438" s="38"/>
      <c r="W438" s="64" t="str">
        <f t="shared" si="108"/>
        <v/>
      </c>
      <c r="X438" s="38"/>
      <c r="Y438" s="64" t="str">
        <f t="shared" si="109"/>
        <v/>
      </c>
      <c r="Z438" s="40"/>
    </row>
    <row r="439" spans="1:26" s="25" customFormat="1" ht="18" customHeight="1" x14ac:dyDescent="0.3">
      <c r="A439" s="279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91"/>
      <c r="N439" s="35"/>
      <c r="O439" s="36" t="s">
        <v>55</v>
      </c>
      <c r="P439" s="36"/>
      <c r="Q439" s="36"/>
      <c r="R439" s="36" t="str">
        <f t="shared" ref="R439:R440" si="110">IF(Q439="","",R438-Q439)</f>
        <v/>
      </c>
      <c r="S439" s="27"/>
      <c r="T439" s="36" t="s">
        <v>55</v>
      </c>
      <c r="U439" s="64" t="str">
        <f>Y438</f>
        <v/>
      </c>
      <c r="V439" s="38"/>
      <c r="W439" s="64" t="str">
        <f t="shared" si="108"/>
        <v/>
      </c>
      <c r="X439" s="38"/>
      <c r="Y439" s="64" t="str">
        <f t="shared" si="109"/>
        <v/>
      </c>
      <c r="Z439" s="40"/>
    </row>
    <row r="440" spans="1:26" s="25" customFormat="1" ht="18" customHeight="1" thickBot="1" x14ac:dyDescent="0.35">
      <c r="A440" s="305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7"/>
      <c r="N440" s="35"/>
      <c r="O440" s="36" t="s">
        <v>56</v>
      </c>
      <c r="P440" s="36"/>
      <c r="Q440" s="36"/>
      <c r="R440" s="36" t="str">
        <f t="shared" si="110"/>
        <v/>
      </c>
      <c r="S440" s="27"/>
      <c r="T440" s="36" t="s">
        <v>56</v>
      </c>
      <c r="U440" s="64">
        <v>0</v>
      </c>
      <c r="V440" s="38"/>
      <c r="W440" s="64">
        <f t="shared" si="108"/>
        <v>0</v>
      </c>
      <c r="X440" s="38"/>
      <c r="Y440" s="64">
        <f t="shared" si="109"/>
        <v>0</v>
      </c>
      <c r="Z440" s="40"/>
    </row>
    <row r="441" spans="1:26" s="57" customFormat="1" ht="18" customHeight="1" thickBot="1" x14ac:dyDescent="0.25">
      <c r="A441" s="308"/>
      <c r="B441" s="308"/>
      <c r="C441" s="308"/>
      <c r="D441" s="308"/>
      <c r="E441" s="308"/>
      <c r="F441" s="308"/>
      <c r="G441" s="308"/>
      <c r="H441" s="308"/>
      <c r="I441" s="308"/>
      <c r="J441" s="308"/>
      <c r="K441" s="308"/>
      <c r="L441" s="30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s="25" customFormat="1" ht="18" customHeight="1" thickBot="1" x14ac:dyDescent="0.25">
      <c r="A442" s="390" t="s">
        <v>38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2"/>
      <c r="M442" s="24"/>
      <c r="N442" s="28"/>
      <c r="O442" s="385" t="s">
        <v>40</v>
      </c>
      <c r="P442" s="386"/>
      <c r="Q442" s="386"/>
      <c r="R442" s="387"/>
      <c r="S442" s="29"/>
      <c r="T442" s="385" t="s">
        <v>41</v>
      </c>
      <c r="U442" s="386"/>
      <c r="V442" s="386"/>
      <c r="W442" s="386"/>
      <c r="X442" s="386"/>
      <c r="Y442" s="387"/>
      <c r="Z442" s="30"/>
    </row>
    <row r="443" spans="1:26" s="25" customFormat="1" ht="18" customHeight="1" x14ac:dyDescent="0.2">
      <c r="A443" s="279"/>
      <c r="B443" s="277"/>
      <c r="C443" s="396" t="s">
        <v>212</v>
      </c>
      <c r="D443" s="396"/>
      <c r="E443" s="396"/>
      <c r="F443" s="396"/>
      <c r="G443" s="280" t="str">
        <f>$J$1</f>
        <v>January</v>
      </c>
      <c r="H443" s="399">
        <f>$K$1</f>
        <v>2024</v>
      </c>
      <c r="I443" s="399"/>
      <c r="J443" s="277"/>
      <c r="K443" s="281"/>
      <c r="L443" s="282"/>
      <c r="M443" s="26"/>
      <c r="N443" s="31"/>
      <c r="O443" s="32" t="s">
        <v>51</v>
      </c>
      <c r="P443" s="32" t="s">
        <v>7</v>
      </c>
      <c r="Q443" s="32" t="s">
        <v>6</v>
      </c>
      <c r="R443" s="32" t="s">
        <v>52</v>
      </c>
      <c r="S443" s="33"/>
      <c r="T443" s="32" t="s">
        <v>51</v>
      </c>
      <c r="U443" s="32" t="s">
        <v>53</v>
      </c>
      <c r="V443" s="32" t="s">
        <v>18</v>
      </c>
      <c r="W443" s="32" t="s">
        <v>17</v>
      </c>
      <c r="X443" s="32" t="s">
        <v>19</v>
      </c>
      <c r="Y443" s="32" t="s">
        <v>57</v>
      </c>
      <c r="Z443" s="34"/>
    </row>
    <row r="444" spans="1:26" s="25" customFormat="1" ht="18" customHeight="1" x14ac:dyDescent="0.2">
      <c r="A444" s="279"/>
      <c r="B444" s="277"/>
      <c r="C444" s="277"/>
      <c r="D444" s="283"/>
      <c r="E444" s="283"/>
      <c r="F444" s="283"/>
      <c r="G444" s="283"/>
      <c r="H444" s="283"/>
      <c r="I444" s="277"/>
      <c r="J444" s="284" t="s">
        <v>1</v>
      </c>
      <c r="K444" s="285">
        <f>20000+2500+2000+2000</f>
        <v>26500</v>
      </c>
      <c r="L444" s="286"/>
      <c r="N444" s="35"/>
      <c r="O444" s="36" t="s">
        <v>43</v>
      </c>
      <c r="P444" s="36"/>
      <c r="Q444" s="36"/>
      <c r="R444" s="36">
        <v>0</v>
      </c>
      <c r="S444" s="37"/>
      <c r="T444" s="36" t="s">
        <v>43</v>
      </c>
      <c r="U444" s="38"/>
      <c r="V444" s="38"/>
      <c r="W444" s="38">
        <f>V444+U444</f>
        <v>0</v>
      </c>
      <c r="X444" s="38"/>
      <c r="Y444" s="38">
        <f>W444-X444</f>
        <v>0</v>
      </c>
      <c r="Z444" s="34"/>
    </row>
    <row r="445" spans="1:26" s="25" customFormat="1" ht="18" customHeight="1" x14ac:dyDescent="0.2">
      <c r="A445" s="279"/>
      <c r="B445" s="277" t="s">
        <v>0</v>
      </c>
      <c r="C445" s="276" t="s">
        <v>153</v>
      </c>
      <c r="D445" s="277"/>
      <c r="E445" s="277"/>
      <c r="F445" s="277"/>
      <c r="G445" s="277"/>
      <c r="H445" s="287"/>
      <c r="I445" s="283"/>
      <c r="J445" s="277"/>
      <c r="K445" s="277"/>
      <c r="L445" s="288"/>
      <c r="M445" s="24"/>
      <c r="N445" s="39"/>
      <c r="O445" s="36" t="s">
        <v>69</v>
      </c>
      <c r="P445" s="36"/>
      <c r="Q445" s="36"/>
      <c r="R445" s="36">
        <v>0</v>
      </c>
      <c r="S445" s="27"/>
      <c r="T445" s="36" t="s">
        <v>69</v>
      </c>
      <c r="U445" s="64" t="str">
        <f>IF($J$1="January","",Y444)</f>
        <v/>
      </c>
      <c r="V445" s="38"/>
      <c r="W445" s="64" t="str">
        <f>IF(U445="","",U445+V445)</f>
        <v/>
      </c>
      <c r="X445" s="38"/>
      <c r="Y445" s="64" t="str">
        <f>IF(W445="","",W445-X445)</f>
        <v/>
      </c>
      <c r="Z445" s="40"/>
    </row>
    <row r="446" spans="1:26" s="25" customFormat="1" ht="18" customHeight="1" x14ac:dyDescent="0.2">
      <c r="A446" s="279"/>
      <c r="B446" s="289"/>
      <c r="C446" s="290"/>
      <c r="D446" s="277"/>
      <c r="E446" s="277"/>
      <c r="F446" s="393" t="s">
        <v>41</v>
      </c>
      <c r="G446" s="395"/>
      <c r="H446" s="277"/>
      <c r="I446" s="393" t="s">
        <v>42</v>
      </c>
      <c r="J446" s="394"/>
      <c r="K446" s="395"/>
      <c r="L446" s="291"/>
      <c r="N446" s="35"/>
      <c r="O446" s="36" t="s">
        <v>44</v>
      </c>
      <c r="P446" s="36"/>
      <c r="Q446" s="36"/>
      <c r="R446" s="36">
        <v>0</v>
      </c>
      <c r="S446" s="27"/>
      <c r="T446" s="36" t="s">
        <v>44</v>
      </c>
      <c r="U446" s="64" t="str">
        <f>IF($J$1="February","",Y445)</f>
        <v/>
      </c>
      <c r="V446" s="38"/>
      <c r="W446" s="64" t="str">
        <f t="shared" ref="W446:W455" si="111">IF(U446="","",U446+V446)</f>
        <v/>
      </c>
      <c r="X446" s="38"/>
      <c r="Y446" s="64" t="str">
        <f t="shared" ref="Y446:Y455" si="112">IF(W446="","",W446-X446)</f>
        <v/>
      </c>
      <c r="Z446" s="40"/>
    </row>
    <row r="447" spans="1:26" s="25" customFormat="1" ht="18" customHeight="1" x14ac:dyDescent="0.2">
      <c r="A447" s="279"/>
      <c r="B447" s="277"/>
      <c r="C447" s="277"/>
      <c r="D447" s="277"/>
      <c r="E447" s="277"/>
      <c r="F447" s="277"/>
      <c r="G447" s="277"/>
      <c r="H447" s="292"/>
      <c r="I447" s="277"/>
      <c r="J447" s="277"/>
      <c r="K447" s="277"/>
      <c r="L447" s="293"/>
      <c r="N447" s="35"/>
      <c r="O447" s="36" t="s">
        <v>45</v>
      </c>
      <c r="P447" s="36"/>
      <c r="Q447" s="36"/>
      <c r="R447" s="36">
        <v>0</v>
      </c>
      <c r="S447" s="27"/>
      <c r="T447" s="36" t="s">
        <v>45</v>
      </c>
      <c r="U447" s="64" t="str">
        <f>IF($J$1="March","",Y446)</f>
        <v/>
      </c>
      <c r="V447" s="38"/>
      <c r="W447" s="64" t="str">
        <f t="shared" si="111"/>
        <v/>
      </c>
      <c r="X447" s="38"/>
      <c r="Y447" s="64" t="str">
        <f t="shared" si="112"/>
        <v/>
      </c>
      <c r="Z447" s="40"/>
    </row>
    <row r="448" spans="1:26" s="25" customFormat="1" ht="18" customHeight="1" x14ac:dyDescent="0.2">
      <c r="A448" s="279"/>
      <c r="B448" s="397" t="s">
        <v>40</v>
      </c>
      <c r="C448" s="398"/>
      <c r="D448" s="277"/>
      <c r="E448" s="277"/>
      <c r="F448" s="294" t="s">
        <v>62</v>
      </c>
      <c r="G448" s="29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0</v>
      </c>
      <c r="H448" s="292"/>
      <c r="I448" s="296">
        <f>IF(C452&gt;=C451,$K$2,C450+C452)</f>
        <v>31</v>
      </c>
      <c r="J448" s="297" t="s">
        <v>59</v>
      </c>
      <c r="K448" s="298">
        <f>K444/$K$2*I448</f>
        <v>26500</v>
      </c>
      <c r="L448" s="299"/>
      <c r="N448" s="35"/>
      <c r="O448" s="36" t="s">
        <v>46</v>
      </c>
      <c r="P448" s="36"/>
      <c r="Q448" s="36"/>
      <c r="R448" s="36">
        <v>0</v>
      </c>
      <c r="S448" s="27"/>
      <c r="T448" s="36" t="s">
        <v>46</v>
      </c>
      <c r="U448" s="64" t="str">
        <f>IF($J$1="April","",Y447)</f>
        <v/>
      </c>
      <c r="V448" s="38"/>
      <c r="W448" s="64" t="str">
        <f t="shared" si="111"/>
        <v/>
      </c>
      <c r="X448" s="38"/>
      <c r="Y448" s="64" t="str">
        <f t="shared" si="112"/>
        <v/>
      </c>
      <c r="Z448" s="40"/>
    </row>
    <row r="449" spans="1:27" s="25" customFormat="1" ht="18" customHeight="1" x14ac:dyDescent="0.2">
      <c r="A449" s="279"/>
      <c r="B449" s="300"/>
      <c r="C449" s="300"/>
      <c r="D449" s="277"/>
      <c r="E449" s="277"/>
      <c r="F449" s="294" t="s">
        <v>18</v>
      </c>
      <c r="G449" s="29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292"/>
      <c r="I449" s="296">
        <v>71</v>
      </c>
      <c r="J449" s="297" t="s">
        <v>60</v>
      </c>
      <c r="K449" s="301">
        <f>K444/$K$2/8*I449</f>
        <v>7586.6935483870975</v>
      </c>
      <c r="L449" s="302"/>
      <c r="N449" s="35"/>
      <c r="O449" s="36" t="s">
        <v>47</v>
      </c>
      <c r="P449" s="36"/>
      <c r="Q449" s="36"/>
      <c r="R449" s="36">
        <v>0</v>
      </c>
      <c r="S449" s="27"/>
      <c r="T449" s="36" t="s">
        <v>47</v>
      </c>
      <c r="U449" s="64" t="str">
        <f>IF($J$1="May","",Y448)</f>
        <v/>
      </c>
      <c r="V449" s="38"/>
      <c r="W449" s="64" t="str">
        <f t="shared" si="111"/>
        <v/>
      </c>
      <c r="X449" s="38"/>
      <c r="Y449" s="64" t="str">
        <f t="shared" si="112"/>
        <v/>
      </c>
      <c r="Z449" s="40"/>
    </row>
    <row r="450" spans="1:27" s="25" customFormat="1" ht="18" customHeight="1" x14ac:dyDescent="0.2">
      <c r="A450" s="279"/>
      <c r="B450" s="294" t="s">
        <v>7</v>
      </c>
      <c r="C450" s="30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0</v>
      </c>
      <c r="D450" s="277"/>
      <c r="E450" s="277"/>
      <c r="F450" s="294" t="s">
        <v>63</v>
      </c>
      <c r="G450" s="29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0</v>
      </c>
      <c r="H450" s="292"/>
      <c r="I450" s="388" t="s">
        <v>67</v>
      </c>
      <c r="J450" s="389"/>
      <c r="K450" s="301">
        <f>K448+K449</f>
        <v>34086.693548387098</v>
      </c>
      <c r="L450" s="302"/>
      <c r="N450" s="35"/>
      <c r="O450" s="36" t="s">
        <v>48</v>
      </c>
      <c r="P450" s="36"/>
      <c r="Q450" s="36"/>
      <c r="R450" s="36">
        <v>0</v>
      </c>
      <c r="S450" s="27"/>
      <c r="T450" s="36" t="s">
        <v>48</v>
      </c>
      <c r="U450" s="64" t="str">
        <f>IF($J$1="June","",Y449)</f>
        <v/>
      </c>
      <c r="V450" s="38"/>
      <c r="W450" s="64" t="str">
        <f t="shared" si="111"/>
        <v/>
      </c>
      <c r="X450" s="38"/>
      <c r="Y450" s="64" t="str">
        <f t="shared" si="112"/>
        <v/>
      </c>
      <c r="Z450" s="40"/>
    </row>
    <row r="451" spans="1:27" s="25" customFormat="1" ht="18" customHeight="1" x14ac:dyDescent="0.2">
      <c r="A451" s="279"/>
      <c r="B451" s="294" t="s">
        <v>6</v>
      </c>
      <c r="C451" s="30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277"/>
      <c r="E451" s="277"/>
      <c r="F451" s="294" t="s">
        <v>19</v>
      </c>
      <c r="G451" s="29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292"/>
      <c r="I451" s="388" t="s">
        <v>68</v>
      </c>
      <c r="J451" s="389"/>
      <c r="K451" s="295">
        <f>G451</f>
        <v>0</v>
      </c>
      <c r="L451" s="303"/>
      <c r="N451" s="35"/>
      <c r="O451" s="36" t="s">
        <v>49</v>
      </c>
      <c r="P451" s="36"/>
      <c r="Q451" s="36"/>
      <c r="R451" s="36">
        <v>0</v>
      </c>
      <c r="S451" s="27"/>
      <c r="T451" s="36" t="s">
        <v>49</v>
      </c>
      <c r="U451" s="64" t="str">
        <f>IF($J$1="July","",Y450)</f>
        <v/>
      </c>
      <c r="V451" s="38"/>
      <c r="W451" s="64" t="str">
        <f t="shared" si="111"/>
        <v/>
      </c>
      <c r="X451" s="38"/>
      <c r="Y451" s="64" t="str">
        <f t="shared" si="112"/>
        <v/>
      </c>
      <c r="Z451" s="40"/>
    </row>
    <row r="452" spans="1:27" s="25" customFormat="1" ht="18" customHeight="1" x14ac:dyDescent="0.2">
      <c r="A452" s="279"/>
      <c r="B452" s="309" t="s">
        <v>66</v>
      </c>
      <c r="C452" s="300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277"/>
      <c r="E452" s="277"/>
      <c r="F452" s="309" t="s">
        <v>201</v>
      </c>
      <c r="G452" s="295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0</v>
      </c>
      <c r="H452" s="277"/>
      <c r="I452" s="393" t="s">
        <v>61</v>
      </c>
      <c r="J452" s="395"/>
      <c r="K452" s="234">
        <f>K450-K451</f>
        <v>34086.693548387098</v>
      </c>
      <c r="L452" s="304"/>
      <c r="N452" s="35"/>
      <c r="O452" s="36" t="s">
        <v>54</v>
      </c>
      <c r="P452" s="36"/>
      <c r="Q452" s="36"/>
      <c r="R452" s="36">
        <v>0</v>
      </c>
      <c r="S452" s="27"/>
      <c r="T452" s="36" t="s">
        <v>54</v>
      </c>
      <c r="U452" s="64" t="str">
        <f>IF($J$1="September",Y451,"")</f>
        <v/>
      </c>
      <c r="V452" s="38"/>
      <c r="W452" s="64" t="str">
        <f t="shared" si="111"/>
        <v/>
      </c>
      <c r="X452" s="38"/>
      <c r="Y452" s="64" t="str">
        <f t="shared" si="112"/>
        <v/>
      </c>
      <c r="Z452" s="40"/>
    </row>
    <row r="453" spans="1:27" s="25" customFormat="1" ht="18" customHeight="1" x14ac:dyDescent="0.2">
      <c r="A453" s="279"/>
      <c r="B453" s="277"/>
      <c r="C453" s="277"/>
      <c r="D453" s="277"/>
      <c r="E453" s="277"/>
      <c r="F453" s="277"/>
      <c r="G453" s="277"/>
      <c r="H453" s="277"/>
      <c r="I453" s="277"/>
      <c r="J453" s="277"/>
      <c r="K453" s="277"/>
      <c r="L453" s="291"/>
      <c r="N453" s="35"/>
      <c r="O453" s="36" t="s">
        <v>50</v>
      </c>
      <c r="P453" s="36"/>
      <c r="Q453" s="36"/>
      <c r="R453" s="36">
        <v>0</v>
      </c>
      <c r="S453" s="27"/>
      <c r="T453" s="36" t="s">
        <v>50</v>
      </c>
      <c r="U453" s="64" t="str">
        <f>Y452</f>
        <v/>
      </c>
      <c r="V453" s="38"/>
      <c r="W453" s="64" t="str">
        <f t="shared" si="111"/>
        <v/>
      </c>
      <c r="X453" s="38"/>
      <c r="Y453" s="64" t="str">
        <f t="shared" si="112"/>
        <v/>
      </c>
      <c r="Z453" s="40"/>
    </row>
    <row r="454" spans="1:27" s="25" customFormat="1" ht="18" customHeight="1" x14ac:dyDescent="0.3">
      <c r="A454" s="279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91"/>
      <c r="N454" s="35"/>
      <c r="O454" s="36" t="s">
        <v>55</v>
      </c>
      <c r="P454" s="36"/>
      <c r="Q454" s="36"/>
      <c r="R454" s="36">
        <v>0</v>
      </c>
      <c r="S454" s="27"/>
      <c r="T454" s="36" t="s">
        <v>55</v>
      </c>
      <c r="U454" s="64" t="str">
        <f>Y453</f>
        <v/>
      </c>
      <c r="V454" s="38"/>
      <c r="W454" s="64" t="str">
        <f t="shared" si="111"/>
        <v/>
      </c>
      <c r="X454" s="38"/>
      <c r="Y454" s="64" t="str">
        <f t="shared" si="112"/>
        <v/>
      </c>
      <c r="Z454" s="40"/>
    </row>
    <row r="455" spans="1:27" s="25" customFormat="1" ht="18" customHeight="1" thickBot="1" x14ac:dyDescent="0.35">
      <c r="A455" s="305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7"/>
      <c r="N455" s="35"/>
      <c r="O455" s="36" t="s">
        <v>56</v>
      </c>
      <c r="P455" s="36"/>
      <c r="Q455" s="36"/>
      <c r="R455" s="36">
        <v>0</v>
      </c>
      <c r="S455" s="27"/>
      <c r="T455" s="36" t="s">
        <v>56</v>
      </c>
      <c r="U455" s="64">
        <v>0</v>
      </c>
      <c r="V455" s="38"/>
      <c r="W455" s="64">
        <f t="shared" si="111"/>
        <v>0</v>
      </c>
      <c r="X455" s="38"/>
      <c r="Y455" s="64">
        <f t="shared" si="112"/>
        <v>0</v>
      </c>
      <c r="Z455" s="40"/>
    </row>
    <row r="456" spans="1:27" s="57" customFormat="1" ht="18" customHeight="1" thickBot="1" x14ac:dyDescent="0.25">
      <c r="A456" s="308"/>
      <c r="B456" s="308"/>
      <c r="C456" s="308"/>
      <c r="D456" s="308"/>
      <c r="E456" s="308"/>
      <c r="F456" s="308"/>
      <c r="G456" s="308"/>
      <c r="H456" s="308"/>
      <c r="I456" s="308"/>
      <c r="J456" s="308"/>
      <c r="K456" s="308"/>
      <c r="L456" s="30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7" s="25" customFormat="1" ht="18" customHeight="1" thickBot="1" x14ac:dyDescent="0.25">
      <c r="A457" s="390" t="s">
        <v>38</v>
      </c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2"/>
      <c r="M457" s="24"/>
      <c r="N457" s="28"/>
      <c r="O457" s="385" t="s">
        <v>40</v>
      </c>
      <c r="P457" s="386"/>
      <c r="Q457" s="386"/>
      <c r="R457" s="387"/>
      <c r="S457" s="29"/>
      <c r="T457" s="385" t="s">
        <v>41</v>
      </c>
      <c r="U457" s="386"/>
      <c r="V457" s="386"/>
      <c r="W457" s="386"/>
      <c r="X457" s="386"/>
      <c r="Y457" s="387"/>
      <c r="Z457" s="30"/>
      <c r="AA457" s="24"/>
    </row>
    <row r="458" spans="1:27" s="25" customFormat="1" ht="18" customHeight="1" x14ac:dyDescent="0.2">
      <c r="A458" s="279"/>
      <c r="B458" s="277"/>
      <c r="C458" s="396" t="s">
        <v>212</v>
      </c>
      <c r="D458" s="396"/>
      <c r="E458" s="396"/>
      <c r="F458" s="396"/>
      <c r="G458" s="280" t="str">
        <f>$J$1</f>
        <v>January</v>
      </c>
      <c r="H458" s="399">
        <f>$K$1</f>
        <v>2024</v>
      </c>
      <c r="I458" s="399"/>
      <c r="J458" s="277"/>
      <c r="K458" s="281"/>
      <c r="L458" s="282"/>
      <c r="M458" s="26"/>
      <c r="N458" s="31"/>
      <c r="O458" s="32" t="s">
        <v>51</v>
      </c>
      <c r="P458" s="32" t="s">
        <v>7</v>
      </c>
      <c r="Q458" s="32" t="s">
        <v>6</v>
      </c>
      <c r="R458" s="32" t="s">
        <v>52</v>
      </c>
      <c r="S458" s="33"/>
      <c r="T458" s="32" t="s">
        <v>51</v>
      </c>
      <c r="U458" s="32" t="s">
        <v>53</v>
      </c>
      <c r="V458" s="32" t="s">
        <v>18</v>
      </c>
      <c r="W458" s="32" t="s">
        <v>17</v>
      </c>
      <c r="X458" s="32" t="s">
        <v>19</v>
      </c>
      <c r="Y458" s="32" t="s">
        <v>57</v>
      </c>
      <c r="Z458" s="34"/>
      <c r="AA458" s="26"/>
    </row>
    <row r="459" spans="1:27" s="25" customFormat="1" ht="18" customHeight="1" x14ac:dyDescent="0.2">
      <c r="A459" s="279"/>
      <c r="B459" s="277"/>
      <c r="C459" s="277"/>
      <c r="D459" s="283"/>
      <c r="E459" s="283"/>
      <c r="F459" s="283"/>
      <c r="G459" s="283"/>
      <c r="H459" s="283"/>
      <c r="I459" s="277"/>
      <c r="J459" s="284" t="s">
        <v>1</v>
      </c>
      <c r="K459" s="285">
        <f>30000+2000</f>
        <v>32000</v>
      </c>
      <c r="L459" s="286"/>
      <c r="N459" s="35"/>
      <c r="O459" s="36" t="s">
        <v>43</v>
      </c>
      <c r="P459" s="36"/>
      <c r="Q459" s="36"/>
      <c r="R459" s="36"/>
      <c r="S459" s="37"/>
      <c r="T459" s="36" t="s">
        <v>43</v>
      </c>
      <c r="U459" s="38"/>
      <c r="V459" s="38"/>
      <c r="W459" s="38">
        <f>V459+U459</f>
        <v>0</v>
      </c>
      <c r="X459" s="38"/>
      <c r="Y459" s="38">
        <f>W459-X459</f>
        <v>0</v>
      </c>
      <c r="Z459" s="34"/>
    </row>
    <row r="460" spans="1:27" s="25" customFormat="1" ht="18" customHeight="1" x14ac:dyDescent="0.2">
      <c r="A460" s="279"/>
      <c r="B460" s="277" t="s">
        <v>0</v>
      </c>
      <c r="C460" s="276" t="s">
        <v>197</v>
      </c>
      <c r="D460" s="277"/>
      <c r="E460" s="277"/>
      <c r="F460" s="277"/>
      <c r="G460" s="277"/>
      <c r="H460" s="287"/>
      <c r="I460" s="283"/>
      <c r="J460" s="277"/>
      <c r="K460" s="277"/>
      <c r="L460" s="288"/>
      <c r="M460" s="24"/>
      <c r="N460" s="39"/>
      <c r="O460" s="36" t="s">
        <v>69</v>
      </c>
      <c r="P460" s="36"/>
      <c r="Q460" s="36"/>
      <c r="R460" s="36" t="str">
        <f t="shared" ref="R460:R469" si="113">IF(Q460="","",R459-Q460)</f>
        <v/>
      </c>
      <c r="S460" s="27"/>
      <c r="T460" s="36" t="s">
        <v>69</v>
      </c>
      <c r="U460" s="64"/>
      <c r="V460" s="38"/>
      <c r="W460" s="64" t="str">
        <f>IF(U460="","",U460+V460)</f>
        <v/>
      </c>
      <c r="X460" s="38"/>
      <c r="Y460" s="64" t="str">
        <f>IF(W460="","",W460-X460)</f>
        <v/>
      </c>
      <c r="Z460" s="40"/>
      <c r="AA460" s="24"/>
    </row>
    <row r="461" spans="1:27" s="25" customFormat="1" ht="18" customHeight="1" x14ac:dyDescent="0.2">
      <c r="A461" s="279"/>
      <c r="B461" s="289" t="s">
        <v>39</v>
      </c>
      <c r="C461" s="290"/>
      <c r="D461" s="277"/>
      <c r="E461" s="277"/>
      <c r="F461" s="393" t="s">
        <v>41</v>
      </c>
      <c r="G461" s="395"/>
      <c r="H461" s="277"/>
      <c r="I461" s="393" t="s">
        <v>42</v>
      </c>
      <c r="J461" s="394"/>
      <c r="K461" s="395"/>
      <c r="L461" s="291"/>
      <c r="N461" s="35"/>
      <c r="O461" s="36" t="s">
        <v>44</v>
      </c>
      <c r="P461" s="36"/>
      <c r="Q461" s="36"/>
      <c r="R461" s="36">
        <v>0</v>
      </c>
      <c r="S461" s="27"/>
      <c r="T461" s="36" t="s">
        <v>44</v>
      </c>
      <c r="U461" s="64"/>
      <c r="V461" s="38"/>
      <c r="W461" s="64" t="str">
        <f t="shared" ref="W461:W470" si="114">IF(U461="","",U461+V461)</f>
        <v/>
      </c>
      <c r="X461" s="38"/>
      <c r="Y461" s="64" t="str">
        <f t="shared" ref="Y461:Y470" si="115">IF(W461="","",W461-X461)</f>
        <v/>
      </c>
      <c r="Z461" s="40"/>
    </row>
    <row r="462" spans="1:27" s="25" customFormat="1" ht="18" customHeight="1" x14ac:dyDescent="0.2">
      <c r="A462" s="279"/>
      <c r="B462" s="277"/>
      <c r="C462" s="277"/>
      <c r="D462" s="277"/>
      <c r="E462" s="277"/>
      <c r="F462" s="277"/>
      <c r="G462" s="277"/>
      <c r="H462" s="292"/>
      <c r="I462" s="277"/>
      <c r="J462" s="277"/>
      <c r="K462" s="277"/>
      <c r="L462" s="293"/>
      <c r="N462" s="35"/>
      <c r="O462" s="36" t="s">
        <v>45</v>
      </c>
      <c r="P462" s="36"/>
      <c r="Q462" s="36"/>
      <c r="R462" s="36" t="str">
        <f t="shared" si="113"/>
        <v/>
      </c>
      <c r="S462" s="27"/>
      <c r="T462" s="36" t="s">
        <v>45</v>
      </c>
      <c r="U462" s="64"/>
      <c r="V462" s="38"/>
      <c r="W462" s="64" t="str">
        <f t="shared" si="114"/>
        <v/>
      </c>
      <c r="X462" s="38"/>
      <c r="Y462" s="64" t="str">
        <f t="shared" si="115"/>
        <v/>
      </c>
      <c r="Z462" s="40"/>
    </row>
    <row r="463" spans="1:27" s="25" customFormat="1" ht="18" customHeight="1" x14ac:dyDescent="0.2">
      <c r="A463" s="279"/>
      <c r="B463" s="397" t="s">
        <v>40</v>
      </c>
      <c r="C463" s="398"/>
      <c r="D463" s="277"/>
      <c r="E463" s="277"/>
      <c r="F463" s="294" t="s">
        <v>62</v>
      </c>
      <c r="G463" s="29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292"/>
      <c r="I463" s="296">
        <f>IF(C467&gt;=C466,$K$2,C465+C467)</f>
        <v>31</v>
      </c>
      <c r="J463" s="297" t="s">
        <v>59</v>
      </c>
      <c r="K463" s="298">
        <f>K459/$K$2*I463</f>
        <v>32000</v>
      </c>
      <c r="L463" s="299"/>
      <c r="N463" s="35"/>
      <c r="O463" s="36" t="s">
        <v>46</v>
      </c>
      <c r="P463" s="36"/>
      <c r="Q463" s="36"/>
      <c r="R463" s="36" t="str">
        <f t="shared" si="113"/>
        <v/>
      </c>
      <c r="S463" s="27"/>
      <c r="T463" s="36" t="s">
        <v>46</v>
      </c>
      <c r="U463" s="64"/>
      <c r="V463" s="38"/>
      <c r="W463" s="64" t="str">
        <f t="shared" si="114"/>
        <v/>
      </c>
      <c r="X463" s="38"/>
      <c r="Y463" s="64" t="str">
        <f t="shared" si="115"/>
        <v/>
      </c>
      <c r="Z463" s="40"/>
    </row>
    <row r="464" spans="1:27" s="25" customFormat="1" ht="18" customHeight="1" x14ac:dyDescent="0.2">
      <c r="A464" s="279"/>
      <c r="B464" s="300"/>
      <c r="C464" s="300"/>
      <c r="D464" s="277"/>
      <c r="E464" s="277"/>
      <c r="F464" s="294" t="s">
        <v>18</v>
      </c>
      <c r="G464" s="29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292"/>
      <c r="I464" s="296">
        <v>12</v>
      </c>
      <c r="J464" s="297" t="s">
        <v>60</v>
      </c>
      <c r="K464" s="301">
        <f>K459/$K$2/8*I464</f>
        <v>1548.3870967741937</v>
      </c>
      <c r="L464" s="302"/>
      <c r="N464" s="35"/>
      <c r="O464" s="36" t="s">
        <v>47</v>
      </c>
      <c r="P464" s="36"/>
      <c r="Q464" s="36"/>
      <c r="R464" s="36" t="str">
        <f t="shared" si="113"/>
        <v/>
      </c>
      <c r="S464" s="27"/>
      <c r="T464" s="36" t="s">
        <v>47</v>
      </c>
      <c r="U464" s="64"/>
      <c r="V464" s="38"/>
      <c r="W464" s="64" t="str">
        <f t="shared" si="114"/>
        <v/>
      </c>
      <c r="X464" s="38"/>
      <c r="Y464" s="64" t="str">
        <f t="shared" si="115"/>
        <v/>
      </c>
      <c r="Z464" s="40"/>
    </row>
    <row r="465" spans="1:26" s="25" customFormat="1" ht="18" customHeight="1" x14ac:dyDescent="0.2">
      <c r="A465" s="279"/>
      <c r="B465" s="294" t="s">
        <v>7</v>
      </c>
      <c r="C465" s="30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0</v>
      </c>
      <c r="D465" s="277"/>
      <c r="E465" s="277"/>
      <c r="F465" s="294" t="s">
        <v>63</v>
      </c>
      <c r="G465" s="295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0</v>
      </c>
      <c r="H465" s="292"/>
      <c r="I465" s="388" t="s">
        <v>67</v>
      </c>
      <c r="J465" s="389"/>
      <c r="K465" s="301">
        <f>K463+K464</f>
        <v>33548.387096774197</v>
      </c>
      <c r="L465" s="302"/>
      <c r="N465" s="35"/>
      <c r="O465" s="36" t="s">
        <v>48</v>
      </c>
      <c r="P465" s="36"/>
      <c r="Q465" s="36"/>
      <c r="R465" s="36" t="str">
        <f t="shared" si="113"/>
        <v/>
      </c>
      <c r="S465" s="27"/>
      <c r="T465" s="36" t="s">
        <v>48</v>
      </c>
      <c r="U465" s="64"/>
      <c r="V465" s="38"/>
      <c r="W465" s="64" t="str">
        <f t="shared" si="114"/>
        <v/>
      </c>
      <c r="X465" s="38"/>
      <c r="Y465" s="64" t="str">
        <f t="shared" si="115"/>
        <v/>
      </c>
      <c r="Z465" s="40"/>
    </row>
    <row r="466" spans="1:26" s="25" customFormat="1" ht="18" customHeight="1" x14ac:dyDescent="0.2">
      <c r="A466" s="279"/>
      <c r="B466" s="294" t="s">
        <v>6</v>
      </c>
      <c r="C466" s="30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277"/>
      <c r="E466" s="277"/>
      <c r="F466" s="294" t="s">
        <v>19</v>
      </c>
      <c r="G466" s="29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292"/>
      <c r="I466" s="388" t="s">
        <v>68</v>
      </c>
      <c r="J466" s="389"/>
      <c r="K466" s="295">
        <f>G466</f>
        <v>0</v>
      </c>
      <c r="L466" s="303"/>
      <c r="N466" s="35"/>
      <c r="O466" s="36" t="s">
        <v>49</v>
      </c>
      <c r="P466" s="36"/>
      <c r="Q466" s="36"/>
      <c r="R466" s="36" t="str">
        <f t="shared" si="113"/>
        <v/>
      </c>
      <c r="S466" s="27"/>
      <c r="T466" s="36" t="s">
        <v>49</v>
      </c>
      <c r="U466" s="64">
        <v>0</v>
      </c>
      <c r="V466" s="38"/>
      <c r="W466" s="64">
        <f t="shared" si="114"/>
        <v>0</v>
      </c>
      <c r="X466" s="38"/>
      <c r="Y466" s="64">
        <f t="shared" si="115"/>
        <v>0</v>
      </c>
      <c r="Z466" s="40"/>
    </row>
    <row r="467" spans="1:26" s="25" customFormat="1" ht="18" customHeight="1" x14ac:dyDescent="0.2">
      <c r="A467" s="279"/>
      <c r="B467" s="309" t="s">
        <v>66</v>
      </c>
      <c r="C467" s="300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277"/>
      <c r="E467" s="277"/>
      <c r="F467" s="309" t="s">
        <v>201</v>
      </c>
      <c r="G467" s="295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H467" s="277"/>
      <c r="I467" s="393" t="s">
        <v>61</v>
      </c>
      <c r="J467" s="395"/>
      <c r="K467" s="234">
        <f>K465-K466</f>
        <v>33548.387096774197</v>
      </c>
      <c r="L467" s="304"/>
      <c r="N467" s="35"/>
      <c r="O467" s="36" t="s">
        <v>54</v>
      </c>
      <c r="P467" s="36"/>
      <c r="Q467" s="36"/>
      <c r="R467" s="36">
        <v>0</v>
      </c>
      <c r="S467" s="27"/>
      <c r="T467" s="36" t="s">
        <v>54</v>
      </c>
      <c r="U467" s="64" t="str">
        <f>IF($J$1="September",Y466,"")</f>
        <v/>
      </c>
      <c r="V467" s="38"/>
      <c r="W467" s="64" t="str">
        <f t="shared" si="114"/>
        <v/>
      </c>
      <c r="X467" s="38"/>
      <c r="Y467" s="64" t="str">
        <f t="shared" si="115"/>
        <v/>
      </c>
      <c r="Z467" s="40"/>
    </row>
    <row r="468" spans="1:26" s="25" customFormat="1" ht="18" customHeight="1" x14ac:dyDescent="0.2">
      <c r="A468" s="279"/>
      <c r="B468" s="277"/>
      <c r="C468" s="277"/>
      <c r="D468" s="277"/>
      <c r="E468" s="277"/>
      <c r="F468" s="277"/>
      <c r="G468" s="277"/>
      <c r="H468" s="277"/>
      <c r="I468" s="277"/>
      <c r="J468" s="277"/>
      <c r="K468" s="277"/>
      <c r="L468" s="291"/>
      <c r="N468" s="35"/>
      <c r="O468" s="36" t="s">
        <v>50</v>
      </c>
      <c r="P468" s="36"/>
      <c r="Q468" s="36"/>
      <c r="R468" s="36">
        <v>0</v>
      </c>
      <c r="S468" s="27"/>
      <c r="T468" s="36" t="s">
        <v>50</v>
      </c>
      <c r="U468" s="64" t="str">
        <f>IF($J$1="October",Y467,"")</f>
        <v/>
      </c>
      <c r="V468" s="38"/>
      <c r="W468" s="64" t="str">
        <f t="shared" si="114"/>
        <v/>
      </c>
      <c r="X468" s="38"/>
      <c r="Y468" s="64" t="str">
        <f t="shared" si="115"/>
        <v/>
      </c>
      <c r="Z468" s="40"/>
    </row>
    <row r="469" spans="1:26" s="25" customFormat="1" ht="18" customHeight="1" x14ac:dyDescent="0.3">
      <c r="A469" s="279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91"/>
      <c r="N469" s="35"/>
      <c r="O469" s="36" t="s">
        <v>55</v>
      </c>
      <c r="P469" s="36"/>
      <c r="Q469" s="36"/>
      <c r="R469" s="36" t="str">
        <f t="shared" si="113"/>
        <v/>
      </c>
      <c r="S469" s="27"/>
      <c r="T469" s="36" t="s">
        <v>55</v>
      </c>
      <c r="U469" s="64"/>
      <c r="V469" s="38"/>
      <c r="W469" s="64" t="str">
        <f t="shared" si="114"/>
        <v/>
      </c>
      <c r="X469" s="38"/>
      <c r="Y469" s="64" t="str">
        <f t="shared" si="115"/>
        <v/>
      </c>
      <c r="Z469" s="40"/>
    </row>
    <row r="470" spans="1:26" s="25" customFormat="1" ht="18" customHeight="1" thickBot="1" x14ac:dyDescent="0.35">
      <c r="A470" s="305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7"/>
      <c r="N470" s="35"/>
      <c r="O470" s="36" t="s">
        <v>56</v>
      </c>
      <c r="P470" s="36"/>
      <c r="Q470" s="36"/>
      <c r="R470" s="36">
        <v>0</v>
      </c>
      <c r="S470" s="27"/>
      <c r="T470" s="36" t="s">
        <v>56</v>
      </c>
      <c r="U470" s="64"/>
      <c r="V470" s="38"/>
      <c r="W470" s="64" t="str">
        <f t="shared" si="114"/>
        <v/>
      </c>
      <c r="X470" s="38"/>
      <c r="Y470" s="64" t="str">
        <f t="shared" si="115"/>
        <v/>
      </c>
      <c r="Z470" s="40"/>
    </row>
    <row r="471" spans="1:26" s="57" customFormat="1" ht="18" customHeight="1" thickBot="1" x14ac:dyDescent="0.25">
      <c r="A471" s="308"/>
      <c r="B471" s="308"/>
      <c r="C471" s="308"/>
      <c r="D471" s="308"/>
      <c r="E471" s="308"/>
      <c r="F471" s="308"/>
      <c r="G471" s="308"/>
      <c r="H471" s="308"/>
      <c r="I471" s="308"/>
      <c r="J471" s="308"/>
      <c r="K471" s="308"/>
      <c r="L471" s="30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s="25" customFormat="1" ht="18" customHeight="1" thickBot="1" x14ac:dyDescent="0.25">
      <c r="A472" s="390" t="s">
        <v>38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2"/>
      <c r="M472" s="24"/>
      <c r="N472" s="28"/>
      <c r="O472" s="385" t="s">
        <v>40</v>
      </c>
      <c r="P472" s="386"/>
      <c r="Q472" s="386"/>
      <c r="R472" s="387"/>
      <c r="S472" s="29"/>
      <c r="T472" s="385" t="s">
        <v>41</v>
      </c>
      <c r="U472" s="386"/>
      <c r="V472" s="386"/>
      <c r="W472" s="386"/>
      <c r="X472" s="386"/>
      <c r="Y472" s="387"/>
      <c r="Z472" s="30"/>
    </row>
    <row r="473" spans="1:26" s="25" customFormat="1" ht="18" customHeight="1" x14ac:dyDescent="0.2">
      <c r="A473" s="279"/>
      <c r="B473" s="277"/>
      <c r="C473" s="396" t="s">
        <v>212</v>
      </c>
      <c r="D473" s="396"/>
      <c r="E473" s="396"/>
      <c r="F473" s="396"/>
      <c r="G473" s="280" t="str">
        <f>$J$1</f>
        <v>January</v>
      </c>
      <c r="H473" s="399">
        <f>$K$1</f>
        <v>2024</v>
      </c>
      <c r="I473" s="399"/>
      <c r="J473" s="277"/>
      <c r="K473" s="281"/>
      <c r="L473" s="282"/>
      <c r="M473" s="26"/>
      <c r="N473" s="31"/>
      <c r="O473" s="32" t="s">
        <v>51</v>
      </c>
      <c r="P473" s="32" t="s">
        <v>7</v>
      </c>
      <c r="Q473" s="32" t="s">
        <v>6</v>
      </c>
      <c r="R473" s="32" t="s">
        <v>52</v>
      </c>
      <c r="S473" s="33"/>
      <c r="T473" s="32" t="s">
        <v>51</v>
      </c>
      <c r="U473" s="32" t="s">
        <v>53</v>
      </c>
      <c r="V473" s="32" t="s">
        <v>18</v>
      </c>
      <c r="W473" s="32" t="s">
        <v>17</v>
      </c>
      <c r="X473" s="32" t="s">
        <v>19</v>
      </c>
      <c r="Y473" s="32" t="s">
        <v>57</v>
      </c>
      <c r="Z473" s="34"/>
    </row>
    <row r="474" spans="1:26" s="25" customFormat="1" ht="18" customHeight="1" x14ac:dyDescent="0.2">
      <c r="A474" s="279"/>
      <c r="B474" s="277"/>
      <c r="C474" s="277"/>
      <c r="D474" s="283"/>
      <c r="E474" s="283"/>
      <c r="F474" s="283"/>
      <c r="G474" s="283"/>
      <c r="H474" s="283"/>
      <c r="I474" s="277"/>
      <c r="J474" s="284" t="s">
        <v>1</v>
      </c>
      <c r="K474" s="285">
        <f>25000+2500+2000+2000</f>
        <v>31500</v>
      </c>
      <c r="L474" s="286"/>
      <c r="N474" s="35"/>
      <c r="O474" s="36" t="s">
        <v>43</v>
      </c>
      <c r="P474" s="36"/>
      <c r="Q474" s="36"/>
      <c r="R474" s="36">
        <v>0</v>
      </c>
      <c r="S474" s="37"/>
      <c r="T474" s="36" t="s">
        <v>43</v>
      </c>
      <c r="U474" s="38"/>
      <c r="V474" s="38"/>
      <c r="W474" s="38">
        <f>V474+U474</f>
        <v>0</v>
      </c>
      <c r="X474" s="38"/>
      <c r="Y474" s="38">
        <f>W474-X474</f>
        <v>0</v>
      </c>
      <c r="Z474" s="34"/>
    </row>
    <row r="475" spans="1:26" s="25" customFormat="1" ht="18" customHeight="1" x14ac:dyDescent="0.2">
      <c r="A475" s="279"/>
      <c r="B475" s="277" t="s">
        <v>0</v>
      </c>
      <c r="C475" s="276" t="s">
        <v>103</v>
      </c>
      <c r="D475" s="277"/>
      <c r="E475" s="277"/>
      <c r="F475" s="277"/>
      <c r="G475" s="277"/>
      <c r="H475" s="287"/>
      <c r="I475" s="283"/>
      <c r="J475" s="277"/>
      <c r="K475" s="277"/>
      <c r="L475" s="288"/>
      <c r="M475" s="24"/>
      <c r="N475" s="39"/>
      <c r="O475" s="36" t="s">
        <v>69</v>
      </c>
      <c r="P475" s="36"/>
      <c r="Q475" s="36"/>
      <c r="R475" s="36">
        <v>0</v>
      </c>
      <c r="S475" s="27"/>
      <c r="T475" s="36" t="s">
        <v>69</v>
      </c>
      <c r="U475" s="64" t="str">
        <f>IF($J$1="January","",Y474)</f>
        <v/>
      </c>
      <c r="V475" s="38"/>
      <c r="W475" s="64" t="str">
        <f>IF(U475="","",U475+V475)</f>
        <v/>
      </c>
      <c r="X475" s="38"/>
      <c r="Y475" s="64" t="str">
        <f>IF(W475="","",W475-X475)</f>
        <v/>
      </c>
      <c r="Z475" s="40"/>
    </row>
    <row r="476" spans="1:26" s="25" customFormat="1" ht="18" customHeight="1" x14ac:dyDescent="0.2">
      <c r="A476" s="279"/>
      <c r="B476" s="289" t="s">
        <v>39</v>
      </c>
      <c r="C476" s="290"/>
      <c r="D476" s="277"/>
      <c r="E476" s="277"/>
      <c r="F476" s="393" t="s">
        <v>41</v>
      </c>
      <c r="G476" s="395"/>
      <c r="H476" s="277"/>
      <c r="I476" s="393" t="s">
        <v>42</v>
      </c>
      <c r="J476" s="394"/>
      <c r="K476" s="395"/>
      <c r="L476" s="291"/>
      <c r="N476" s="35"/>
      <c r="O476" s="36" t="s">
        <v>44</v>
      </c>
      <c r="P476" s="36"/>
      <c r="Q476" s="36"/>
      <c r="R476" s="36">
        <v>0</v>
      </c>
      <c r="S476" s="27"/>
      <c r="T476" s="36" t="s">
        <v>44</v>
      </c>
      <c r="U476" s="64" t="str">
        <f>IF($J$1="February","",Y475)</f>
        <v/>
      </c>
      <c r="V476" s="38"/>
      <c r="W476" s="64" t="str">
        <f t="shared" ref="W476:W485" si="116">IF(U476="","",U476+V476)</f>
        <v/>
      </c>
      <c r="X476" s="38"/>
      <c r="Y476" s="64" t="str">
        <f t="shared" ref="Y476:Y485" si="117">IF(W476="","",W476-X476)</f>
        <v/>
      </c>
      <c r="Z476" s="40"/>
    </row>
    <row r="477" spans="1:26" s="25" customFormat="1" ht="18" customHeight="1" x14ac:dyDescent="0.2">
      <c r="A477" s="279"/>
      <c r="B477" s="277"/>
      <c r="C477" s="277"/>
      <c r="D477" s="277"/>
      <c r="E477" s="277"/>
      <c r="F477" s="277"/>
      <c r="G477" s="277"/>
      <c r="H477" s="292"/>
      <c r="I477" s="277"/>
      <c r="J477" s="277"/>
      <c r="K477" s="277"/>
      <c r="L477" s="293"/>
      <c r="N477" s="35"/>
      <c r="O477" s="36" t="s">
        <v>45</v>
      </c>
      <c r="P477" s="36"/>
      <c r="Q477" s="36"/>
      <c r="R477" s="36">
        <v>0</v>
      </c>
      <c r="S477" s="27"/>
      <c r="T477" s="36" t="s">
        <v>45</v>
      </c>
      <c r="U477" s="64" t="str">
        <f>IF($J$1="March","",Y476)</f>
        <v/>
      </c>
      <c r="V477" s="38"/>
      <c r="W477" s="64" t="str">
        <f t="shared" si="116"/>
        <v/>
      </c>
      <c r="X477" s="38"/>
      <c r="Y477" s="64" t="str">
        <f t="shared" si="117"/>
        <v/>
      </c>
      <c r="Z477" s="40"/>
    </row>
    <row r="478" spans="1:26" s="25" customFormat="1" ht="18" customHeight="1" x14ac:dyDescent="0.2">
      <c r="A478" s="279"/>
      <c r="B478" s="397" t="s">
        <v>40</v>
      </c>
      <c r="C478" s="398"/>
      <c r="D478" s="277"/>
      <c r="E478" s="277"/>
      <c r="F478" s="294" t="s">
        <v>62</v>
      </c>
      <c r="G478" s="29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292"/>
      <c r="I478" s="296">
        <f>IF(C482&gt;=C481,$K$2,C480+C482)</f>
        <v>31</v>
      </c>
      <c r="J478" s="297" t="s">
        <v>59</v>
      </c>
      <c r="K478" s="298">
        <f>K474/$K$2*I478</f>
        <v>31500</v>
      </c>
      <c r="L478" s="299"/>
      <c r="N478" s="35"/>
      <c r="O478" s="36" t="s">
        <v>46</v>
      </c>
      <c r="P478" s="36"/>
      <c r="Q478" s="36"/>
      <c r="R478" s="36">
        <v>0</v>
      </c>
      <c r="S478" s="27"/>
      <c r="T478" s="36" t="s">
        <v>46</v>
      </c>
      <c r="U478" s="64" t="str">
        <f>IF($J$1="April","",Y477)</f>
        <v/>
      </c>
      <c r="V478" s="38"/>
      <c r="W478" s="64" t="str">
        <f t="shared" si="116"/>
        <v/>
      </c>
      <c r="X478" s="38"/>
      <c r="Y478" s="64" t="str">
        <f t="shared" si="117"/>
        <v/>
      </c>
      <c r="Z478" s="40"/>
    </row>
    <row r="479" spans="1:26" s="25" customFormat="1" ht="18" customHeight="1" x14ac:dyDescent="0.2">
      <c r="A479" s="279"/>
      <c r="B479" s="300"/>
      <c r="C479" s="300"/>
      <c r="D479" s="277"/>
      <c r="E479" s="277"/>
      <c r="F479" s="294" t="s">
        <v>18</v>
      </c>
      <c r="G479" s="29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292"/>
      <c r="I479" s="296">
        <v>28</v>
      </c>
      <c r="J479" s="297" t="s">
        <v>60</v>
      </c>
      <c r="K479" s="301">
        <f>K474/$K$2/8*I479</f>
        <v>3556.4516129032259</v>
      </c>
      <c r="L479" s="302"/>
      <c r="N479" s="35"/>
      <c r="O479" s="36" t="s">
        <v>47</v>
      </c>
      <c r="P479" s="36"/>
      <c r="Q479" s="36"/>
      <c r="R479" s="36">
        <v>0</v>
      </c>
      <c r="S479" s="27"/>
      <c r="T479" s="36" t="s">
        <v>47</v>
      </c>
      <c r="U479" s="64" t="str">
        <f>IF($J$1="May","",Y478)</f>
        <v/>
      </c>
      <c r="V479" s="38"/>
      <c r="W479" s="64" t="str">
        <f t="shared" si="116"/>
        <v/>
      </c>
      <c r="X479" s="38"/>
      <c r="Y479" s="64" t="str">
        <f t="shared" si="117"/>
        <v/>
      </c>
      <c r="Z479" s="40"/>
    </row>
    <row r="480" spans="1:26" s="25" customFormat="1" ht="18" customHeight="1" x14ac:dyDescent="0.2">
      <c r="A480" s="279"/>
      <c r="B480" s="294" t="s">
        <v>7</v>
      </c>
      <c r="C480" s="30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0</v>
      </c>
      <c r="D480" s="277"/>
      <c r="E480" s="277"/>
      <c r="F480" s="294" t="s">
        <v>63</v>
      </c>
      <c r="G480" s="295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292"/>
      <c r="I480" s="388" t="s">
        <v>67</v>
      </c>
      <c r="J480" s="389"/>
      <c r="K480" s="301">
        <f>K478+K479</f>
        <v>35056.451612903227</v>
      </c>
      <c r="L480" s="302"/>
      <c r="N480" s="35"/>
      <c r="O480" s="36" t="s">
        <v>48</v>
      </c>
      <c r="P480" s="36"/>
      <c r="Q480" s="36"/>
      <c r="R480" s="36">
        <v>0</v>
      </c>
      <c r="S480" s="27"/>
      <c r="T480" s="36" t="s">
        <v>48</v>
      </c>
      <c r="U480" s="64" t="str">
        <f>IF($J$1="June","",Y479)</f>
        <v/>
      </c>
      <c r="V480" s="38"/>
      <c r="W480" s="64" t="str">
        <f t="shared" si="116"/>
        <v/>
      </c>
      <c r="X480" s="38"/>
      <c r="Y480" s="64" t="str">
        <f t="shared" si="117"/>
        <v/>
      </c>
      <c r="Z480" s="40"/>
    </row>
    <row r="481" spans="1:27" s="25" customFormat="1" ht="18" customHeight="1" x14ac:dyDescent="0.2">
      <c r="A481" s="279"/>
      <c r="B481" s="294" t="s">
        <v>6</v>
      </c>
      <c r="C481" s="30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277"/>
      <c r="E481" s="277"/>
      <c r="F481" s="294" t="s">
        <v>19</v>
      </c>
      <c r="G481" s="29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292"/>
      <c r="I481" s="388" t="s">
        <v>68</v>
      </c>
      <c r="J481" s="389"/>
      <c r="K481" s="295">
        <f>G481</f>
        <v>0</v>
      </c>
      <c r="L481" s="303"/>
      <c r="N481" s="35"/>
      <c r="O481" s="36" t="s">
        <v>49</v>
      </c>
      <c r="P481" s="36"/>
      <c r="Q481" s="36"/>
      <c r="R481" s="36">
        <v>0</v>
      </c>
      <c r="S481" s="27"/>
      <c r="T481" s="36" t="s">
        <v>49</v>
      </c>
      <c r="U481" s="64" t="str">
        <f>IF($J$1="July","",Y480)</f>
        <v/>
      </c>
      <c r="V481" s="38"/>
      <c r="W481" s="64" t="str">
        <f t="shared" si="116"/>
        <v/>
      </c>
      <c r="X481" s="38"/>
      <c r="Y481" s="64" t="str">
        <f t="shared" si="117"/>
        <v/>
      </c>
      <c r="Z481" s="40"/>
    </row>
    <row r="482" spans="1:27" s="25" customFormat="1" ht="18" customHeight="1" x14ac:dyDescent="0.2">
      <c r="A482" s="279"/>
      <c r="B482" s="309" t="s">
        <v>66</v>
      </c>
      <c r="C482" s="30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277"/>
      <c r="E482" s="277"/>
      <c r="F482" s="309" t="s">
        <v>201</v>
      </c>
      <c r="G482" s="295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277"/>
      <c r="I482" s="393" t="s">
        <v>61</v>
      </c>
      <c r="J482" s="395"/>
      <c r="K482" s="234">
        <f>K480-K481</f>
        <v>35056.451612903227</v>
      </c>
      <c r="L482" s="304"/>
      <c r="N482" s="35"/>
      <c r="O482" s="36" t="s">
        <v>54</v>
      </c>
      <c r="P482" s="36"/>
      <c r="Q482" s="36"/>
      <c r="R482" s="36">
        <v>0</v>
      </c>
      <c r="S482" s="27"/>
      <c r="T482" s="36" t="s">
        <v>54</v>
      </c>
      <c r="U482" s="64" t="str">
        <f>IF($J$1="September",Y481,"")</f>
        <v/>
      </c>
      <c r="V482" s="38"/>
      <c r="W482" s="64" t="str">
        <f t="shared" si="116"/>
        <v/>
      </c>
      <c r="X482" s="38"/>
      <c r="Y482" s="64" t="str">
        <f t="shared" si="117"/>
        <v/>
      </c>
      <c r="Z482" s="40"/>
    </row>
    <row r="483" spans="1:27" s="25" customFormat="1" ht="18" customHeight="1" x14ac:dyDescent="0.2">
      <c r="A483" s="279"/>
      <c r="B483" s="277"/>
      <c r="C483" s="277"/>
      <c r="D483" s="277"/>
      <c r="E483" s="277"/>
      <c r="F483" s="277"/>
      <c r="G483" s="277"/>
      <c r="H483" s="277"/>
      <c r="I483" s="277"/>
      <c r="J483" s="277"/>
      <c r="K483" s="277"/>
      <c r="L483" s="291"/>
      <c r="N483" s="35"/>
      <c r="O483" s="36" t="s">
        <v>50</v>
      </c>
      <c r="P483" s="36"/>
      <c r="Q483" s="36"/>
      <c r="R483" s="36">
        <v>0</v>
      </c>
      <c r="S483" s="27"/>
      <c r="T483" s="36" t="s">
        <v>50</v>
      </c>
      <c r="U483" s="64" t="str">
        <f>IF($J$1="October",Y482,"")</f>
        <v/>
      </c>
      <c r="V483" s="38"/>
      <c r="W483" s="64" t="str">
        <f t="shared" si="116"/>
        <v/>
      </c>
      <c r="X483" s="38"/>
      <c r="Y483" s="64" t="str">
        <f t="shared" si="117"/>
        <v/>
      </c>
      <c r="Z483" s="40"/>
    </row>
    <row r="484" spans="1:27" s="25" customFormat="1" ht="18" customHeight="1" x14ac:dyDescent="0.3">
      <c r="A484" s="279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91"/>
      <c r="N484" s="35"/>
      <c r="O484" s="36" t="s">
        <v>55</v>
      </c>
      <c r="P484" s="36"/>
      <c r="Q484" s="36"/>
      <c r="R484" s="36">
        <v>0</v>
      </c>
      <c r="S484" s="27"/>
      <c r="T484" s="36" t="s">
        <v>55</v>
      </c>
      <c r="U484" s="64"/>
      <c r="V484" s="38"/>
      <c r="W484" s="64" t="str">
        <f t="shared" si="116"/>
        <v/>
      </c>
      <c r="X484" s="38"/>
      <c r="Y484" s="64" t="str">
        <f t="shared" si="117"/>
        <v/>
      </c>
      <c r="Z484" s="40"/>
    </row>
    <row r="485" spans="1:27" s="25" customFormat="1" ht="18" customHeight="1" thickBot="1" x14ac:dyDescent="0.35">
      <c r="A485" s="305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7"/>
      <c r="N485" s="35"/>
      <c r="O485" s="36" t="s">
        <v>56</v>
      </c>
      <c r="P485" s="36"/>
      <c r="Q485" s="36"/>
      <c r="R485" s="36">
        <v>0</v>
      </c>
      <c r="S485" s="27"/>
      <c r="T485" s="36" t="s">
        <v>56</v>
      </c>
      <c r="U485" s="64"/>
      <c r="V485" s="38"/>
      <c r="W485" s="64" t="str">
        <f t="shared" si="116"/>
        <v/>
      </c>
      <c r="X485" s="38"/>
      <c r="Y485" s="64" t="str">
        <f t="shared" si="117"/>
        <v/>
      </c>
      <c r="Z485" s="40"/>
    </row>
    <row r="486" spans="1:27" s="57" customFormat="1" ht="18" customHeight="1" thickBot="1" x14ac:dyDescent="0.25">
      <c r="A486" s="308"/>
      <c r="B486" s="308"/>
      <c r="C486" s="308"/>
      <c r="D486" s="308"/>
      <c r="E486" s="308"/>
      <c r="F486" s="308"/>
      <c r="G486" s="308"/>
      <c r="H486" s="308"/>
      <c r="I486" s="308"/>
      <c r="J486" s="308"/>
      <c r="K486" s="308"/>
      <c r="L486" s="30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7" s="25" customFormat="1" ht="18" customHeight="1" thickBot="1" x14ac:dyDescent="0.25">
      <c r="A487" s="390" t="s">
        <v>38</v>
      </c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2"/>
      <c r="M487" s="24"/>
      <c r="N487" s="28"/>
      <c r="O487" s="385" t="s">
        <v>40</v>
      </c>
      <c r="P487" s="386"/>
      <c r="Q487" s="386"/>
      <c r="R487" s="387"/>
      <c r="S487" s="29"/>
      <c r="T487" s="385" t="s">
        <v>41</v>
      </c>
      <c r="U487" s="386"/>
      <c r="V487" s="386"/>
      <c r="W487" s="386"/>
      <c r="X487" s="386"/>
      <c r="Y487" s="387"/>
      <c r="Z487" s="30"/>
      <c r="AA487" s="24"/>
    </row>
    <row r="488" spans="1:27" s="25" customFormat="1" ht="18" customHeight="1" x14ac:dyDescent="0.2">
      <c r="A488" s="279"/>
      <c r="B488" s="277"/>
      <c r="C488" s="396" t="s">
        <v>212</v>
      </c>
      <c r="D488" s="396"/>
      <c r="E488" s="396"/>
      <c r="F488" s="396"/>
      <c r="G488" s="280" t="str">
        <f>$J$1</f>
        <v>January</v>
      </c>
      <c r="H488" s="399">
        <f>$K$1</f>
        <v>2024</v>
      </c>
      <c r="I488" s="399"/>
      <c r="J488" s="277"/>
      <c r="K488" s="281"/>
      <c r="L488" s="282"/>
      <c r="M488" s="26"/>
      <c r="N488" s="31"/>
      <c r="O488" s="32" t="s">
        <v>51</v>
      </c>
      <c r="P488" s="32" t="s">
        <v>7</v>
      </c>
      <c r="Q488" s="32" t="s">
        <v>6</v>
      </c>
      <c r="R488" s="32" t="s">
        <v>52</v>
      </c>
      <c r="S488" s="33"/>
      <c r="T488" s="32" t="s">
        <v>51</v>
      </c>
      <c r="U488" s="32" t="s">
        <v>53</v>
      </c>
      <c r="V488" s="32" t="s">
        <v>18</v>
      </c>
      <c r="W488" s="32" t="s">
        <v>17</v>
      </c>
      <c r="X488" s="32" t="s">
        <v>19</v>
      </c>
      <c r="Y488" s="32" t="s">
        <v>57</v>
      </c>
      <c r="Z488" s="34"/>
      <c r="AA488" s="26"/>
    </row>
    <row r="489" spans="1:27" s="25" customFormat="1" ht="18" customHeight="1" x14ac:dyDescent="0.2">
      <c r="A489" s="279"/>
      <c r="B489" s="277"/>
      <c r="C489" s="277"/>
      <c r="D489" s="283"/>
      <c r="E489" s="283"/>
      <c r="F489" s="283"/>
      <c r="G489" s="283"/>
      <c r="H489" s="283"/>
      <c r="I489" s="277"/>
      <c r="J489" s="284" t="s">
        <v>1</v>
      </c>
      <c r="K489" s="285">
        <f>22500+2500+2000+3000</f>
        <v>30000</v>
      </c>
      <c r="L489" s="286"/>
      <c r="N489" s="35"/>
      <c r="O489" s="36" t="s">
        <v>43</v>
      </c>
      <c r="P489" s="36"/>
      <c r="Q489" s="36"/>
      <c r="R489" s="36">
        <v>0</v>
      </c>
      <c r="S489" s="37"/>
      <c r="T489" s="36" t="s">
        <v>43</v>
      </c>
      <c r="U489" s="38">
        <v>55000</v>
      </c>
      <c r="V489" s="38"/>
      <c r="W489" s="38">
        <f>V489+U489</f>
        <v>55000</v>
      </c>
      <c r="X489" s="38"/>
      <c r="Y489" s="38">
        <f>W489-X489</f>
        <v>55000</v>
      </c>
      <c r="Z489" s="34"/>
    </row>
    <row r="490" spans="1:27" s="25" customFormat="1" ht="18" customHeight="1" x14ac:dyDescent="0.2">
      <c r="A490" s="279"/>
      <c r="B490" s="277" t="s">
        <v>0</v>
      </c>
      <c r="C490" s="276" t="s">
        <v>138</v>
      </c>
      <c r="D490" s="277"/>
      <c r="E490" s="277"/>
      <c r="F490" s="277"/>
      <c r="G490" s="277"/>
      <c r="H490" s="287"/>
      <c r="I490" s="283"/>
      <c r="J490" s="277"/>
      <c r="K490" s="277"/>
      <c r="L490" s="288"/>
      <c r="M490" s="24"/>
      <c r="N490" s="39"/>
      <c r="O490" s="36" t="s">
        <v>69</v>
      </c>
      <c r="P490" s="36"/>
      <c r="Q490" s="36"/>
      <c r="R490" s="36">
        <v>0</v>
      </c>
      <c r="S490" s="27"/>
      <c r="T490" s="36" t="s">
        <v>69</v>
      </c>
      <c r="U490" s="64"/>
      <c r="V490" s="38"/>
      <c r="W490" s="64" t="str">
        <f>IF(U490="","",U490+V490)</f>
        <v/>
      </c>
      <c r="X490" s="38"/>
      <c r="Y490" s="64" t="str">
        <f>IF(W490="","",W490-X490)</f>
        <v/>
      </c>
      <c r="Z490" s="40"/>
      <c r="AA490" s="24"/>
    </row>
    <row r="491" spans="1:27" s="25" customFormat="1" ht="18" customHeight="1" x14ac:dyDescent="0.2">
      <c r="A491" s="279"/>
      <c r="B491" s="289" t="s">
        <v>39</v>
      </c>
      <c r="C491" s="290"/>
      <c r="D491" s="277"/>
      <c r="E491" s="277"/>
      <c r="F491" s="393" t="s">
        <v>41</v>
      </c>
      <c r="G491" s="395"/>
      <c r="H491" s="277"/>
      <c r="I491" s="393" t="s">
        <v>42</v>
      </c>
      <c r="J491" s="394"/>
      <c r="K491" s="395"/>
      <c r="L491" s="291"/>
      <c r="N491" s="35"/>
      <c r="O491" s="36" t="s">
        <v>44</v>
      </c>
      <c r="P491" s="36"/>
      <c r="Q491" s="36"/>
      <c r="R491" s="36">
        <v>0</v>
      </c>
      <c r="S491" s="27"/>
      <c r="T491" s="36" t="s">
        <v>44</v>
      </c>
      <c r="U491" s="64"/>
      <c r="V491" s="38"/>
      <c r="W491" s="64" t="str">
        <f t="shared" ref="W491:W500" si="118">IF(U491="","",U491+V491)</f>
        <v/>
      </c>
      <c r="X491" s="38"/>
      <c r="Y491" s="64" t="str">
        <f t="shared" ref="Y491:Y500" si="119">IF(W491="","",W491-X491)</f>
        <v/>
      </c>
      <c r="Z491" s="40"/>
    </row>
    <row r="492" spans="1:27" s="25" customFormat="1" ht="18" customHeight="1" x14ac:dyDescent="0.2">
      <c r="A492" s="279"/>
      <c r="B492" s="277"/>
      <c r="C492" s="277"/>
      <c r="D492" s="277"/>
      <c r="E492" s="277"/>
      <c r="F492" s="277"/>
      <c r="G492" s="277"/>
      <c r="H492" s="292"/>
      <c r="I492" s="277"/>
      <c r="J492" s="277"/>
      <c r="K492" s="277"/>
      <c r="L492" s="293"/>
      <c r="N492" s="35"/>
      <c r="O492" s="36" t="s">
        <v>45</v>
      </c>
      <c r="P492" s="36"/>
      <c r="Q492" s="36"/>
      <c r="R492" s="36">
        <v>0</v>
      </c>
      <c r="S492" s="27"/>
      <c r="T492" s="36" t="s">
        <v>45</v>
      </c>
      <c r="U492" s="64"/>
      <c r="V492" s="38"/>
      <c r="W492" s="64" t="str">
        <f t="shared" si="118"/>
        <v/>
      </c>
      <c r="X492" s="38"/>
      <c r="Y492" s="64" t="str">
        <f t="shared" si="119"/>
        <v/>
      </c>
      <c r="Z492" s="40"/>
    </row>
    <row r="493" spans="1:27" s="25" customFormat="1" ht="18" customHeight="1" x14ac:dyDescent="0.2">
      <c r="A493" s="279"/>
      <c r="B493" s="397" t="s">
        <v>40</v>
      </c>
      <c r="C493" s="398"/>
      <c r="D493" s="277"/>
      <c r="E493" s="277"/>
      <c r="F493" s="294" t="s">
        <v>62</v>
      </c>
      <c r="G493" s="29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55000</v>
      </c>
      <c r="H493" s="292"/>
      <c r="I493" s="296">
        <f>IF(C497&gt;=C496,$K$2,C495+C497)</f>
        <v>31</v>
      </c>
      <c r="J493" s="297" t="s">
        <v>59</v>
      </c>
      <c r="K493" s="298">
        <f>K489/$K$2*I493</f>
        <v>30000</v>
      </c>
      <c r="L493" s="299"/>
      <c r="N493" s="35"/>
      <c r="O493" s="36" t="s">
        <v>46</v>
      </c>
      <c r="P493" s="36"/>
      <c r="Q493" s="36"/>
      <c r="R493" s="36">
        <v>0</v>
      </c>
      <c r="S493" s="27"/>
      <c r="T493" s="36" t="s">
        <v>46</v>
      </c>
      <c r="U493" s="64"/>
      <c r="V493" s="38"/>
      <c r="W493" s="64" t="str">
        <f t="shared" si="118"/>
        <v/>
      </c>
      <c r="X493" s="38"/>
      <c r="Y493" s="64" t="str">
        <f t="shared" si="119"/>
        <v/>
      </c>
      <c r="Z493" s="40"/>
    </row>
    <row r="494" spans="1:27" s="25" customFormat="1" ht="18" customHeight="1" x14ac:dyDescent="0.2">
      <c r="A494" s="279"/>
      <c r="B494" s="300"/>
      <c r="C494" s="300"/>
      <c r="D494" s="277"/>
      <c r="E494" s="277"/>
      <c r="F494" s="294" t="s">
        <v>18</v>
      </c>
      <c r="G494" s="29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292"/>
      <c r="I494" s="296">
        <v>56</v>
      </c>
      <c r="J494" s="297" t="s">
        <v>60</v>
      </c>
      <c r="K494" s="301">
        <f>K489/$K$2/8*I494</f>
        <v>6774.1935483870966</v>
      </c>
      <c r="L494" s="302"/>
      <c r="N494" s="35"/>
      <c r="O494" s="36" t="s">
        <v>47</v>
      </c>
      <c r="P494" s="36"/>
      <c r="Q494" s="36"/>
      <c r="R494" s="36">
        <v>0</v>
      </c>
      <c r="S494" s="27"/>
      <c r="T494" s="36" t="s">
        <v>47</v>
      </c>
      <c r="U494" s="64"/>
      <c r="V494" s="38"/>
      <c r="W494" s="64" t="str">
        <f t="shared" si="118"/>
        <v/>
      </c>
      <c r="X494" s="38"/>
      <c r="Y494" s="64" t="str">
        <f t="shared" si="119"/>
        <v/>
      </c>
      <c r="Z494" s="40"/>
    </row>
    <row r="495" spans="1:27" s="25" customFormat="1" ht="18" customHeight="1" x14ac:dyDescent="0.2">
      <c r="A495" s="279"/>
      <c r="B495" s="294" t="s">
        <v>7</v>
      </c>
      <c r="C495" s="30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D495" s="277"/>
      <c r="E495" s="277"/>
      <c r="F495" s="294" t="s">
        <v>63</v>
      </c>
      <c r="G495" s="29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55000</v>
      </c>
      <c r="H495" s="292"/>
      <c r="I495" s="388" t="s">
        <v>67</v>
      </c>
      <c r="J495" s="389"/>
      <c r="K495" s="301">
        <f>K493+K494</f>
        <v>36774.193548387098</v>
      </c>
      <c r="L495" s="302"/>
      <c r="N495" s="35"/>
      <c r="O495" s="36" t="s">
        <v>48</v>
      </c>
      <c r="P495" s="36"/>
      <c r="Q495" s="36"/>
      <c r="R495" s="36">
        <v>0</v>
      </c>
      <c r="S495" s="27"/>
      <c r="T495" s="36" t="s">
        <v>48</v>
      </c>
      <c r="U495" s="64"/>
      <c r="V495" s="38"/>
      <c r="W495" s="64" t="str">
        <f t="shared" si="118"/>
        <v/>
      </c>
      <c r="X495" s="38"/>
      <c r="Y495" s="64" t="str">
        <f t="shared" si="119"/>
        <v/>
      </c>
      <c r="Z495" s="40"/>
    </row>
    <row r="496" spans="1:27" s="25" customFormat="1" ht="18" customHeight="1" x14ac:dyDescent="0.2">
      <c r="A496" s="279"/>
      <c r="B496" s="294" t="s">
        <v>6</v>
      </c>
      <c r="C496" s="30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277"/>
      <c r="E496" s="277"/>
      <c r="F496" s="294" t="s">
        <v>19</v>
      </c>
      <c r="G496" s="29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292"/>
      <c r="I496" s="388" t="s">
        <v>68</v>
      </c>
      <c r="J496" s="389"/>
      <c r="K496" s="295">
        <f>G496</f>
        <v>0</v>
      </c>
      <c r="L496" s="303"/>
      <c r="N496" s="35"/>
      <c r="O496" s="36" t="s">
        <v>49</v>
      </c>
      <c r="P496" s="36"/>
      <c r="Q496" s="36"/>
      <c r="R496" s="36">
        <v>0</v>
      </c>
      <c r="S496" s="27"/>
      <c r="T496" s="36" t="s">
        <v>49</v>
      </c>
      <c r="U496" s="64"/>
      <c r="V496" s="38"/>
      <c r="W496" s="64" t="str">
        <f t="shared" si="118"/>
        <v/>
      </c>
      <c r="X496" s="38"/>
      <c r="Y496" s="64" t="str">
        <f t="shared" si="119"/>
        <v/>
      </c>
      <c r="Z496" s="40"/>
    </row>
    <row r="497" spans="1:27" s="25" customFormat="1" ht="18" customHeight="1" x14ac:dyDescent="0.2">
      <c r="A497" s="279"/>
      <c r="B497" s="309" t="s">
        <v>66</v>
      </c>
      <c r="C497" s="30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277"/>
      <c r="E497" s="277"/>
      <c r="F497" s="309" t="s">
        <v>201</v>
      </c>
      <c r="G497" s="295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55000</v>
      </c>
      <c r="H497" s="277"/>
      <c r="I497" s="393" t="s">
        <v>61</v>
      </c>
      <c r="J497" s="395"/>
      <c r="K497" s="234">
        <f>K495-K496</f>
        <v>36774.193548387098</v>
      </c>
      <c r="L497" s="304"/>
      <c r="N497" s="35"/>
      <c r="O497" s="36" t="s">
        <v>54</v>
      </c>
      <c r="P497" s="36"/>
      <c r="Q497" s="36"/>
      <c r="R497" s="36">
        <v>0</v>
      </c>
      <c r="S497" s="27"/>
      <c r="T497" s="36" t="s">
        <v>54</v>
      </c>
      <c r="U497" s="64"/>
      <c r="V497" s="38"/>
      <c r="W497" s="64" t="str">
        <f t="shared" si="118"/>
        <v/>
      </c>
      <c r="X497" s="38"/>
      <c r="Y497" s="64" t="str">
        <f t="shared" si="119"/>
        <v/>
      </c>
      <c r="Z497" s="40"/>
    </row>
    <row r="498" spans="1:27" s="25" customFormat="1" ht="18" customHeight="1" x14ac:dyDescent="0.2">
      <c r="A498" s="279"/>
      <c r="B498" s="277"/>
      <c r="C498" s="277"/>
      <c r="D498" s="277"/>
      <c r="E498" s="277"/>
      <c r="F498" s="277"/>
      <c r="G498" s="277"/>
      <c r="H498" s="277"/>
      <c r="I498" s="277"/>
      <c r="J498" s="277"/>
      <c r="K498" s="277"/>
      <c r="L498" s="291"/>
      <c r="N498" s="35"/>
      <c r="O498" s="36" t="s">
        <v>50</v>
      </c>
      <c r="P498" s="36"/>
      <c r="Q498" s="36"/>
      <c r="R498" s="36">
        <v>0</v>
      </c>
      <c r="S498" s="27"/>
      <c r="T498" s="36" t="s">
        <v>50</v>
      </c>
      <c r="U498" s="64"/>
      <c r="V498" s="38"/>
      <c r="W498" s="64" t="str">
        <f t="shared" si="118"/>
        <v/>
      </c>
      <c r="X498" s="38"/>
      <c r="Y498" s="64" t="str">
        <f t="shared" si="119"/>
        <v/>
      </c>
      <c r="Z498" s="40"/>
    </row>
    <row r="499" spans="1:27" s="25" customFormat="1" ht="18" customHeight="1" x14ac:dyDescent="0.3">
      <c r="A499" s="279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91"/>
      <c r="N499" s="35"/>
      <c r="O499" s="36" t="s">
        <v>55</v>
      </c>
      <c r="P499" s="36"/>
      <c r="Q499" s="36"/>
      <c r="R499" s="36">
        <v>0</v>
      </c>
      <c r="S499" s="27"/>
      <c r="T499" s="36" t="s">
        <v>55</v>
      </c>
      <c r="U499" s="64"/>
      <c r="V499" s="38"/>
      <c r="W499" s="64" t="str">
        <f t="shared" si="118"/>
        <v/>
      </c>
      <c r="X499" s="38"/>
      <c r="Y499" s="64" t="str">
        <f t="shared" si="119"/>
        <v/>
      </c>
      <c r="Z499" s="40"/>
    </row>
    <row r="500" spans="1:27" s="25" customFormat="1" ht="18" customHeight="1" thickBot="1" x14ac:dyDescent="0.35">
      <c r="A500" s="305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7"/>
      <c r="N500" s="35"/>
      <c r="O500" s="36" t="s">
        <v>56</v>
      </c>
      <c r="P500" s="36"/>
      <c r="Q500" s="36"/>
      <c r="R500" s="36">
        <v>0</v>
      </c>
      <c r="S500" s="27"/>
      <c r="T500" s="36" t="s">
        <v>56</v>
      </c>
      <c r="U500" s="64"/>
      <c r="V500" s="38"/>
      <c r="W500" s="64" t="str">
        <f t="shared" si="118"/>
        <v/>
      </c>
      <c r="X500" s="38"/>
      <c r="Y500" s="64" t="str">
        <f t="shared" si="119"/>
        <v/>
      </c>
      <c r="Z500" s="40"/>
    </row>
    <row r="501" spans="1:27" s="57" customFormat="1" ht="18" customHeight="1" thickBot="1" x14ac:dyDescent="0.25">
      <c r="A501" s="308"/>
      <c r="B501" s="308"/>
      <c r="C501" s="308"/>
      <c r="D501" s="308"/>
      <c r="E501" s="308"/>
      <c r="F501" s="308"/>
      <c r="G501" s="308"/>
      <c r="H501" s="308"/>
      <c r="I501" s="308"/>
      <c r="J501" s="308"/>
      <c r="K501" s="308"/>
      <c r="L501" s="30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7" s="25" customFormat="1" ht="18" customHeight="1" thickBot="1" x14ac:dyDescent="0.25">
      <c r="A502" s="390" t="s">
        <v>38</v>
      </c>
      <c r="B502" s="391"/>
      <c r="C502" s="391"/>
      <c r="D502" s="391"/>
      <c r="E502" s="391"/>
      <c r="F502" s="391"/>
      <c r="G502" s="391"/>
      <c r="H502" s="391"/>
      <c r="I502" s="391"/>
      <c r="J502" s="391"/>
      <c r="K502" s="391"/>
      <c r="L502" s="392"/>
      <c r="M502" s="24"/>
      <c r="N502" s="28"/>
      <c r="O502" s="385" t="s">
        <v>40</v>
      </c>
      <c r="P502" s="386"/>
      <c r="Q502" s="386"/>
      <c r="R502" s="387"/>
      <c r="S502" s="29"/>
      <c r="T502" s="385" t="s">
        <v>41</v>
      </c>
      <c r="U502" s="386"/>
      <c r="V502" s="386"/>
      <c r="W502" s="386"/>
      <c r="X502" s="386"/>
      <c r="Y502" s="387"/>
      <c r="Z502" s="30"/>
      <c r="AA502" s="24"/>
    </row>
    <row r="503" spans="1:27" s="25" customFormat="1" ht="18" customHeight="1" x14ac:dyDescent="0.2">
      <c r="A503" s="279"/>
      <c r="B503" s="277"/>
      <c r="C503" s="396" t="s">
        <v>212</v>
      </c>
      <c r="D503" s="396"/>
      <c r="E503" s="396"/>
      <c r="F503" s="396"/>
      <c r="G503" s="280" t="str">
        <f>$J$1</f>
        <v>January</v>
      </c>
      <c r="H503" s="399">
        <f>$K$1</f>
        <v>2024</v>
      </c>
      <c r="I503" s="399"/>
      <c r="J503" s="277"/>
      <c r="K503" s="281"/>
      <c r="L503" s="282"/>
      <c r="M503" s="26"/>
      <c r="N503" s="31"/>
      <c r="O503" s="32" t="s">
        <v>51</v>
      </c>
      <c r="P503" s="32" t="s">
        <v>7</v>
      </c>
      <c r="Q503" s="32" t="s">
        <v>6</v>
      </c>
      <c r="R503" s="32" t="s">
        <v>52</v>
      </c>
      <c r="S503" s="33"/>
      <c r="T503" s="32" t="s">
        <v>51</v>
      </c>
      <c r="U503" s="32" t="s">
        <v>53</v>
      </c>
      <c r="V503" s="32" t="s">
        <v>18</v>
      </c>
      <c r="W503" s="32" t="s">
        <v>17</v>
      </c>
      <c r="X503" s="32" t="s">
        <v>19</v>
      </c>
      <c r="Y503" s="32" t="s">
        <v>57</v>
      </c>
      <c r="Z503" s="34"/>
      <c r="AA503" s="26"/>
    </row>
    <row r="504" spans="1:27" s="25" customFormat="1" ht="18" customHeight="1" x14ac:dyDescent="0.2">
      <c r="A504" s="279"/>
      <c r="B504" s="277"/>
      <c r="C504" s="277"/>
      <c r="D504" s="283"/>
      <c r="E504" s="283"/>
      <c r="F504" s="283"/>
      <c r="G504" s="283"/>
      <c r="H504" s="283"/>
      <c r="I504" s="277"/>
      <c r="J504" s="284" t="s">
        <v>1</v>
      </c>
      <c r="K504" s="285">
        <f>32500+2000+3000</f>
        <v>37500</v>
      </c>
      <c r="L504" s="286"/>
      <c r="N504" s="35"/>
      <c r="O504" s="36" t="s">
        <v>43</v>
      </c>
      <c r="P504" s="36"/>
      <c r="Q504" s="36"/>
      <c r="R504" s="36">
        <v>0</v>
      </c>
      <c r="S504" s="37"/>
      <c r="T504" s="36" t="s">
        <v>43</v>
      </c>
      <c r="U504" s="38"/>
      <c r="V504" s="38"/>
      <c r="W504" s="38">
        <f>V504+U504</f>
        <v>0</v>
      </c>
      <c r="X504" s="38"/>
      <c r="Y504" s="38">
        <f>W504-X504</f>
        <v>0</v>
      </c>
      <c r="Z504" s="34"/>
    </row>
    <row r="505" spans="1:27" s="25" customFormat="1" ht="18" customHeight="1" x14ac:dyDescent="0.2">
      <c r="A505" s="279"/>
      <c r="B505" s="277" t="s">
        <v>0</v>
      </c>
      <c r="C505" s="276" t="s">
        <v>151</v>
      </c>
      <c r="D505" s="277"/>
      <c r="E505" s="277"/>
      <c r="F505" s="277"/>
      <c r="G505" s="277"/>
      <c r="H505" s="287"/>
      <c r="I505" s="283"/>
      <c r="J505" s="277"/>
      <c r="K505" s="277"/>
      <c r="L505" s="288"/>
      <c r="M505" s="24"/>
      <c r="N505" s="39"/>
      <c r="O505" s="36" t="s">
        <v>69</v>
      </c>
      <c r="P505" s="36"/>
      <c r="Q505" s="36"/>
      <c r="R505" s="36">
        <v>0</v>
      </c>
      <c r="S505" s="27"/>
      <c r="T505" s="36" t="s">
        <v>69</v>
      </c>
      <c r="U505" s="64" t="str">
        <f>IF($J$1="January","",Y504)</f>
        <v/>
      </c>
      <c r="V505" s="38"/>
      <c r="W505" s="64" t="str">
        <f>IF(U505="","",U505+V505)</f>
        <v/>
      </c>
      <c r="X505" s="38"/>
      <c r="Y505" s="64" t="str">
        <f>IF(W505="","",W505-X505)</f>
        <v/>
      </c>
      <c r="Z505" s="40"/>
      <c r="AA505" s="24"/>
    </row>
    <row r="506" spans="1:27" s="25" customFormat="1" ht="18" customHeight="1" x14ac:dyDescent="0.2">
      <c r="A506" s="279"/>
      <c r="B506" s="289" t="s">
        <v>39</v>
      </c>
      <c r="C506" s="290"/>
      <c r="D506" s="277"/>
      <c r="E506" s="277"/>
      <c r="F506" s="393" t="s">
        <v>41</v>
      </c>
      <c r="G506" s="395"/>
      <c r="H506" s="277"/>
      <c r="I506" s="393" t="s">
        <v>42</v>
      </c>
      <c r="J506" s="394"/>
      <c r="K506" s="395"/>
      <c r="L506" s="291"/>
      <c r="N506" s="35"/>
      <c r="O506" s="36" t="s">
        <v>44</v>
      </c>
      <c r="P506" s="36"/>
      <c r="Q506" s="36"/>
      <c r="R506" s="36">
        <v>0</v>
      </c>
      <c r="S506" s="27"/>
      <c r="T506" s="36" t="s">
        <v>44</v>
      </c>
      <c r="U506" s="64" t="str">
        <f>IF($J$1="February","",Y505)</f>
        <v/>
      </c>
      <c r="V506" s="38"/>
      <c r="W506" s="64" t="str">
        <f t="shared" ref="W506:W515" si="120">IF(U506="","",U506+V506)</f>
        <v/>
      </c>
      <c r="X506" s="38"/>
      <c r="Y506" s="64" t="str">
        <f t="shared" ref="Y506:Y515" si="121">IF(W506="","",W506-X506)</f>
        <v/>
      </c>
      <c r="Z506" s="40"/>
    </row>
    <row r="507" spans="1:27" s="25" customFormat="1" ht="18" customHeight="1" x14ac:dyDescent="0.2">
      <c r="A507" s="279"/>
      <c r="B507" s="277"/>
      <c r="C507" s="277"/>
      <c r="D507" s="277"/>
      <c r="E507" s="277"/>
      <c r="F507" s="277"/>
      <c r="G507" s="277"/>
      <c r="H507" s="292"/>
      <c r="I507" s="277"/>
      <c r="J507" s="277"/>
      <c r="K507" s="277"/>
      <c r="L507" s="293"/>
      <c r="N507" s="35"/>
      <c r="O507" s="36" t="s">
        <v>45</v>
      </c>
      <c r="P507" s="36"/>
      <c r="Q507" s="36"/>
      <c r="R507" s="36">
        <v>0</v>
      </c>
      <c r="S507" s="27"/>
      <c r="T507" s="36" t="s">
        <v>45</v>
      </c>
      <c r="U507" s="64" t="str">
        <f>IF($J$1="March","",Y506)</f>
        <v/>
      </c>
      <c r="V507" s="38"/>
      <c r="W507" s="64" t="str">
        <f t="shared" si="120"/>
        <v/>
      </c>
      <c r="X507" s="38"/>
      <c r="Y507" s="64" t="str">
        <f t="shared" si="121"/>
        <v/>
      </c>
      <c r="Z507" s="40"/>
    </row>
    <row r="508" spans="1:27" s="25" customFormat="1" ht="18" customHeight="1" x14ac:dyDescent="0.2">
      <c r="A508" s="279"/>
      <c r="B508" s="397" t="s">
        <v>40</v>
      </c>
      <c r="C508" s="398"/>
      <c r="D508" s="277"/>
      <c r="E508" s="277"/>
      <c r="F508" s="294" t="s">
        <v>62</v>
      </c>
      <c r="G508" s="295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292"/>
      <c r="I508" s="296">
        <f>IF(C512&gt;=C511,$K$2,C510+C512)</f>
        <v>31</v>
      </c>
      <c r="J508" s="297" t="s">
        <v>59</v>
      </c>
      <c r="K508" s="298">
        <f>K504/$K$2*I508</f>
        <v>37500</v>
      </c>
      <c r="L508" s="299"/>
      <c r="N508" s="35"/>
      <c r="O508" s="36" t="s">
        <v>46</v>
      </c>
      <c r="P508" s="36"/>
      <c r="Q508" s="36"/>
      <c r="R508" s="36">
        <v>0</v>
      </c>
      <c r="S508" s="27"/>
      <c r="T508" s="36" t="s">
        <v>46</v>
      </c>
      <c r="U508" s="64" t="str">
        <f>IF($J$1="April","",Y507)</f>
        <v/>
      </c>
      <c r="V508" s="38"/>
      <c r="W508" s="64" t="str">
        <f t="shared" si="120"/>
        <v/>
      </c>
      <c r="X508" s="38"/>
      <c r="Y508" s="64" t="str">
        <f t="shared" si="121"/>
        <v/>
      </c>
      <c r="Z508" s="40"/>
    </row>
    <row r="509" spans="1:27" s="25" customFormat="1" ht="18" customHeight="1" x14ac:dyDescent="0.2">
      <c r="A509" s="279"/>
      <c r="B509" s="300"/>
      <c r="C509" s="300"/>
      <c r="D509" s="277"/>
      <c r="E509" s="277"/>
      <c r="F509" s="294" t="s">
        <v>18</v>
      </c>
      <c r="G509" s="29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292"/>
      <c r="I509" s="296">
        <v>8</v>
      </c>
      <c r="J509" s="297" t="s">
        <v>60</v>
      </c>
      <c r="K509" s="301">
        <f>K504/$K$2/8*I509</f>
        <v>1209.6774193548388</v>
      </c>
      <c r="L509" s="302"/>
      <c r="N509" s="35"/>
      <c r="O509" s="36" t="s">
        <v>47</v>
      </c>
      <c r="P509" s="36"/>
      <c r="Q509" s="36"/>
      <c r="R509" s="36">
        <v>0</v>
      </c>
      <c r="S509" s="27"/>
      <c r="T509" s="36" t="s">
        <v>47</v>
      </c>
      <c r="U509" s="64" t="str">
        <f>IF($J$1="May","",Y508)</f>
        <v/>
      </c>
      <c r="V509" s="38"/>
      <c r="W509" s="64" t="str">
        <f t="shared" si="120"/>
        <v/>
      </c>
      <c r="X509" s="38"/>
      <c r="Y509" s="64" t="str">
        <f t="shared" si="121"/>
        <v/>
      </c>
      <c r="Z509" s="40"/>
    </row>
    <row r="510" spans="1:27" s="25" customFormat="1" ht="18" customHeight="1" x14ac:dyDescent="0.2">
      <c r="A510" s="279"/>
      <c r="B510" s="294" t="s">
        <v>7</v>
      </c>
      <c r="C510" s="30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277"/>
      <c r="E510" s="277"/>
      <c r="F510" s="294" t="s">
        <v>63</v>
      </c>
      <c r="G510" s="295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292"/>
      <c r="I510" s="388" t="s">
        <v>67</v>
      </c>
      <c r="J510" s="389"/>
      <c r="K510" s="301">
        <f>K508+K509</f>
        <v>38709.677419354841</v>
      </c>
      <c r="L510" s="302"/>
      <c r="N510" s="35"/>
      <c r="O510" s="36" t="s">
        <v>48</v>
      </c>
      <c r="P510" s="36"/>
      <c r="Q510" s="36"/>
      <c r="R510" s="36">
        <v>0</v>
      </c>
      <c r="S510" s="27"/>
      <c r="T510" s="36" t="s">
        <v>48</v>
      </c>
      <c r="U510" s="64" t="str">
        <f>IF($J$1="June","",Y509)</f>
        <v/>
      </c>
      <c r="V510" s="38"/>
      <c r="W510" s="64" t="str">
        <f t="shared" si="120"/>
        <v/>
      </c>
      <c r="X510" s="38"/>
      <c r="Y510" s="64" t="str">
        <f t="shared" si="121"/>
        <v/>
      </c>
      <c r="Z510" s="40"/>
    </row>
    <row r="511" spans="1:27" s="25" customFormat="1" ht="18" customHeight="1" x14ac:dyDescent="0.2">
      <c r="A511" s="279"/>
      <c r="B511" s="294" t="s">
        <v>6</v>
      </c>
      <c r="C511" s="30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277"/>
      <c r="E511" s="277"/>
      <c r="F511" s="294" t="s">
        <v>19</v>
      </c>
      <c r="G511" s="29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292"/>
      <c r="I511" s="388" t="s">
        <v>68</v>
      </c>
      <c r="J511" s="389"/>
      <c r="K511" s="295">
        <f>G511</f>
        <v>0</v>
      </c>
      <c r="L511" s="303"/>
      <c r="N511" s="35"/>
      <c r="O511" s="36" t="s">
        <v>49</v>
      </c>
      <c r="P511" s="36"/>
      <c r="Q511" s="36"/>
      <c r="R511" s="36">
        <v>0</v>
      </c>
      <c r="S511" s="27"/>
      <c r="T511" s="36" t="s">
        <v>49</v>
      </c>
      <c r="U511" s="64" t="str">
        <f>IF($J$1="July","",Y510)</f>
        <v/>
      </c>
      <c r="V511" s="38"/>
      <c r="W511" s="64" t="str">
        <f t="shared" si="120"/>
        <v/>
      </c>
      <c r="X511" s="38"/>
      <c r="Y511" s="64" t="str">
        <f t="shared" si="121"/>
        <v/>
      </c>
      <c r="Z511" s="40"/>
    </row>
    <row r="512" spans="1:27" s="25" customFormat="1" ht="18" customHeight="1" x14ac:dyDescent="0.2">
      <c r="A512" s="279"/>
      <c r="B512" s="309" t="s">
        <v>66</v>
      </c>
      <c r="C512" s="30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277"/>
      <c r="E512" s="277"/>
      <c r="F512" s="309" t="s">
        <v>201</v>
      </c>
      <c r="G512" s="295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277"/>
      <c r="I512" s="393" t="s">
        <v>61</v>
      </c>
      <c r="J512" s="395"/>
      <c r="K512" s="234">
        <f>K510-K511</f>
        <v>38709.677419354841</v>
      </c>
      <c r="L512" s="304"/>
      <c r="N512" s="35"/>
      <c r="O512" s="36" t="s">
        <v>54</v>
      </c>
      <c r="P512" s="36"/>
      <c r="Q512" s="36"/>
      <c r="R512" s="36">
        <v>0</v>
      </c>
      <c r="S512" s="27"/>
      <c r="T512" s="36" t="s">
        <v>54</v>
      </c>
      <c r="U512" s="64" t="str">
        <f>IF($J$1="September",Y511,"")</f>
        <v/>
      </c>
      <c r="V512" s="38"/>
      <c r="W512" s="64" t="str">
        <f t="shared" si="120"/>
        <v/>
      </c>
      <c r="X512" s="38"/>
      <c r="Y512" s="64" t="str">
        <f t="shared" si="121"/>
        <v/>
      </c>
      <c r="Z512" s="40"/>
    </row>
    <row r="513" spans="1:26" s="25" customFormat="1" ht="18" customHeight="1" x14ac:dyDescent="0.2">
      <c r="A513" s="279"/>
      <c r="B513" s="277"/>
      <c r="C513" s="277"/>
      <c r="D513" s="277"/>
      <c r="E513" s="277"/>
      <c r="F513" s="277"/>
      <c r="G513" s="277"/>
      <c r="H513" s="277"/>
      <c r="I513" s="277"/>
      <c r="J513" s="277"/>
      <c r="K513" s="277"/>
      <c r="L513" s="291"/>
      <c r="N513" s="35"/>
      <c r="O513" s="36" t="s">
        <v>50</v>
      </c>
      <c r="P513" s="36"/>
      <c r="Q513" s="36"/>
      <c r="R513" s="36">
        <v>0</v>
      </c>
      <c r="S513" s="27"/>
      <c r="T513" s="36" t="s">
        <v>50</v>
      </c>
      <c r="U513" s="64" t="str">
        <f>IF($J$1="October",Y512,"")</f>
        <v/>
      </c>
      <c r="V513" s="38"/>
      <c r="W513" s="64" t="str">
        <f t="shared" si="120"/>
        <v/>
      </c>
      <c r="X513" s="38"/>
      <c r="Y513" s="64" t="str">
        <f t="shared" si="121"/>
        <v/>
      </c>
      <c r="Z513" s="40"/>
    </row>
    <row r="514" spans="1:26" s="25" customFormat="1" ht="18" customHeight="1" x14ac:dyDescent="0.3">
      <c r="A514" s="279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91"/>
      <c r="N514" s="35"/>
      <c r="O514" s="36" t="s">
        <v>55</v>
      </c>
      <c r="P514" s="36"/>
      <c r="Q514" s="36"/>
      <c r="R514" s="36">
        <v>0</v>
      </c>
      <c r="S514" s="27"/>
      <c r="T514" s="36" t="s">
        <v>55</v>
      </c>
      <c r="U514" s="64" t="str">
        <f>IF($J$1="October","",Y513)</f>
        <v/>
      </c>
      <c r="V514" s="38"/>
      <c r="W514" s="64" t="str">
        <f t="shared" si="120"/>
        <v/>
      </c>
      <c r="X514" s="38"/>
      <c r="Y514" s="64" t="str">
        <f t="shared" si="121"/>
        <v/>
      </c>
      <c r="Z514" s="40"/>
    </row>
    <row r="515" spans="1:26" s="25" customFormat="1" ht="18" customHeight="1" thickBot="1" x14ac:dyDescent="0.35">
      <c r="A515" s="305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7"/>
      <c r="N515" s="35"/>
      <c r="O515" s="36" t="s">
        <v>56</v>
      </c>
      <c r="P515" s="36"/>
      <c r="Q515" s="36"/>
      <c r="R515" s="36">
        <v>0</v>
      </c>
      <c r="S515" s="27"/>
      <c r="T515" s="36" t="s">
        <v>56</v>
      </c>
      <c r="U515" s="64" t="str">
        <f>IF($J$1="November","",Y514)</f>
        <v/>
      </c>
      <c r="V515" s="38"/>
      <c r="W515" s="64" t="str">
        <f t="shared" si="120"/>
        <v/>
      </c>
      <c r="X515" s="38"/>
      <c r="Y515" s="64" t="str">
        <f t="shared" si="121"/>
        <v/>
      </c>
      <c r="Z515" s="40"/>
    </row>
    <row r="516" spans="1:26" s="57" customFormat="1" ht="18" customHeight="1" thickBot="1" x14ac:dyDescent="0.25">
      <c r="A516" s="308"/>
      <c r="B516" s="308"/>
      <c r="C516" s="308"/>
      <c r="D516" s="308"/>
      <c r="E516" s="308"/>
      <c r="F516" s="308"/>
      <c r="G516" s="308"/>
      <c r="H516" s="308"/>
      <c r="I516" s="308"/>
      <c r="J516" s="308"/>
      <c r="K516" s="308"/>
      <c r="L516" s="30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s="25" customFormat="1" ht="18" customHeight="1" thickBot="1" x14ac:dyDescent="0.25">
      <c r="A517" s="390" t="s">
        <v>38</v>
      </c>
      <c r="B517" s="391"/>
      <c r="C517" s="391"/>
      <c r="D517" s="391"/>
      <c r="E517" s="391"/>
      <c r="F517" s="391"/>
      <c r="G517" s="391"/>
      <c r="H517" s="391"/>
      <c r="I517" s="391"/>
      <c r="J517" s="391"/>
      <c r="K517" s="391"/>
      <c r="L517" s="392"/>
      <c r="M517" s="24"/>
      <c r="N517" s="28"/>
      <c r="O517" s="385" t="s">
        <v>40</v>
      </c>
      <c r="P517" s="386"/>
      <c r="Q517" s="386"/>
      <c r="R517" s="387"/>
      <c r="S517" s="29"/>
      <c r="T517" s="385" t="s">
        <v>41</v>
      </c>
      <c r="U517" s="386"/>
      <c r="V517" s="386"/>
      <c r="W517" s="386"/>
      <c r="X517" s="386"/>
      <c r="Y517" s="387"/>
      <c r="Z517" s="30"/>
    </row>
    <row r="518" spans="1:26" s="25" customFormat="1" ht="18" customHeight="1" x14ac:dyDescent="0.2">
      <c r="A518" s="279"/>
      <c r="B518" s="277"/>
      <c r="C518" s="396" t="s">
        <v>212</v>
      </c>
      <c r="D518" s="396"/>
      <c r="E518" s="396"/>
      <c r="F518" s="396"/>
      <c r="G518" s="280" t="str">
        <f>$J$1</f>
        <v>January</v>
      </c>
      <c r="H518" s="399">
        <f>$K$1</f>
        <v>2024</v>
      </c>
      <c r="I518" s="399"/>
      <c r="J518" s="277"/>
      <c r="K518" s="281"/>
      <c r="L518" s="282"/>
      <c r="M518" s="26"/>
      <c r="N518" s="31"/>
      <c r="O518" s="32" t="s">
        <v>51</v>
      </c>
      <c r="P518" s="32" t="s">
        <v>7</v>
      </c>
      <c r="Q518" s="32" t="s">
        <v>6</v>
      </c>
      <c r="R518" s="32" t="s">
        <v>52</v>
      </c>
      <c r="S518" s="33"/>
      <c r="T518" s="32" t="s">
        <v>51</v>
      </c>
      <c r="U518" s="32" t="s">
        <v>53</v>
      </c>
      <c r="V518" s="32" t="s">
        <v>18</v>
      </c>
      <c r="W518" s="32" t="s">
        <v>17</v>
      </c>
      <c r="X518" s="32" t="s">
        <v>19</v>
      </c>
      <c r="Y518" s="32" t="s">
        <v>57</v>
      </c>
      <c r="Z518" s="34"/>
    </row>
    <row r="519" spans="1:26" s="25" customFormat="1" ht="18" customHeight="1" x14ac:dyDescent="0.2">
      <c r="A519" s="279"/>
      <c r="B519" s="277"/>
      <c r="C519" s="277"/>
      <c r="D519" s="283"/>
      <c r="E519" s="283"/>
      <c r="F519" s="283"/>
      <c r="G519" s="283"/>
      <c r="H519" s="283"/>
      <c r="I519" s="277"/>
      <c r="J519" s="284" t="s">
        <v>1</v>
      </c>
      <c r="K519" s="285">
        <f>24500+2000+3000</f>
        <v>29500</v>
      </c>
      <c r="L519" s="286"/>
      <c r="N519" s="35"/>
      <c r="O519" s="36" t="s">
        <v>43</v>
      </c>
      <c r="P519" s="36"/>
      <c r="Q519" s="36"/>
      <c r="R519" s="36"/>
      <c r="S519" s="37"/>
      <c r="T519" s="36" t="s">
        <v>43</v>
      </c>
      <c r="U519" s="38"/>
      <c r="V519" s="38"/>
      <c r="W519" s="38">
        <f>V519+U519</f>
        <v>0</v>
      </c>
      <c r="X519" s="38"/>
      <c r="Y519" s="38">
        <f>W519-X519</f>
        <v>0</v>
      </c>
      <c r="Z519" s="34"/>
    </row>
    <row r="520" spans="1:26" s="25" customFormat="1" ht="18" customHeight="1" x14ac:dyDescent="0.2">
      <c r="A520" s="279"/>
      <c r="B520" s="277" t="s">
        <v>0</v>
      </c>
      <c r="C520" s="276" t="s">
        <v>125</v>
      </c>
      <c r="D520" s="277"/>
      <c r="E520" s="277"/>
      <c r="F520" s="277"/>
      <c r="G520" s="277"/>
      <c r="H520" s="287"/>
      <c r="I520" s="283"/>
      <c r="J520" s="277"/>
      <c r="K520" s="277"/>
      <c r="L520" s="288"/>
      <c r="M520" s="24"/>
      <c r="N520" s="39"/>
      <c r="O520" s="36" t="s">
        <v>69</v>
      </c>
      <c r="P520" s="36"/>
      <c r="Q520" s="36"/>
      <c r="R520" s="36"/>
      <c r="S520" s="27"/>
      <c r="T520" s="36" t="s">
        <v>69</v>
      </c>
      <c r="U520" s="64">
        <f>Y519</f>
        <v>0</v>
      </c>
      <c r="V520" s="38"/>
      <c r="W520" s="64">
        <f>IF(U520="","",U520+V520)</f>
        <v>0</v>
      </c>
      <c r="X520" s="38"/>
      <c r="Y520" s="64">
        <f>IF(W520="","",W520-X520)</f>
        <v>0</v>
      </c>
      <c r="Z520" s="40"/>
    </row>
    <row r="521" spans="1:26" s="25" customFormat="1" ht="18" customHeight="1" x14ac:dyDescent="0.2">
      <c r="A521" s="279"/>
      <c r="B521" s="289" t="s">
        <v>39</v>
      </c>
      <c r="C521" s="290"/>
      <c r="D521" s="277"/>
      <c r="E521" s="277"/>
      <c r="F521" s="393" t="s">
        <v>41</v>
      </c>
      <c r="G521" s="395"/>
      <c r="H521" s="277"/>
      <c r="I521" s="393" t="s">
        <v>42</v>
      </c>
      <c r="J521" s="394"/>
      <c r="K521" s="395"/>
      <c r="L521" s="291"/>
      <c r="N521" s="35"/>
      <c r="O521" s="36" t="s">
        <v>44</v>
      </c>
      <c r="P521" s="36"/>
      <c r="Q521" s="36"/>
      <c r="R521" s="36">
        <v>0</v>
      </c>
      <c r="S521" s="27"/>
      <c r="T521" s="36" t="s">
        <v>44</v>
      </c>
      <c r="U521" s="64">
        <f>IF($J$1="February","",Y520)</f>
        <v>0</v>
      </c>
      <c r="V521" s="38"/>
      <c r="W521" s="64">
        <f t="shared" ref="W521:W530" si="122">IF(U521="","",U521+V521)</f>
        <v>0</v>
      </c>
      <c r="X521" s="38"/>
      <c r="Y521" s="64">
        <f t="shared" ref="Y521:Y530" si="123">IF(W521="","",W521-X521)</f>
        <v>0</v>
      </c>
      <c r="Z521" s="40"/>
    </row>
    <row r="522" spans="1:26" s="25" customFormat="1" ht="18" customHeight="1" x14ac:dyDescent="0.2">
      <c r="A522" s="279"/>
      <c r="B522" s="277"/>
      <c r="C522" s="277"/>
      <c r="D522" s="277"/>
      <c r="E522" s="277"/>
      <c r="F522" s="277"/>
      <c r="G522" s="277"/>
      <c r="H522" s="292"/>
      <c r="I522" s="277"/>
      <c r="J522" s="277"/>
      <c r="K522" s="277"/>
      <c r="L522" s="293"/>
      <c r="N522" s="35"/>
      <c r="O522" s="36" t="s">
        <v>45</v>
      </c>
      <c r="P522" s="36"/>
      <c r="Q522" s="36"/>
      <c r="R522" s="36">
        <v>0</v>
      </c>
      <c r="S522" s="27"/>
      <c r="T522" s="36" t="s">
        <v>45</v>
      </c>
      <c r="U522" s="64">
        <f>IF($J$1="March","",Y521)</f>
        <v>0</v>
      </c>
      <c r="V522" s="38"/>
      <c r="W522" s="64">
        <f t="shared" si="122"/>
        <v>0</v>
      </c>
      <c r="X522" s="38"/>
      <c r="Y522" s="64">
        <f t="shared" si="123"/>
        <v>0</v>
      </c>
      <c r="Z522" s="40"/>
    </row>
    <row r="523" spans="1:26" s="25" customFormat="1" ht="18" customHeight="1" x14ac:dyDescent="0.2">
      <c r="A523" s="279"/>
      <c r="B523" s="397" t="s">
        <v>40</v>
      </c>
      <c r="C523" s="398"/>
      <c r="D523" s="277"/>
      <c r="E523" s="277"/>
      <c r="F523" s="294" t="s">
        <v>62</v>
      </c>
      <c r="G523" s="29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0</v>
      </c>
      <c r="H523" s="292"/>
      <c r="I523" s="296">
        <f>IF(C527&gt;=C526,$K$2,C525+C527)</f>
        <v>31</v>
      </c>
      <c r="J523" s="297" t="s">
        <v>59</v>
      </c>
      <c r="K523" s="298">
        <f>K519/$K$2*I523</f>
        <v>29500</v>
      </c>
      <c r="L523" s="299"/>
      <c r="N523" s="35"/>
      <c r="O523" s="36" t="s">
        <v>46</v>
      </c>
      <c r="P523" s="36"/>
      <c r="Q523" s="36"/>
      <c r="R523" s="36">
        <v>0</v>
      </c>
      <c r="S523" s="27"/>
      <c r="T523" s="36" t="s">
        <v>46</v>
      </c>
      <c r="U523" s="64">
        <f t="shared" ref="U523:U529" si="124">Y522</f>
        <v>0</v>
      </c>
      <c r="V523" s="38"/>
      <c r="W523" s="64">
        <f t="shared" si="122"/>
        <v>0</v>
      </c>
      <c r="X523" s="38"/>
      <c r="Y523" s="64">
        <f t="shared" si="123"/>
        <v>0</v>
      </c>
      <c r="Z523" s="40"/>
    </row>
    <row r="524" spans="1:26" s="25" customFormat="1" ht="18" customHeight="1" x14ac:dyDescent="0.2">
      <c r="A524" s="279"/>
      <c r="B524" s="300"/>
      <c r="C524" s="300"/>
      <c r="D524" s="277"/>
      <c r="E524" s="277"/>
      <c r="F524" s="294" t="s">
        <v>18</v>
      </c>
      <c r="G524" s="29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292"/>
      <c r="I524" s="296">
        <v>36</v>
      </c>
      <c r="J524" s="297" t="s">
        <v>60</v>
      </c>
      <c r="K524" s="301">
        <f>K519/$K$2/8*I524</f>
        <v>4282.2580645161288</v>
      </c>
      <c r="L524" s="302"/>
      <c r="N524" s="35"/>
      <c r="O524" s="36" t="s">
        <v>47</v>
      </c>
      <c r="P524" s="36"/>
      <c r="Q524" s="36"/>
      <c r="R524" s="36">
        <v>0</v>
      </c>
      <c r="S524" s="27"/>
      <c r="T524" s="36" t="s">
        <v>47</v>
      </c>
      <c r="U524" s="64">
        <f t="shared" si="124"/>
        <v>0</v>
      </c>
      <c r="V524" s="38"/>
      <c r="W524" s="64">
        <f t="shared" si="122"/>
        <v>0</v>
      </c>
      <c r="X524" s="38"/>
      <c r="Y524" s="64">
        <f t="shared" si="123"/>
        <v>0</v>
      </c>
      <c r="Z524" s="40"/>
    </row>
    <row r="525" spans="1:26" s="25" customFormat="1" ht="18" customHeight="1" x14ac:dyDescent="0.2">
      <c r="A525" s="279"/>
      <c r="B525" s="294" t="s">
        <v>7</v>
      </c>
      <c r="C525" s="30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0</v>
      </c>
      <c r="D525" s="277"/>
      <c r="E525" s="277"/>
      <c r="F525" s="294" t="s">
        <v>63</v>
      </c>
      <c r="G525" s="29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0</v>
      </c>
      <c r="H525" s="292"/>
      <c r="I525" s="388" t="s">
        <v>67</v>
      </c>
      <c r="J525" s="389"/>
      <c r="K525" s="301">
        <f>K523+K524</f>
        <v>33782.258064516129</v>
      </c>
      <c r="L525" s="302"/>
      <c r="N525" s="35"/>
      <c r="O525" s="36" t="s">
        <v>48</v>
      </c>
      <c r="P525" s="36"/>
      <c r="Q525" s="36"/>
      <c r="R525" s="36">
        <v>0</v>
      </c>
      <c r="S525" s="27"/>
      <c r="T525" s="36" t="s">
        <v>48</v>
      </c>
      <c r="U525" s="64">
        <f t="shared" si="124"/>
        <v>0</v>
      </c>
      <c r="V525" s="38"/>
      <c r="W525" s="64">
        <f t="shared" si="122"/>
        <v>0</v>
      </c>
      <c r="X525" s="38"/>
      <c r="Y525" s="64">
        <f t="shared" si="123"/>
        <v>0</v>
      </c>
      <c r="Z525" s="40"/>
    </row>
    <row r="526" spans="1:26" s="25" customFormat="1" ht="18" customHeight="1" x14ac:dyDescent="0.2">
      <c r="A526" s="279"/>
      <c r="B526" s="294" t="s">
        <v>6</v>
      </c>
      <c r="C526" s="30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277"/>
      <c r="E526" s="277"/>
      <c r="F526" s="294" t="s">
        <v>19</v>
      </c>
      <c r="G526" s="29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0</v>
      </c>
      <c r="H526" s="292"/>
      <c r="I526" s="388" t="s">
        <v>68</v>
      </c>
      <c r="J526" s="389"/>
      <c r="K526" s="295">
        <f>G526</f>
        <v>0</v>
      </c>
      <c r="L526" s="303"/>
      <c r="N526" s="35"/>
      <c r="O526" s="36" t="s">
        <v>49</v>
      </c>
      <c r="P526" s="36"/>
      <c r="Q526" s="36"/>
      <c r="R526" s="36">
        <v>0</v>
      </c>
      <c r="S526" s="27"/>
      <c r="T526" s="36" t="s">
        <v>49</v>
      </c>
      <c r="U526" s="64">
        <f t="shared" si="124"/>
        <v>0</v>
      </c>
      <c r="V526" s="38"/>
      <c r="W526" s="64">
        <f t="shared" si="122"/>
        <v>0</v>
      </c>
      <c r="X526" s="38"/>
      <c r="Y526" s="64">
        <f t="shared" si="123"/>
        <v>0</v>
      </c>
      <c r="Z526" s="40"/>
    </row>
    <row r="527" spans="1:26" s="25" customFormat="1" ht="18" customHeight="1" x14ac:dyDescent="0.2">
      <c r="A527" s="279"/>
      <c r="B527" s="309" t="s">
        <v>66</v>
      </c>
      <c r="C527" s="300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277"/>
      <c r="E527" s="277"/>
      <c r="F527" s="309" t="s">
        <v>201</v>
      </c>
      <c r="G527" s="295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0</v>
      </c>
      <c r="H527" s="277"/>
      <c r="I527" s="393" t="s">
        <v>61</v>
      </c>
      <c r="J527" s="395"/>
      <c r="K527" s="234">
        <f>K525-K526</f>
        <v>33782.258064516129</v>
      </c>
      <c r="L527" s="304"/>
      <c r="N527" s="35"/>
      <c r="O527" s="36" t="s">
        <v>54</v>
      </c>
      <c r="P527" s="36"/>
      <c r="Q527" s="36"/>
      <c r="R527" s="36">
        <v>0</v>
      </c>
      <c r="S527" s="27"/>
      <c r="T527" s="36" t="s">
        <v>54</v>
      </c>
      <c r="U527" s="64">
        <f t="shared" si="124"/>
        <v>0</v>
      </c>
      <c r="V527" s="38"/>
      <c r="W527" s="64">
        <f t="shared" si="122"/>
        <v>0</v>
      </c>
      <c r="X527" s="38"/>
      <c r="Y527" s="64">
        <f t="shared" si="123"/>
        <v>0</v>
      </c>
      <c r="Z527" s="40"/>
    </row>
    <row r="528" spans="1:26" s="25" customFormat="1" ht="18" customHeight="1" x14ac:dyDescent="0.2">
      <c r="A528" s="279"/>
      <c r="B528" s="277"/>
      <c r="C528" s="277"/>
      <c r="D528" s="277"/>
      <c r="E528" s="277"/>
      <c r="F528" s="277"/>
      <c r="G528" s="277"/>
      <c r="H528" s="277"/>
      <c r="I528" s="277"/>
      <c r="J528" s="277"/>
      <c r="K528" s="277"/>
      <c r="L528" s="291"/>
      <c r="N528" s="35"/>
      <c r="O528" s="36" t="s">
        <v>50</v>
      </c>
      <c r="P528" s="36"/>
      <c r="Q528" s="36"/>
      <c r="R528" s="36">
        <v>0</v>
      </c>
      <c r="S528" s="27"/>
      <c r="T528" s="36" t="s">
        <v>50</v>
      </c>
      <c r="U528" s="64">
        <f t="shared" si="124"/>
        <v>0</v>
      </c>
      <c r="V528" s="38"/>
      <c r="W528" s="64">
        <f t="shared" si="122"/>
        <v>0</v>
      </c>
      <c r="X528" s="38"/>
      <c r="Y528" s="64">
        <f t="shared" si="123"/>
        <v>0</v>
      </c>
      <c r="Z528" s="40"/>
    </row>
    <row r="529" spans="1:27" s="25" customFormat="1" ht="18" customHeight="1" x14ac:dyDescent="0.3">
      <c r="A529" s="279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91"/>
      <c r="N529" s="35"/>
      <c r="O529" s="36" t="s">
        <v>55</v>
      </c>
      <c r="P529" s="36"/>
      <c r="Q529" s="36"/>
      <c r="R529" s="36">
        <v>0</v>
      </c>
      <c r="S529" s="27"/>
      <c r="T529" s="36" t="s">
        <v>55</v>
      </c>
      <c r="U529" s="64">
        <f t="shared" si="124"/>
        <v>0</v>
      </c>
      <c r="V529" s="38"/>
      <c r="W529" s="64">
        <f t="shared" si="122"/>
        <v>0</v>
      </c>
      <c r="X529" s="38"/>
      <c r="Y529" s="64">
        <f t="shared" si="123"/>
        <v>0</v>
      </c>
      <c r="Z529" s="40"/>
    </row>
    <row r="530" spans="1:27" s="25" customFormat="1" ht="18" customHeight="1" thickBot="1" x14ac:dyDescent="0.35">
      <c r="A530" s="305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7"/>
      <c r="N530" s="35"/>
      <c r="O530" s="36" t="s">
        <v>56</v>
      </c>
      <c r="P530" s="36"/>
      <c r="Q530" s="36"/>
      <c r="R530" s="36">
        <v>0</v>
      </c>
      <c r="S530" s="27"/>
      <c r="T530" s="36" t="s">
        <v>56</v>
      </c>
      <c r="U530" s="64">
        <f>Y529</f>
        <v>0</v>
      </c>
      <c r="V530" s="38"/>
      <c r="W530" s="64">
        <f t="shared" si="122"/>
        <v>0</v>
      </c>
      <c r="X530" s="38"/>
      <c r="Y530" s="64">
        <f t="shared" si="123"/>
        <v>0</v>
      </c>
      <c r="Z530" s="40"/>
    </row>
    <row r="531" spans="1:27" s="57" customFormat="1" ht="18" customHeight="1" thickBot="1" x14ac:dyDescent="0.25">
      <c r="A531" s="308"/>
      <c r="B531" s="308"/>
      <c r="C531" s="308"/>
      <c r="D531" s="308"/>
      <c r="E531" s="308"/>
      <c r="F531" s="308"/>
      <c r="G531" s="308"/>
      <c r="H531" s="308"/>
      <c r="I531" s="308"/>
      <c r="J531" s="308"/>
      <c r="K531" s="308"/>
      <c r="L531" s="30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7" s="25" customFormat="1" ht="18" customHeight="1" thickBot="1" x14ac:dyDescent="0.25">
      <c r="A532" s="390" t="s">
        <v>38</v>
      </c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2"/>
      <c r="M532" s="24"/>
      <c r="N532" s="28"/>
      <c r="O532" s="385" t="s">
        <v>40</v>
      </c>
      <c r="P532" s="386"/>
      <c r="Q532" s="386"/>
      <c r="R532" s="387"/>
      <c r="S532" s="29"/>
      <c r="T532" s="385" t="s">
        <v>41</v>
      </c>
      <c r="U532" s="386"/>
      <c r="V532" s="386"/>
      <c r="W532" s="386"/>
      <c r="X532" s="386"/>
      <c r="Y532" s="387"/>
      <c r="Z532" s="30"/>
      <c r="AA532" s="24"/>
    </row>
    <row r="533" spans="1:27" s="25" customFormat="1" ht="18" customHeight="1" x14ac:dyDescent="0.2">
      <c r="A533" s="279"/>
      <c r="B533" s="277"/>
      <c r="C533" s="396" t="s">
        <v>212</v>
      </c>
      <c r="D533" s="396"/>
      <c r="E533" s="396"/>
      <c r="F533" s="396"/>
      <c r="G533" s="280" t="str">
        <f>$J$1</f>
        <v>January</v>
      </c>
      <c r="H533" s="399">
        <f>$K$1</f>
        <v>2024</v>
      </c>
      <c r="I533" s="399"/>
      <c r="J533" s="277"/>
      <c r="K533" s="281"/>
      <c r="L533" s="282"/>
      <c r="M533" s="26"/>
      <c r="N533" s="31"/>
      <c r="O533" s="32" t="s">
        <v>51</v>
      </c>
      <c r="P533" s="32" t="s">
        <v>7</v>
      </c>
      <c r="Q533" s="32" t="s">
        <v>6</v>
      </c>
      <c r="R533" s="32" t="s">
        <v>52</v>
      </c>
      <c r="S533" s="33"/>
      <c r="T533" s="32" t="s">
        <v>51</v>
      </c>
      <c r="U533" s="32" t="s">
        <v>53</v>
      </c>
      <c r="V533" s="32" t="s">
        <v>18</v>
      </c>
      <c r="W533" s="32" t="s">
        <v>17</v>
      </c>
      <c r="X533" s="32" t="s">
        <v>19</v>
      </c>
      <c r="Y533" s="32" t="s">
        <v>57</v>
      </c>
      <c r="Z533" s="34"/>
      <c r="AA533" s="26"/>
    </row>
    <row r="534" spans="1:27" s="25" customFormat="1" ht="18" customHeight="1" x14ac:dyDescent="0.2">
      <c r="A534" s="279"/>
      <c r="B534" s="277"/>
      <c r="C534" s="277"/>
      <c r="D534" s="283"/>
      <c r="E534" s="283"/>
      <c r="F534" s="283"/>
      <c r="G534" s="283"/>
      <c r="H534" s="283"/>
      <c r="I534" s="277"/>
      <c r="J534" s="284" t="s">
        <v>1</v>
      </c>
      <c r="K534" s="285">
        <f>18000+3000+1000+3000</f>
        <v>25000</v>
      </c>
      <c r="L534" s="286"/>
      <c r="N534" s="35"/>
      <c r="O534" s="36" t="s">
        <v>43</v>
      </c>
      <c r="P534" s="36"/>
      <c r="Q534" s="36"/>
      <c r="R534" s="36">
        <v>0</v>
      </c>
      <c r="S534" s="37"/>
      <c r="T534" s="36" t="s">
        <v>43</v>
      </c>
      <c r="U534" s="38">
        <v>27000</v>
      </c>
      <c r="V534" s="38"/>
      <c r="W534" s="38">
        <f>V534+U534</f>
        <v>27000</v>
      </c>
      <c r="X534" s="38"/>
      <c r="Y534" s="38">
        <f>W534-X534</f>
        <v>27000</v>
      </c>
      <c r="Z534" s="34"/>
    </row>
    <row r="535" spans="1:27" s="25" customFormat="1" ht="18" customHeight="1" x14ac:dyDescent="0.2">
      <c r="A535" s="279"/>
      <c r="B535" s="277" t="s">
        <v>0</v>
      </c>
      <c r="C535" s="276" t="s">
        <v>168</v>
      </c>
      <c r="D535" s="277"/>
      <c r="E535" s="277"/>
      <c r="F535" s="277"/>
      <c r="G535" s="277"/>
      <c r="H535" s="287"/>
      <c r="I535" s="283"/>
      <c r="J535" s="277"/>
      <c r="K535" s="277"/>
      <c r="L535" s="288"/>
      <c r="M535" s="24"/>
      <c r="N535" s="39"/>
      <c r="O535" s="36" t="s">
        <v>69</v>
      </c>
      <c r="P535" s="36"/>
      <c r="Q535" s="36"/>
      <c r="R535" s="36">
        <v>0</v>
      </c>
      <c r="S535" s="27"/>
      <c r="T535" s="36" t="s">
        <v>69</v>
      </c>
      <c r="U535" s="64"/>
      <c r="V535" s="38"/>
      <c r="W535" s="64" t="str">
        <f>IF(U535="","",U535+V535)</f>
        <v/>
      </c>
      <c r="X535" s="38"/>
      <c r="Y535" s="64" t="str">
        <f>IF(W535="","",W535-X535)</f>
        <v/>
      </c>
      <c r="Z535" s="40"/>
      <c r="AA535" s="24"/>
    </row>
    <row r="536" spans="1:27" s="25" customFormat="1" ht="18" customHeight="1" x14ac:dyDescent="0.2">
      <c r="A536" s="279"/>
      <c r="B536" s="289" t="s">
        <v>39</v>
      </c>
      <c r="C536" s="290"/>
      <c r="D536" s="277"/>
      <c r="E536" s="277"/>
      <c r="F536" s="393" t="s">
        <v>41</v>
      </c>
      <c r="G536" s="395"/>
      <c r="H536" s="277"/>
      <c r="I536" s="393" t="s">
        <v>42</v>
      </c>
      <c r="J536" s="394"/>
      <c r="K536" s="395"/>
      <c r="L536" s="291"/>
      <c r="N536" s="35"/>
      <c r="O536" s="36" t="s">
        <v>44</v>
      </c>
      <c r="P536" s="36"/>
      <c r="Q536" s="36"/>
      <c r="R536" s="36" t="str">
        <f t="shared" ref="R536" si="125">IF(Q536="","",R535-Q536)</f>
        <v/>
      </c>
      <c r="S536" s="27"/>
      <c r="T536" s="36" t="s">
        <v>44</v>
      </c>
      <c r="U536" s="64" t="str">
        <f>IF($J$1="February","",Y535)</f>
        <v/>
      </c>
      <c r="V536" s="38"/>
      <c r="W536" s="64" t="str">
        <f t="shared" ref="W536:W545" si="126">IF(U536="","",U536+V536)</f>
        <v/>
      </c>
      <c r="X536" s="38"/>
      <c r="Y536" s="64" t="str">
        <f t="shared" ref="Y536:Y545" si="127">IF(W536="","",W536-X536)</f>
        <v/>
      </c>
      <c r="Z536" s="40"/>
    </row>
    <row r="537" spans="1:27" s="25" customFormat="1" ht="18" customHeight="1" x14ac:dyDescent="0.2">
      <c r="A537" s="279"/>
      <c r="B537" s="277"/>
      <c r="C537" s="277"/>
      <c r="D537" s="277"/>
      <c r="E537" s="277"/>
      <c r="F537" s="277"/>
      <c r="G537" s="277"/>
      <c r="H537" s="292"/>
      <c r="I537" s="277"/>
      <c r="J537" s="277"/>
      <c r="K537" s="277"/>
      <c r="L537" s="293"/>
      <c r="N537" s="35"/>
      <c r="O537" s="36" t="s">
        <v>45</v>
      </c>
      <c r="P537" s="36"/>
      <c r="Q537" s="36"/>
      <c r="R537" s="36">
        <v>0</v>
      </c>
      <c r="S537" s="27"/>
      <c r="T537" s="36" t="s">
        <v>45</v>
      </c>
      <c r="U537" s="64" t="str">
        <f>IF($J$1="March","",Y536)</f>
        <v/>
      </c>
      <c r="V537" s="38"/>
      <c r="W537" s="64" t="str">
        <f t="shared" si="126"/>
        <v/>
      </c>
      <c r="X537" s="38"/>
      <c r="Y537" s="64" t="str">
        <f t="shared" si="127"/>
        <v/>
      </c>
      <c r="Z537" s="40"/>
    </row>
    <row r="538" spans="1:27" s="25" customFormat="1" ht="18" customHeight="1" x14ac:dyDescent="0.2">
      <c r="A538" s="279"/>
      <c r="B538" s="397" t="s">
        <v>40</v>
      </c>
      <c r="C538" s="398"/>
      <c r="D538" s="277"/>
      <c r="E538" s="277"/>
      <c r="F538" s="294" t="s">
        <v>62</v>
      </c>
      <c r="G538" s="29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27000</v>
      </c>
      <c r="H538" s="292"/>
      <c r="I538" s="296">
        <f>IF(C542&gt;=C541,$K$2,C540+C542)</f>
        <v>31</v>
      </c>
      <c r="J538" s="297" t="s">
        <v>59</v>
      </c>
      <c r="K538" s="298">
        <f>K534/$K$2*I538</f>
        <v>25000</v>
      </c>
      <c r="L538" s="299"/>
      <c r="N538" s="35"/>
      <c r="O538" s="36" t="s">
        <v>46</v>
      </c>
      <c r="P538" s="36"/>
      <c r="Q538" s="36"/>
      <c r="R538" s="36">
        <v>0</v>
      </c>
      <c r="S538" s="27"/>
      <c r="T538" s="36" t="s">
        <v>46</v>
      </c>
      <c r="U538" s="64" t="str">
        <f t="shared" ref="U538:U544" si="128">Y537</f>
        <v/>
      </c>
      <c r="V538" s="38"/>
      <c r="W538" s="64" t="str">
        <f t="shared" si="126"/>
        <v/>
      </c>
      <c r="X538" s="38"/>
      <c r="Y538" s="64" t="str">
        <f t="shared" si="127"/>
        <v/>
      </c>
      <c r="Z538" s="40"/>
    </row>
    <row r="539" spans="1:27" s="25" customFormat="1" ht="18" customHeight="1" x14ac:dyDescent="0.2">
      <c r="A539" s="279"/>
      <c r="B539" s="300"/>
      <c r="C539" s="300"/>
      <c r="D539" s="277"/>
      <c r="E539" s="277"/>
      <c r="F539" s="294" t="s">
        <v>18</v>
      </c>
      <c r="G539" s="29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292"/>
      <c r="I539" s="296">
        <v>56</v>
      </c>
      <c r="J539" s="297" t="s">
        <v>60</v>
      </c>
      <c r="K539" s="301">
        <f>K534/$K$2/8*I539</f>
        <v>5645.1612903225814</v>
      </c>
      <c r="L539" s="302"/>
      <c r="N539" s="35"/>
      <c r="O539" s="36" t="s">
        <v>47</v>
      </c>
      <c r="P539" s="36"/>
      <c r="Q539" s="36"/>
      <c r="R539" s="36">
        <v>0</v>
      </c>
      <c r="S539" s="27"/>
      <c r="T539" s="36" t="s">
        <v>47</v>
      </c>
      <c r="U539" s="64" t="str">
        <f t="shared" si="128"/>
        <v/>
      </c>
      <c r="V539" s="38"/>
      <c r="W539" s="64" t="str">
        <f t="shared" si="126"/>
        <v/>
      </c>
      <c r="X539" s="38"/>
      <c r="Y539" s="64" t="str">
        <f t="shared" si="127"/>
        <v/>
      </c>
      <c r="Z539" s="40"/>
    </row>
    <row r="540" spans="1:27" s="25" customFormat="1" ht="18" customHeight="1" x14ac:dyDescent="0.2">
      <c r="A540" s="279"/>
      <c r="B540" s="294" t="s">
        <v>7</v>
      </c>
      <c r="C540" s="30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0</v>
      </c>
      <c r="D540" s="277"/>
      <c r="E540" s="277"/>
      <c r="F540" s="294" t="s">
        <v>63</v>
      </c>
      <c r="G540" s="29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27000</v>
      </c>
      <c r="H540" s="292"/>
      <c r="I540" s="388" t="s">
        <v>67</v>
      </c>
      <c r="J540" s="389"/>
      <c r="K540" s="301">
        <f>K538+K539</f>
        <v>30645.161290322583</v>
      </c>
      <c r="L540" s="302"/>
      <c r="N540" s="35"/>
      <c r="O540" s="36" t="s">
        <v>48</v>
      </c>
      <c r="P540" s="36"/>
      <c r="Q540" s="36"/>
      <c r="R540" s="36">
        <v>0</v>
      </c>
      <c r="S540" s="27"/>
      <c r="T540" s="36" t="s">
        <v>48</v>
      </c>
      <c r="U540" s="64" t="str">
        <f t="shared" si="128"/>
        <v/>
      </c>
      <c r="V540" s="38"/>
      <c r="W540" s="64" t="str">
        <f t="shared" si="126"/>
        <v/>
      </c>
      <c r="X540" s="38"/>
      <c r="Y540" s="64" t="str">
        <f t="shared" si="127"/>
        <v/>
      </c>
      <c r="Z540" s="40"/>
    </row>
    <row r="541" spans="1:27" s="25" customFormat="1" ht="18" customHeight="1" x14ac:dyDescent="0.2">
      <c r="A541" s="279"/>
      <c r="B541" s="294" t="s">
        <v>6</v>
      </c>
      <c r="C541" s="30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277"/>
      <c r="E541" s="277"/>
      <c r="F541" s="294" t="s">
        <v>19</v>
      </c>
      <c r="G541" s="29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0</v>
      </c>
      <c r="H541" s="292"/>
      <c r="I541" s="388" t="s">
        <v>68</v>
      </c>
      <c r="J541" s="389"/>
      <c r="K541" s="295">
        <f>G541</f>
        <v>0</v>
      </c>
      <c r="L541" s="303"/>
      <c r="N541" s="35"/>
      <c r="O541" s="36" t="s">
        <v>49</v>
      </c>
      <c r="P541" s="36"/>
      <c r="Q541" s="36"/>
      <c r="R541" s="36">
        <v>0</v>
      </c>
      <c r="S541" s="27"/>
      <c r="T541" s="36" t="s">
        <v>49</v>
      </c>
      <c r="U541" s="64" t="str">
        <f t="shared" si="128"/>
        <v/>
      </c>
      <c r="V541" s="38"/>
      <c r="W541" s="64" t="str">
        <f t="shared" si="126"/>
        <v/>
      </c>
      <c r="X541" s="38"/>
      <c r="Y541" s="64" t="str">
        <f t="shared" si="127"/>
        <v/>
      </c>
      <c r="Z541" s="40"/>
    </row>
    <row r="542" spans="1:27" s="25" customFormat="1" ht="18" customHeight="1" x14ac:dyDescent="0.2">
      <c r="A542" s="279"/>
      <c r="B542" s="309" t="s">
        <v>66</v>
      </c>
      <c r="C542" s="300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277"/>
      <c r="E542" s="277"/>
      <c r="F542" s="309" t="s">
        <v>201</v>
      </c>
      <c r="G542" s="295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27000</v>
      </c>
      <c r="H542" s="277"/>
      <c r="I542" s="393" t="s">
        <v>61</v>
      </c>
      <c r="J542" s="395"/>
      <c r="K542" s="234">
        <f>K540-K541</f>
        <v>30645.161290322583</v>
      </c>
      <c r="L542" s="304"/>
      <c r="N542" s="35"/>
      <c r="O542" s="36" t="s">
        <v>54</v>
      </c>
      <c r="P542" s="36"/>
      <c r="Q542" s="36"/>
      <c r="R542" s="36">
        <v>0</v>
      </c>
      <c r="S542" s="27"/>
      <c r="T542" s="36" t="s">
        <v>54</v>
      </c>
      <c r="U542" s="64" t="str">
        <f t="shared" si="128"/>
        <v/>
      </c>
      <c r="V542" s="38"/>
      <c r="W542" s="64" t="str">
        <f t="shared" si="126"/>
        <v/>
      </c>
      <c r="X542" s="38"/>
      <c r="Y542" s="64" t="str">
        <f t="shared" si="127"/>
        <v/>
      </c>
      <c r="Z542" s="40"/>
    </row>
    <row r="543" spans="1:27" s="25" customFormat="1" ht="18" customHeight="1" x14ac:dyDescent="0.2">
      <c r="A543" s="279"/>
      <c r="B543" s="277"/>
      <c r="C543" s="277"/>
      <c r="D543" s="277"/>
      <c r="E543" s="277"/>
      <c r="F543" s="277"/>
      <c r="G543" s="277"/>
      <c r="H543" s="277"/>
      <c r="I543" s="277"/>
      <c r="J543" s="277"/>
      <c r="K543" s="277"/>
      <c r="L543" s="291"/>
      <c r="N543" s="35"/>
      <c r="O543" s="36" t="s">
        <v>50</v>
      </c>
      <c r="P543" s="36"/>
      <c r="Q543" s="36"/>
      <c r="R543" s="36">
        <v>0</v>
      </c>
      <c r="S543" s="27"/>
      <c r="T543" s="36" t="s">
        <v>50</v>
      </c>
      <c r="U543" s="64" t="str">
        <f t="shared" si="128"/>
        <v/>
      </c>
      <c r="V543" s="38"/>
      <c r="W543" s="64" t="str">
        <f t="shared" si="126"/>
        <v/>
      </c>
      <c r="X543" s="38"/>
      <c r="Y543" s="64" t="str">
        <f t="shared" si="127"/>
        <v/>
      </c>
      <c r="Z543" s="40"/>
    </row>
    <row r="544" spans="1:27" s="25" customFormat="1" ht="18" customHeight="1" x14ac:dyDescent="0.3">
      <c r="A544" s="279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91"/>
      <c r="N544" s="35"/>
      <c r="O544" s="36" t="s">
        <v>55</v>
      </c>
      <c r="P544" s="36"/>
      <c r="Q544" s="36"/>
      <c r="R544" s="36">
        <v>0</v>
      </c>
      <c r="S544" s="27"/>
      <c r="T544" s="36" t="s">
        <v>55</v>
      </c>
      <c r="U544" s="64" t="str">
        <f t="shared" si="128"/>
        <v/>
      </c>
      <c r="V544" s="38"/>
      <c r="W544" s="64" t="str">
        <f t="shared" si="126"/>
        <v/>
      </c>
      <c r="X544" s="38"/>
      <c r="Y544" s="64" t="str">
        <f t="shared" si="127"/>
        <v/>
      </c>
      <c r="Z544" s="40"/>
    </row>
    <row r="545" spans="1:27" s="25" customFormat="1" ht="18" customHeight="1" thickBot="1" x14ac:dyDescent="0.35">
      <c r="A545" s="305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7"/>
      <c r="N545" s="35"/>
      <c r="O545" s="36" t="s">
        <v>56</v>
      </c>
      <c r="P545" s="36"/>
      <c r="Q545" s="36"/>
      <c r="R545" s="36">
        <v>0</v>
      </c>
      <c r="S545" s="27"/>
      <c r="T545" s="36" t="s">
        <v>56</v>
      </c>
      <c r="U545" s="64" t="str">
        <f>Y544</f>
        <v/>
      </c>
      <c r="V545" s="38"/>
      <c r="W545" s="64" t="str">
        <f t="shared" si="126"/>
        <v/>
      </c>
      <c r="X545" s="38"/>
      <c r="Y545" s="64" t="str">
        <f t="shared" si="127"/>
        <v/>
      </c>
      <c r="Z545" s="40"/>
    </row>
    <row r="546" spans="1:27" s="57" customFormat="1" ht="18" customHeight="1" thickBot="1" x14ac:dyDescent="0.25">
      <c r="A546" s="308"/>
      <c r="B546" s="308"/>
      <c r="C546" s="308"/>
      <c r="D546" s="308"/>
      <c r="E546" s="308"/>
      <c r="F546" s="308"/>
      <c r="G546" s="308"/>
      <c r="H546" s="308"/>
      <c r="I546" s="308"/>
      <c r="J546" s="308"/>
      <c r="K546" s="308"/>
      <c r="L546" s="30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7" s="25" customFormat="1" ht="18" customHeight="1" thickBot="1" x14ac:dyDescent="0.25">
      <c r="A547" s="390" t="s">
        <v>38</v>
      </c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2"/>
      <c r="M547" s="24"/>
      <c r="N547" s="28"/>
      <c r="O547" s="385" t="s">
        <v>40</v>
      </c>
      <c r="P547" s="386"/>
      <c r="Q547" s="386"/>
      <c r="R547" s="387"/>
      <c r="S547" s="29"/>
      <c r="T547" s="385" t="s">
        <v>41</v>
      </c>
      <c r="U547" s="386"/>
      <c r="V547" s="386"/>
      <c r="W547" s="386"/>
      <c r="X547" s="386"/>
      <c r="Y547" s="387"/>
      <c r="Z547" s="30"/>
      <c r="AA547" s="24"/>
    </row>
    <row r="548" spans="1:27" s="25" customFormat="1" ht="18" customHeight="1" x14ac:dyDescent="0.2">
      <c r="A548" s="279"/>
      <c r="B548" s="277"/>
      <c r="C548" s="396" t="s">
        <v>212</v>
      </c>
      <c r="D548" s="396"/>
      <c r="E548" s="396"/>
      <c r="F548" s="396"/>
      <c r="G548" s="280" t="str">
        <f>$J$1</f>
        <v>January</v>
      </c>
      <c r="H548" s="399">
        <f>$K$1</f>
        <v>2024</v>
      </c>
      <c r="I548" s="399"/>
      <c r="J548" s="277"/>
      <c r="K548" s="281"/>
      <c r="L548" s="282"/>
      <c r="M548" s="26"/>
      <c r="N548" s="31"/>
      <c r="O548" s="32" t="s">
        <v>51</v>
      </c>
      <c r="P548" s="32" t="s">
        <v>7</v>
      </c>
      <c r="Q548" s="32" t="s">
        <v>6</v>
      </c>
      <c r="R548" s="32" t="s">
        <v>52</v>
      </c>
      <c r="S548" s="33"/>
      <c r="T548" s="32" t="s">
        <v>51</v>
      </c>
      <c r="U548" s="32" t="s">
        <v>53</v>
      </c>
      <c r="V548" s="32" t="s">
        <v>18</v>
      </c>
      <c r="W548" s="32" t="s">
        <v>17</v>
      </c>
      <c r="X548" s="32" t="s">
        <v>19</v>
      </c>
      <c r="Y548" s="32" t="s">
        <v>57</v>
      </c>
      <c r="Z548" s="34"/>
      <c r="AA548" s="26"/>
    </row>
    <row r="549" spans="1:27" s="25" customFormat="1" ht="18" customHeight="1" x14ac:dyDescent="0.2">
      <c r="A549" s="279"/>
      <c r="B549" s="277"/>
      <c r="C549" s="277"/>
      <c r="D549" s="283"/>
      <c r="E549" s="283"/>
      <c r="F549" s="283"/>
      <c r="G549" s="283"/>
      <c r="H549" s="283"/>
      <c r="I549" s="277"/>
      <c r="J549" s="284" t="s">
        <v>1</v>
      </c>
      <c r="K549" s="285">
        <v>45000</v>
      </c>
      <c r="L549" s="286"/>
      <c r="N549" s="35"/>
      <c r="O549" s="36" t="s">
        <v>43</v>
      </c>
      <c r="P549" s="36"/>
      <c r="Q549" s="36"/>
      <c r="R549" s="36"/>
      <c r="S549" s="37"/>
      <c r="T549" s="36" t="s">
        <v>43</v>
      </c>
      <c r="U549" s="38"/>
      <c r="V549" s="38"/>
      <c r="W549" s="38">
        <f>V549+U549</f>
        <v>0</v>
      </c>
      <c r="X549" s="38"/>
      <c r="Y549" s="38">
        <f>W549-X549</f>
        <v>0</v>
      </c>
      <c r="Z549" s="34"/>
    </row>
    <row r="550" spans="1:27" s="25" customFormat="1" ht="18" customHeight="1" x14ac:dyDescent="0.2">
      <c r="A550" s="279"/>
      <c r="B550" s="277" t="s">
        <v>0</v>
      </c>
      <c r="C550" s="276" t="s">
        <v>205</v>
      </c>
      <c r="D550" s="277"/>
      <c r="E550" s="277"/>
      <c r="F550" s="277"/>
      <c r="G550" s="277"/>
      <c r="H550" s="287"/>
      <c r="I550" s="283"/>
      <c r="J550" s="277"/>
      <c r="K550" s="277"/>
      <c r="L550" s="288"/>
      <c r="M550" s="24"/>
      <c r="N550" s="39"/>
      <c r="O550" s="36" t="s">
        <v>69</v>
      </c>
      <c r="P550" s="36"/>
      <c r="Q550" s="36"/>
      <c r="R550" s="36" t="str">
        <f t="shared" ref="R550:R555" si="129">IF(Q550="","",R549-Q550)</f>
        <v/>
      </c>
      <c r="S550" s="27"/>
      <c r="T550" s="36" t="s">
        <v>69</v>
      </c>
      <c r="U550" s="64"/>
      <c r="V550" s="38"/>
      <c r="W550" s="64" t="str">
        <f>IF(U550="","",U550+V550)</f>
        <v/>
      </c>
      <c r="X550" s="38"/>
      <c r="Y550" s="64" t="str">
        <f>IF(W550="","",W550-X550)</f>
        <v/>
      </c>
      <c r="Z550" s="40"/>
      <c r="AA550" s="24"/>
    </row>
    <row r="551" spans="1:27" s="25" customFormat="1" ht="18" customHeight="1" x14ac:dyDescent="0.2">
      <c r="A551" s="279"/>
      <c r="B551" s="289" t="s">
        <v>39</v>
      </c>
      <c r="C551" s="317">
        <v>45140</v>
      </c>
      <c r="D551" s="277"/>
      <c r="E551" s="277"/>
      <c r="F551" s="393" t="s">
        <v>41</v>
      </c>
      <c r="G551" s="395"/>
      <c r="H551" s="277"/>
      <c r="I551" s="393" t="s">
        <v>42</v>
      </c>
      <c r="J551" s="394"/>
      <c r="K551" s="395"/>
      <c r="L551" s="291"/>
      <c r="N551" s="35"/>
      <c r="O551" s="36" t="s">
        <v>44</v>
      </c>
      <c r="P551" s="36"/>
      <c r="Q551" s="36"/>
      <c r="R551" s="36" t="str">
        <f t="shared" si="129"/>
        <v/>
      </c>
      <c r="S551" s="27"/>
      <c r="T551" s="36" t="s">
        <v>44</v>
      </c>
      <c r="U551" s="64"/>
      <c r="V551" s="38"/>
      <c r="W551" s="64" t="str">
        <f t="shared" ref="W551:W560" si="130">IF(U551="","",U551+V551)</f>
        <v/>
      </c>
      <c r="X551" s="38"/>
      <c r="Y551" s="64" t="str">
        <f t="shared" ref="Y551:Y560" si="131">IF(W551="","",W551-X551)</f>
        <v/>
      </c>
      <c r="Z551" s="40"/>
    </row>
    <row r="552" spans="1:27" s="25" customFormat="1" ht="18" customHeight="1" x14ac:dyDescent="0.2">
      <c r="A552" s="279"/>
      <c r="B552" s="277"/>
      <c r="C552" s="277"/>
      <c r="D552" s="277"/>
      <c r="E552" s="277"/>
      <c r="F552" s="277"/>
      <c r="G552" s="277"/>
      <c r="H552" s="292"/>
      <c r="I552" s="277"/>
      <c r="J552" s="277"/>
      <c r="K552" s="277"/>
      <c r="L552" s="293"/>
      <c r="N552" s="35"/>
      <c r="O552" s="36" t="s">
        <v>45</v>
      </c>
      <c r="P552" s="36"/>
      <c r="Q552" s="36"/>
      <c r="R552" s="36"/>
      <c r="S552" s="27"/>
      <c r="T552" s="36" t="s">
        <v>45</v>
      </c>
      <c r="U552" s="64"/>
      <c r="V552" s="38"/>
      <c r="W552" s="64" t="str">
        <f t="shared" si="130"/>
        <v/>
      </c>
      <c r="X552" s="38"/>
      <c r="Y552" s="64" t="str">
        <f t="shared" si="131"/>
        <v/>
      </c>
      <c r="Z552" s="40"/>
    </row>
    <row r="553" spans="1:27" s="25" customFormat="1" ht="18" customHeight="1" x14ac:dyDescent="0.2">
      <c r="A553" s="279"/>
      <c r="B553" s="397" t="s">
        <v>40</v>
      </c>
      <c r="C553" s="398"/>
      <c r="D553" s="277"/>
      <c r="E553" s="277"/>
      <c r="F553" s="294" t="s">
        <v>62</v>
      </c>
      <c r="G553" s="295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0</v>
      </c>
      <c r="H553" s="292"/>
      <c r="I553" s="296">
        <f>IF(C557&gt;=C556,$K$2,C555+C557)</f>
        <v>31</v>
      </c>
      <c r="J553" s="297" t="s">
        <v>59</v>
      </c>
      <c r="K553" s="298">
        <f>K549/$K$2*I553</f>
        <v>45000</v>
      </c>
      <c r="L553" s="299"/>
      <c r="N553" s="35"/>
      <c r="O553" s="36" t="s">
        <v>46</v>
      </c>
      <c r="P553" s="36"/>
      <c r="Q553" s="36"/>
      <c r="R553" s="36" t="str">
        <f t="shared" si="129"/>
        <v/>
      </c>
      <c r="S553" s="27"/>
      <c r="T553" s="36" t="s">
        <v>46</v>
      </c>
      <c r="U553" s="64"/>
      <c r="V553" s="38"/>
      <c r="W553" s="64" t="str">
        <f t="shared" si="130"/>
        <v/>
      </c>
      <c r="X553" s="38"/>
      <c r="Y553" s="64" t="str">
        <f t="shared" si="131"/>
        <v/>
      </c>
      <c r="Z553" s="40"/>
    </row>
    <row r="554" spans="1:27" s="25" customFormat="1" ht="18" customHeight="1" x14ac:dyDescent="0.2">
      <c r="A554" s="279"/>
      <c r="B554" s="300"/>
      <c r="C554" s="300"/>
      <c r="D554" s="277"/>
      <c r="E554" s="277"/>
      <c r="F554" s="294" t="s">
        <v>18</v>
      </c>
      <c r="G554" s="29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292"/>
      <c r="I554" s="296"/>
      <c r="J554" s="297" t="s">
        <v>60</v>
      </c>
      <c r="K554" s="301">
        <f>K549/$K$2/8*I554</f>
        <v>0</v>
      </c>
      <c r="L554" s="302"/>
      <c r="N554" s="35"/>
      <c r="O554" s="36" t="s">
        <v>47</v>
      </c>
      <c r="P554" s="36"/>
      <c r="Q554" s="36"/>
      <c r="R554" s="36" t="str">
        <f t="shared" si="129"/>
        <v/>
      </c>
      <c r="S554" s="27"/>
      <c r="T554" s="36" t="s">
        <v>47</v>
      </c>
      <c r="U554" s="64"/>
      <c r="V554" s="38"/>
      <c r="W554" s="64" t="str">
        <f t="shared" si="130"/>
        <v/>
      </c>
      <c r="X554" s="38"/>
      <c r="Y554" s="64" t="str">
        <f t="shared" si="131"/>
        <v/>
      </c>
      <c r="Z554" s="40"/>
    </row>
    <row r="555" spans="1:27" s="25" customFormat="1" ht="18" customHeight="1" x14ac:dyDescent="0.2">
      <c r="A555" s="279"/>
      <c r="B555" s="294" t="s">
        <v>7</v>
      </c>
      <c r="C555" s="30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0</v>
      </c>
      <c r="D555" s="277"/>
      <c r="E555" s="277"/>
      <c r="F555" s="294" t="s">
        <v>63</v>
      </c>
      <c r="G555" s="295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0</v>
      </c>
      <c r="H555" s="292"/>
      <c r="I555" s="388" t="s">
        <v>67</v>
      </c>
      <c r="J555" s="389"/>
      <c r="K555" s="301">
        <f>K553+K554</f>
        <v>45000</v>
      </c>
      <c r="L555" s="302"/>
      <c r="N555" s="35"/>
      <c r="O555" s="36" t="s">
        <v>48</v>
      </c>
      <c r="P555" s="36"/>
      <c r="Q555" s="36"/>
      <c r="R555" s="36" t="str">
        <f t="shared" si="129"/>
        <v/>
      </c>
      <c r="S555" s="27"/>
      <c r="T555" s="36" t="s">
        <v>48</v>
      </c>
      <c r="U555" s="64"/>
      <c r="V555" s="38"/>
      <c r="W555" s="64">
        <f>V555+U555</f>
        <v>0</v>
      </c>
      <c r="X555" s="38"/>
      <c r="Y555" s="64">
        <f t="shared" si="131"/>
        <v>0</v>
      </c>
      <c r="Z555" s="40"/>
    </row>
    <row r="556" spans="1:27" s="25" customFormat="1" ht="18" customHeight="1" x14ac:dyDescent="0.2">
      <c r="A556" s="279"/>
      <c r="B556" s="294" t="s">
        <v>6</v>
      </c>
      <c r="C556" s="30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277"/>
      <c r="E556" s="277"/>
      <c r="F556" s="294" t="s">
        <v>19</v>
      </c>
      <c r="G556" s="29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292"/>
      <c r="I556" s="388" t="s">
        <v>68</v>
      </c>
      <c r="J556" s="389"/>
      <c r="K556" s="295">
        <f>G556</f>
        <v>0</v>
      </c>
      <c r="L556" s="303"/>
      <c r="N556" s="35"/>
      <c r="O556" s="36" t="s">
        <v>49</v>
      </c>
      <c r="P556" s="36"/>
      <c r="Q556" s="36"/>
      <c r="R556" s="36">
        <v>0</v>
      </c>
      <c r="S556" s="27"/>
      <c r="T556" s="36" t="s">
        <v>49</v>
      </c>
      <c r="U556" s="64">
        <f>Y555</f>
        <v>0</v>
      </c>
      <c r="V556" s="38"/>
      <c r="W556" s="64">
        <f t="shared" si="130"/>
        <v>0</v>
      </c>
      <c r="X556" s="38"/>
      <c r="Y556" s="64">
        <f t="shared" si="131"/>
        <v>0</v>
      </c>
      <c r="Z556" s="40"/>
    </row>
    <row r="557" spans="1:27" s="25" customFormat="1" ht="18" customHeight="1" x14ac:dyDescent="0.2">
      <c r="A557" s="279"/>
      <c r="B557" s="309" t="s">
        <v>66</v>
      </c>
      <c r="C557" s="300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277"/>
      <c r="E557" s="277"/>
      <c r="F557" s="309" t="s">
        <v>201</v>
      </c>
      <c r="G557" s="295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0</v>
      </c>
      <c r="H557" s="277"/>
      <c r="I557" s="393" t="s">
        <v>61</v>
      </c>
      <c r="J557" s="395"/>
      <c r="K557" s="234">
        <f>K555-K556</f>
        <v>45000</v>
      </c>
      <c r="L557" s="304"/>
      <c r="N557" s="35"/>
      <c r="O557" s="36" t="s">
        <v>54</v>
      </c>
      <c r="P557" s="36"/>
      <c r="Q557" s="36"/>
      <c r="R557" s="36">
        <v>0</v>
      </c>
      <c r="S557" s="27"/>
      <c r="T557" s="36" t="s">
        <v>54</v>
      </c>
      <c r="U557" s="64" t="str">
        <f>IF($J$1="September",Y556,"")</f>
        <v/>
      </c>
      <c r="V557" s="38"/>
      <c r="W557" s="64" t="str">
        <f t="shared" si="130"/>
        <v/>
      </c>
      <c r="X557" s="38"/>
      <c r="Y557" s="64" t="str">
        <f t="shared" si="131"/>
        <v/>
      </c>
      <c r="Z557" s="40"/>
    </row>
    <row r="558" spans="1:27" s="25" customFormat="1" ht="18" customHeight="1" x14ac:dyDescent="0.2">
      <c r="A558" s="279"/>
      <c r="B558" s="277"/>
      <c r="C558" s="277"/>
      <c r="D558" s="277"/>
      <c r="E558" s="277"/>
      <c r="F558" s="277"/>
      <c r="G558" s="277"/>
      <c r="H558" s="277"/>
      <c r="I558" s="277"/>
      <c r="J558" s="277"/>
      <c r="K558" s="277"/>
      <c r="L558" s="291"/>
      <c r="N558" s="35"/>
      <c r="O558" s="36" t="s">
        <v>50</v>
      </c>
      <c r="P558" s="36"/>
      <c r="Q558" s="36"/>
      <c r="R558" s="36">
        <v>0</v>
      </c>
      <c r="S558" s="27"/>
      <c r="T558" s="36" t="s">
        <v>50</v>
      </c>
      <c r="U558" s="64" t="str">
        <f>IF($J$1="October",Y557,"")</f>
        <v/>
      </c>
      <c r="V558" s="38"/>
      <c r="W558" s="64" t="str">
        <f t="shared" si="130"/>
        <v/>
      </c>
      <c r="X558" s="38"/>
      <c r="Y558" s="64" t="str">
        <f t="shared" si="131"/>
        <v/>
      </c>
      <c r="Z558" s="40"/>
    </row>
    <row r="559" spans="1:27" s="25" customFormat="1" ht="18" customHeight="1" x14ac:dyDescent="0.3">
      <c r="A559" s="279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91"/>
      <c r="N559" s="35"/>
      <c r="O559" s="36" t="s">
        <v>55</v>
      </c>
      <c r="P559" s="36"/>
      <c r="Q559" s="36"/>
      <c r="R559" s="36">
        <v>0</v>
      </c>
      <c r="S559" s="27"/>
      <c r="T559" s="36" t="s">
        <v>55</v>
      </c>
      <c r="U559" s="64" t="str">
        <f>Y558</f>
        <v/>
      </c>
      <c r="V559" s="38"/>
      <c r="W559" s="64" t="str">
        <f t="shared" si="130"/>
        <v/>
      </c>
      <c r="X559" s="38"/>
      <c r="Y559" s="64" t="str">
        <f t="shared" si="131"/>
        <v/>
      </c>
      <c r="Z559" s="40"/>
    </row>
    <row r="560" spans="1:27" s="25" customFormat="1" ht="18" customHeight="1" thickBot="1" x14ac:dyDescent="0.35">
      <c r="A560" s="305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7"/>
      <c r="N560" s="35"/>
      <c r="O560" s="36" t="s">
        <v>56</v>
      </c>
      <c r="P560" s="36"/>
      <c r="Q560" s="36"/>
      <c r="R560" s="36">
        <v>0</v>
      </c>
      <c r="S560" s="27"/>
      <c r="T560" s="36" t="s">
        <v>56</v>
      </c>
      <c r="U560" s="64" t="str">
        <f>Y559</f>
        <v/>
      </c>
      <c r="V560" s="38"/>
      <c r="W560" s="64" t="str">
        <f t="shared" si="130"/>
        <v/>
      </c>
      <c r="X560" s="38"/>
      <c r="Y560" s="64" t="str">
        <f t="shared" si="131"/>
        <v/>
      </c>
      <c r="Z560" s="40"/>
    </row>
    <row r="561" spans="1:27" s="57" customFormat="1" ht="18" customHeight="1" thickBot="1" x14ac:dyDescent="0.25">
      <c r="A561" s="308"/>
      <c r="B561" s="308"/>
      <c r="C561" s="308"/>
      <c r="D561" s="308"/>
      <c r="E561" s="308"/>
      <c r="F561" s="308"/>
      <c r="G561" s="308"/>
      <c r="H561" s="308"/>
      <c r="I561" s="308"/>
      <c r="J561" s="308"/>
      <c r="K561" s="308"/>
      <c r="L561" s="30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7" s="25" customFormat="1" ht="18" customHeight="1" thickBot="1" x14ac:dyDescent="0.25">
      <c r="A562" s="390" t="s">
        <v>38</v>
      </c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2"/>
      <c r="M562" s="24"/>
      <c r="N562" s="28"/>
      <c r="O562" s="385" t="s">
        <v>40</v>
      </c>
      <c r="P562" s="386"/>
      <c r="Q562" s="386"/>
      <c r="R562" s="387"/>
      <c r="S562" s="29"/>
      <c r="T562" s="385" t="s">
        <v>41</v>
      </c>
      <c r="U562" s="386"/>
      <c r="V562" s="386"/>
      <c r="W562" s="386"/>
      <c r="X562" s="386"/>
      <c r="Y562" s="387"/>
      <c r="Z562" s="30"/>
      <c r="AA562" s="24"/>
    </row>
    <row r="563" spans="1:27" s="25" customFormat="1" ht="18" customHeight="1" x14ac:dyDescent="0.2">
      <c r="A563" s="279"/>
      <c r="B563" s="277"/>
      <c r="C563" s="396" t="s">
        <v>212</v>
      </c>
      <c r="D563" s="396"/>
      <c r="E563" s="396"/>
      <c r="F563" s="396"/>
      <c r="G563" s="280" t="str">
        <f>$J$1</f>
        <v>January</v>
      </c>
      <c r="H563" s="399">
        <f>$K$1</f>
        <v>2024</v>
      </c>
      <c r="I563" s="399"/>
      <c r="J563" s="277"/>
      <c r="K563" s="281"/>
      <c r="L563" s="282"/>
      <c r="M563" s="26"/>
      <c r="N563" s="31"/>
      <c r="O563" s="32" t="s">
        <v>51</v>
      </c>
      <c r="P563" s="32" t="s">
        <v>7</v>
      </c>
      <c r="Q563" s="32" t="s">
        <v>6</v>
      </c>
      <c r="R563" s="32" t="s">
        <v>52</v>
      </c>
      <c r="S563" s="33"/>
      <c r="T563" s="32" t="s">
        <v>51</v>
      </c>
      <c r="U563" s="32" t="s">
        <v>53</v>
      </c>
      <c r="V563" s="32" t="s">
        <v>18</v>
      </c>
      <c r="W563" s="32" t="s">
        <v>17</v>
      </c>
      <c r="X563" s="32" t="s">
        <v>19</v>
      </c>
      <c r="Y563" s="32" t="s">
        <v>57</v>
      </c>
      <c r="Z563" s="34"/>
      <c r="AA563" s="26"/>
    </row>
    <row r="564" spans="1:27" s="25" customFormat="1" ht="18" customHeight="1" x14ac:dyDescent="0.2">
      <c r="A564" s="279"/>
      <c r="B564" s="277"/>
      <c r="C564" s="277"/>
      <c r="D564" s="283"/>
      <c r="E564" s="283"/>
      <c r="F564" s="283"/>
      <c r="G564" s="283"/>
      <c r="H564" s="283"/>
      <c r="I564" s="277"/>
      <c r="J564" s="284" t="s">
        <v>1</v>
      </c>
      <c r="K564" s="285">
        <f>30000+5000</f>
        <v>35000</v>
      </c>
      <c r="L564" s="286"/>
      <c r="N564" s="35"/>
      <c r="O564" s="36" t="s">
        <v>43</v>
      </c>
      <c r="P564" s="36"/>
      <c r="Q564" s="36"/>
      <c r="R564" s="36">
        <v>19</v>
      </c>
      <c r="S564" s="37"/>
      <c r="T564" s="36" t="s">
        <v>43</v>
      </c>
      <c r="U564" s="38">
        <v>5000</v>
      </c>
      <c r="V564" s="38"/>
      <c r="W564" s="38">
        <f>V564+U564</f>
        <v>5000</v>
      </c>
      <c r="X564" s="38"/>
      <c r="Y564" s="38">
        <f>W564-X564</f>
        <v>5000</v>
      </c>
      <c r="Z564" s="34"/>
    </row>
    <row r="565" spans="1:27" s="25" customFormat="1" ht="18" customHeight="1" x14ac:dyDescent="0.2">
      <c r="A565" s="279"/>
      <c r="B565" s="277" t="s">
        <v>0</v>
      </c>
      <c r="C565" s="276" t="s">
        <v>76</v>
      </c>
      <c r="D565" s="277"/>
      <c r="E565" s="277"/>
      <c r="F565" s="277"/>
      <c r="G565" s="277"/>
      <c r="H565" s="287"/>
      <c r="I565" s="283"/>
      <c r="J565" s="277"/>
      <c r="K565" s="277"/>
      <c r="L565" s="288"/>
      <c r="M565" s="24"/>
      <c r="N565" s="39"/>
      <c r="O565" s="36" t="s">
        <v>69</v>
      </c>
      <c r="P565" s="36"/>
      <c r="Q565" s="36"/>
      <c r="R565" s="36" t="str">
        <f t="shared" ref="R565:R575" si="132">IF(Q565="","",R564-Q565)</f>
        <v/>
      </c>
      <c r="S565" s="27"/>
      <c r="T565" s="36" t="s">
        <v>69</v>
      </c>
      <c r="U565" s="64"/>
      <c r="V565" s="38"/>
      <c r="W565" s="64" t="str">
        <f>IF(U565="","",U565+V565)</f>
        <v/>
      </c>
      <c r="X565" s="38"/>
      <c r="Y565" s="64" t="str">
        <f>IF(W565="","",W565-X565)</f>
        <v/>
      </c>
      <c r="Z565" s="40"/>
      <c r="AA565" s="24"/>
    </row>
    <row r="566" spans="1:27" s="25" customFormat="1" ht="18" customHeight="1" x14ac:dyDescent="0.2">
      <c r="A566" s="279"/>
      <c r="B566" s="289" t="s">
        <v>39</v>
      </c>
      <c r="C566" s="290"/>
      <c r="D566" s="277"/>
      <c r="E566" s="277"/>
      <c r="F566" s="393" t="s">
        <v>41</v>
      </c>
      <c r="G566" s="395"/>
      <c r="H566" s="277"/>
      <c r="I566" s="393" t="s">
        <v>42</v>
      </c>
      <c r="J566" s="394"/>
      <c r="K566" s="395"/>
      <c r="L566" s="291"/>
      <c r="N566" s="35"/>
      <c r="O566" s="36" t="s">
        <v>44</v>
      </c>
      <c r="P566" s="36"/>
      <c r="Q566" s="36"/>
      <c r="R566" s="36" t="str">
        <f t="shared" si="132"/>
        <v/>
      </c>
      <c r="S566" s="27"/>
      <c r="T566" s="36" t="s">
        <v>44</v>
      </c>
      <c r="U566" s="64"/>
      <c r="V566" s="38"/>
      <c r="W566" s="64" t="str">
        <f t="shared" ref="W566:W575" si="133">IF(U566="","",U566+V566)</f>
        <v/>
      </c>
      <c r="X566" s="38"/>
      <c r="Y566" s="64" t="str">
        <f t="shared" ref="Y566:Y575" si="134">IF(W566="","",W566-X566)</f>
        <v/>
      </c>
      <c r="Z566" s="40"/>
    </row>
    <row r="567" spans="1:27" s="25" customFormat="1" ht="18" customHeight="1" x14ac:dyDescent="0.2">
      <c r="A567" s="279"/>
      <c r="B567" s="277"/>
      <c r="C567" s="277"/>
      <c r="D567" s="277"/>
      <c r="E567" s="277"/>
      <c r="F567" s="277"/>
      <c r="G567" s="277"/>
      <c r="H567" s="292"/>
      <c r="I567" s="277"/>
      <c r="J567" s="277"/>
      <c r="K567" s="277"/>
      <c r="L567" s="293"/>
      <c r="N567" s="35"/>
      <c r="O567" s="36" t="s">
        <v>45</v>
      </c>
      <c r="P567" s="36"/>
      <c r="Q567" s="36"/>
      <c r="R567" s="36" t="str">
        <f t="shared" si="132"/>
        <v/>
      </c>
      <c r="S567" s="27"/>
      <c r="T567" s="36" t="s">
        <v>45</v>
      </c>
      <c r="U567" s="64"/>
      <c r="V567" s="38"/>
      <c r="W567" s="64" t="str">
        <f t="shared" si="133"/>
        <v/>
      </c>
      <c r="X567" s="38"/>
      <c r="Y567" s="64" t="str">
        <f t="shared" si="134"/>
        <v/>
      </c>
      <c r="Z567" s="40"/>
    </row>
    <row r="568" spans="1:27" s="25" customFormat="1" ht="18" customHeight="1" x14ac:dyDescent="0.2">
      <c r="A568" s="279"/>
      <c r="B568" s="397" t="s">
        <v>40</v>
      </c>
      <c r="C568" s="398"/>
      <c r="D568" s="277"/>
      <c r="E568" s="277"/>
      <c r="F568" s="294" t="s">
        <v>62</v>
      </c>
      <c r="G568" s="29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5000</v>
      </c>
      <c r="H568" s="292"/>
      <c r="I568" s="296">
        <f>IF(C572&gt;=C571,$K$2,C570+C572)</f>
        <v>31</v>
      </c>
      <c r="J568" s="297" t="s">
        <v>59</v>
      </c>
      <c r="K568" s="298">
        <f>K564/$K$2*I568</f>
        <v>35000</v>
      </c>
      <c r="L568" s="299"/>
      <c r="N568" s="35"/>
      <c r="O568" s="36" t="s">
        <v>46</v>
      </c>
      <c r="P568" s="36"/>
      <c r="Q568" s="36"/>
      <c r="R568" s="36" t="str">
        <f t="shared" si="132"/>
        <v/>
      </c>
      <c r="S568" s="27"/>
      <c r="T568" s="36" t="s">
        <v>46</v>
      </c>
      <c r="U568" s="64"/>
      <c r="V568" s="38"/>
      <c r="W568" s="64" t="str">
        <f t="shared" si="133"/>
        <v/>
      </c>
      <c r="X568" s="38"/>
      <c r="Y568" s="64" t="str">
        <f t="shared" si="134"/>
        <v/>
      </c>
      <c r="Z568" s="40"/>
    </row>
    <row r="569" spans="1:27" s="25" customFormat="1" ht="18" customHeight="1" x14ac:dyDescent="0.2">
      <c r="A569" s="279"/>
      <c r="B569" s="300"/>
      <c r="C569" s="300"/>
      <c r="D569" s="277"/>
      <c r="E569" s="277"/>
      <c r="F569" s="294" t="s">
        <v>18</v>
      </c>
      <c r="G569" s="29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292"/>
      <c r="I569" s="296">
        <v>51</v>
      </c>
      <c r="J569" s="297" t="s">
        <v>60</v>
      </c>
      <c r="K569" s="301">
        <f>K564/$K$2/8*I569</f>
        <v>7197.5806451612898</v>
      </c>
      <c r="L569" s="302"/>
      <c r="N569" s="35"/>
      <c r="O569" s="36" t="s">
        <v>47</v>
      </c>
      <c r="P569" s="36"/>
      <c r="Q569" s="36"/>
      <c r="R569" s="36" t="str">
        <f t="shared" si="132"/>
        <v/>
      </c>
      <c r="S569" s="27"/>
      <c r="T569" s="36" t="s">
        <v>47</v>
      </c>
      <c r="U569" s="64"/>
      <c r="V569" s="38"/>
      <c r="W569" s="64" t="str">
        <f t="shared" si="133"/>
        <v/>
      </c>
      <c r="X569" s="38"/>
      <c r="Y569" s="64" t="str">
        <f t="shared" si="134"/>
        <v/>
      </c>
      <c r="Z569" s="40"/>
    </row>
    <row r="570" spans="1:27" s="25" customFormat="1" ht="18" customHeight="1" x14ac:dyDescent="0.2">
      <c r="A570" s="279"/>
      <c r="B570" s="294" t="s">
        <v>7</v>
      </c>
      <c r="C570" s="30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0</v>
      </c>
      <c r="D570" s="277"/>
      <c r="E570" s="277"/>
      <c r="F570" s="294" t="s">
        <v>63</v>
      </c>
      <c r="G570" s="29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5000</v>
      </c>
      <c r="H570" s="292"/>
      <c r="I570" s="388" t="s">
        <v>67</v>
      </c>
      <c r="J570" s="389"/>
      <c r="K570" s="301">
        <f>K568+K569</f>
        <v>42197.580645161288</v>
      </c>
      <c r="L570" s="302"/>
      <c r="N570" s="35"/>
      <c r="O570" s="36" t="s">
        <v>48</v>
      </c>
      <c r="P570" s="36"/>
      <c r="Q570" s="36"/>
      <c r="R570" s="36" t="str">
        <f t="shared" si="132"/>
        <v/>
      </c>
      <c r="S570" s="27"/>
      <c r="T570" s="36" t="s">
        <v>48</v>
      </c>
      <c r="U570" s="64"/>
      <c r="V570" s="38"/>
      <c r="W570" s="64" t="str">
        <f t="shared" si="133"/>
        <v/>
      </c>
      <c r="X570" s="38"/>
      <c r="Y570" s="64" t="str">
        <f t="shared" si="134"/>
        <v/>
      </c>
      <c r="Z570" s="40"/>
    </row>
    <row r="571" spans="1:27" s="25" customFormat="1" ht="18" customHeight="1" x14ac:dyDescent="0.2">
      <c r="A571" s="279"/>
      <c r="B571" s="294" t="s">
        <v>6</v>
      </c>
      <c r="C571" s="30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277"/>
      <c r="E571" s="277"/>
      <c r="F571" s="294" t="s">
        <v>19</v>
      </c>
      <c r="G571" s="29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0</v>
      </c>
      <c r="H571" s="292"/>
      <c r="I571" s="388" t="s">
        <v>68</v>
      </c>
      <c r="J571" s="389"/>
      <c r="K571" s="295">
        <f>G571</f>
        <v>0</v>
      </c>
      <c r="L571" s="303"/>
      <c r="N571" s="35"/>
      <c r="O571" s="36" t="s">
        <v>49</v>
      </c>
      <c r="P571" s="36"/>
      <c r="Q571" s="36"/>
      <c r="R571" s="36" t="str">
        <f t="shared" si="132"/>
        <v/>
      </c>
      <c r="S571" s="27"/>
      <c r="T571" s="36" t="s">
        <v>49</v>
      </c>
      <c r="U571" s="64"/>
      <c r="V571" s="38"/>
      <c r="W571" s="64" t="str">
        <f t="shared" si="133"/>
        <v/>
      </c>
      <c r="X571" s="38"/>
      <c r="Y571" s="64" t="str">
        <f t="shared" si="134"/>
        <v/>
      </c>
      <c r="Z571" s="40"/>
    </row>
    <row r="572" spans="1:27" s="25" customFormat="1" ht="18" customHeight="1" x14ac:dyDescent="0.2">
      <c r="A572" s="279"/>
      <c r="B572" s="309" t="s">
        <v>66</v>
      </c>
      <c r="C572" s="300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19</v>
      </c>
      <c r="D572" s="277"/>
      <c r="E572" s="277"/>
      <c r="F572" s="309" t="s">
        <v>201</v>
      </c>
      <c r="G572" s="295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5000</v>
      </c>
      <c r="H572" s="277"/>
      <c r="I572" s="393" t="s">
        <v>61</v>
      </c>
      <c r="J572" s="395"/>
      <c r="K572" s="234">
        <f>K570-K571</f>
        <v>42197.580645161288</v>
      </c>
      <c r="L572" s="304"/>
      <c r="N572" s="35"/>
      <c r="O572" s="36" t="s">
        <v>54</v>
      </c>
      <c r="P572" s="36"/>
      <c r="Q572" s="36"/>
      <c r="R572" s="36" t="str">
        <f t="shared" si="132"/>
        <v/>
      </c>
      <c r="S572" s="27"/>
      <c r="T572" s="36" t="s">
        <v>54</v>
      </c>
      <c r="U572" s="64"/>
      <c r="V572" s="38"/>
      <c r="W572" s="64" t="str">
        <f t="shared" si="133"/>
        <v/>
      </c>
      <c r="X572" s="38"/>
      <c r="Y572" s="64" t="str">
        <f t="shared" si="134"/>
        <v/>
      </c>
      <c r="Z572" s="40"/>
    </row>
    <row r="573" spans="1:27" s="25" customFormat="1" ht="18" customHeight="1" x14ac:dyDescent="0.2">
      <c r="A573" s="279"/>
      <c r="B573" s="277"/>
      <c r="C573" s="277"/>
      <c r="D573" s="277"/>
      <c r="E573" s="277"/>
      <c r="F573" s="277"/>
      <c r="G573" s="277"/>
      <c r="H573" s="277"/>
      <c r="I573" s="277"/>
      <c r="J573" s="277"/>
      <c r="K573" s="277"/>
      <c r="L573" s="291"/>
      <c r="N573" s="35"/>
      <c r="O573" s="36" t="s">
        <v>50</v>
      </c>
      <c r="P573" s="36"/>
      <c r="Q573" s="36"/>
      <c r="R573" s="36" t="str">
        <f t="shared" si="132"/>
        <v/>
      </c>
      <c r="S573" s="27"/>
      <c r="T573" s="36" t="s">
        <v>50</v>
      </c>
      <c r="U573" s="64"/>
      <c r="V573" s="38"/>
      <c r="W573" s="64" t="str">
        <f t="shared" si="133"/>
        <v/>
      </c>
      <c r="X573" s="38"/>
      <c r="Y573" s="64" t="str">
        <f t="shared" si="134"/>
        <v/>
      </c>
      <c r="Z573" s="40"/>
    </row>
    <row r="574" spans="1:27" s="25" customFormat="1" ht="18" customHeight="1" x14ac:dyDescent="0.3">
      <c r="A574" s="279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91"/>
      <c r="N574" s="35"/>
      <c r="O574" s="36" t="s">
        <v>55</v>
      </c>
      <c r="P574" s="36"/>
      <c r="Q574" s="36"/>
      <c r="R574" s="36" t="str">
        <f t="shared" si="132"/>
        <v/>
      </c>
      <c r="S574" s="27"/>
      <c r="T574" s="36" t="s">
        <v>55</v>
      </c>
      <c r="U574" s="64"/>
      <c r="V574" s="38"/>
      <c r="W574" s="64" t="str">
        <f t="shared" si="133"/>
        <v/>
      </c>
      <c r="X574" s="38"/>
      <c r="Y574" s="64" t="str">
        <f t="shared" si="134"/>
        <v/>
      </c>
      <c r="Z574" s="40"/>
    </row>
    <row r="575" spans="1:27" s="25" customFormat="1" ht="18" customHeight="1" thickBot="1" x14ac:dyDescent="0.35">
      <c r="A575" s="305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7"/>
      <c r="N575" s="35"/>
      <c r="O575" s="36" t="s">
        <v>56</v>
      </c>
      <c r="P575" s="36"/>
      <c r="Q575" s="36"/>
      <c r="R575" s="36" t="str">
        <f t="shared" si="132"/>
        <v/>
      </c>
      <c r="S575" s="27"/>
      <c r="T575" s="36" t="s">
        <v>56</v>
      </c>
      <c r="U575" s="64"/>
      <c r="V575" s="38"/>
      <c r="W575" s="64" t="str">
        <f t="shared" si="133"/>
        <v/>
      </c>
      <c r="X575" s="38"/>
      <c r="Y575" s="64" t="str">
        <f t="shared" si="134"/>
        <v/>
      </c>
      <c r="Z575" s="40"/>
    </row>
    <row r="576" spans="1:27" s="57" customFormat="1" ht="18" customHeight="1" thickBot="1" x14ac:dyDescent="0.25">
      <c r="A576" s="308"/>
      <c r="B576" s="308"/>
      <c r="C576" s="308"/>
      <c r="D576" s="308"/>
      <c r="E576" s="308"/>
      <c r="F576" s="308"/>
      <c r="G576" s="308"/>
      <c r="H576" s="308"/>
      <c r="I576" s="308"/>
      <c r="J576" s="308"/>
      <c r="K576" s="308"/>
      <c r="L576" s="30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7" s="25" customFormat="1" ht="18" customHeight="1" x14ac:dyDescent="0.2">
      <c r="A577" s="405" t="s">
        <v>38</v>
      </c>
      <c r="B577" s="406"/>
      <c r="C577" s="406"/>
      <c r="D577" s="406"/>
      <c r="E577" s="406"/>
      <c r="F577" s="406"/>
      <c r="G577" s="406"/>
      <c r="H577" s="406"/>
      <c r="I577" s="406"/>
      <c r="J577" s="406"/>
      <c r="K577" s="406"/>
      <c r="L577" s="407"/>
      <c r="M577" s="24"/>
      <c r="N577" s="28"/>
      <c r="O577" s="385" t="s">
        <v>40</v>
      </c>
      <c r="P577" s="386"/>
      <c r="Q577" s="386"/>
      <c r="R577" s="387"/>
      <c r="S577" s="29"/>
      <c r="T577" s="385" t="s">
        <v>41</v>
      </c>
      <c r="U577" s="386"/>
      <c r="V577" s="386"/>
      <c r="W577" s="386"/>
      <c r="X577" s="386"/>
      <c r="Y577" s="387"/>
      <c r="Z577" s="30"/>
      <c r="AA577" s="24"/>
    </row>
    <row r="578" spans="1:27" s="25" customFormat="1" ht="18" customHeight="1" x14ac:dyDescent="0.2">
      <c r="A578" s="279"/>
      <c r="B578" s="277"/>
      <c r="C578" s="396" t="s">
        <v>212</v>
      </c>
      <c r="D578" s="396"/>
      <c r="E578" s="396"/>
      <c r="F578" s="396"/>
      <c r="G578" s="280" t="str">
        <f>$J$1</f>
        <v>January</v>
      </c>
      <c r="H578" s="399">
        <f>$K$1</f>
        <v>2024</v>
      </c>
      <c r="I578" s="399"/>
      <c r="J578" s="277"/>
      <c r="K578" s="281"/>
      <c r="L578" s="282"/>
      <c r="M578" s="26"/>
      <c r="N578" s="31"/>
      <c r="O578" s="32" t="s">
        <v>51</v>
      </c>
      <c r="P578" s="32" t="s">
        <v>7</v>
      </c>
      <c r="Q578" s="32" t="s">
        <v>6</v>
      </c>
      <c r="R578" s="32" t="s">
        <v>52</v>
      </c>
      <c r="S578" s="33"/>
      <c r="T578" s="32" t="s">
        <v>51</v>
      </c>
      <c r="U578" s="32" t="s">
        <v>53</v>
      </c>
      <c r="V578" s="32" t="s">
        <v>18</v>
      </c>
      <c r="W578" s="32" t="s">
        <v>17</v>
      </c>
      <c r="X578" s="32" t="s">
        <v>19</v>
      </c>
      <c r="Y578" s="32" t="s">
        <v>57</v>
      </c>
      <c r="Z578" s="34"/>
      <c r="AA578" s="26"/>
    </row>
    <row r="579" spans="1:27" s="25" customFormat="1" ht="18" customHeight="1" x14ac:dyDescent="0.2">
      <c r="A579" s="279"/>
      <c r="B579" s="277"/>
      <c r="C579" s="277"/>
      <c r="D579" s="283"/>
      <c r="E579" s="283"/>
      <c r="F579" s="283"/>
      <c r="G579" s="283"/>
      <c r="H579" s="283"/>
      <c r="I579" s="277"/>
      <c r="J579" s="284" t="s">
        <v>1</v>
      </c>
      <c r="K579" s="285">
        <v>40000</v>
      </c>
      <c r="L579" s="286"/>
      <c r="N579" s="35"/>
      <c r="O579" s="36" t="s">
        <v>43</v>
      </c>
      <c r="P579" s="36"/>
      <c r="Q579" s="36"/>
      <c r="R579" s="36">
        <v>0</v>
      </c>
      <c r="S579" s="37"/>
      <c r="T579" s="36" t="s">
        <v>43</v>
      </c>
      <c r="U579" s="38"/>
      <c r="V579" s="38"/>
      <c r="W579" s="38">
        <f>V579+U579</f>
        <v>0</v>
      </c>
      <c r="X579" s="38"/>
      <c r="Y579" s="38">
        <f>W579-X579</f>
        <v>0</v>
      </c>
      <c r="Z579" s="34"/>
    </row>
    <row r="580" spans="1:27" s="25" customFormat="1" ht="18" customHeight="1" x14ac:dyDescent="0.2">
      <c r="A580" s="279"/>
      <c r="B580" s="277" t="s">
        <v>0</v>
      </c>
      <c r="C580" s="276" t="s">
        <v>222</v>
      </c>
      <c r="D580" s="277"/>
      <c r="E580" s="277"/>
      <c r="F580" s="277"/>
      <c r="G580" s="277"/>
      <c r="H580" s="287"/>
      <c r="I580" s="283"/>
      <c r="J580" s="277"/>
      <c r="K580" s="277"/>
      <c r="L580" s="288"/>
      <c r="M580" s="24"/>
      <c r="N580" s="39"/>
      <c r="O580" s="36" t="s">
        <v>69</v>
      </c>
      <c r="P580" s="36"/>
      <c r="Q580" s="36"/>
      <c r="R580" s="36">
        <v>0</v>
      </c>
      <c r="S580" s="27"/>
      <c r="T580" s="36" t="s">
        <v>69</v>
      </c>
      <c r="U580" s="64" t="str">
        <f>IF($J$1="January","",Y579)</f>
        <v/>
      </c>
      <c r="V580" s="38"/>
      <c r="W580" s="64" t="str">
        <f>IF(U580="","",U580+V580)</f>
        <v/>
      </c>
      <c r="X580" s="38"/>
      <c r="Y580" s="64" t="str">
        <f>IF(W580="","",W580-X580)</f>
        <v/>
      </c>
      <c r="Z580" s="40"/>
      <c r="AA580" s="24"/>
    </row>
    <row r="581" spans="1:27" s="25" customFormat="1" ht="18" customHeight="1" x14ac:dyDescent="0.2">
      <c r="A581" s="279"/>
      <c r="B581" s="289" t="s">
        <v>39</v>
      </c>
      <c r="C581" s="316"/>
      <c r="D581" s="277"/>
      <c r="E581" s="277"/>
      <c r="F581" s="403" t="s">
        <v>41</v>
      </c>
      <c r="G581" s="403"/>
      <c r="H581" s="277"/>
      <c r="I581" s="403" t="s">
        <v>42</v>
      </c>
      <c r="J581" s="403"/>
      <c r="K581" s="403"/>
      <c r="L581" s="291"/>
      <c r="N581" s="35"/>
      <c r="O581" s="36" t="s">
        <v>44</v>
      </c>
      <c r="P581" s="36"/>
      <c r="Q581" s="36"/>
      <c r="R581" s="36">
        <v>0</v>
      </c>
      <c r="S581" s="27"/>
      <c r="T581" s="36" t="s">
        <v>44</v>
      </c>
      <c r="U581" s="64" t="str">
        <f>IF($J$1="February","",Y580)</f>
        <v/>
      </c>
      <c r="V581" s="38"/>
      <c r="W581" s="64" t="str">
        <f t="shared" ref="W581:W590" si="135">IF(U581="","",U581+V581)</f>
        <v/>
      </c>
      <c r="X581" s="38"/>
      <c r="Y581" s="64" t="str">
        <f t="shared" ref="Y581:Y590" si="136">IF(W581="","",W581-X581)</f>
        <v/>
      </c>
      <c r="Z581" s="40"/>
    </row>
    <row r="582" spans="1:27" s="25" customFormat="1" ht="18" customHeight="1" x14ac:dyDescent="0.2">
      <c r="A582" s="279"/>
      <c r="B582" s="277"/>
      <c r="C582" s="277"/>
      <c r="D582" s="277"/>
      <c r="E582" s="277"/>
      <c r="F582" s="277"/>
      <c r="G582" s="277"/>
      <c r="H582" s="292"/>
      <c r="I582" s="277"/>
      <c r="J582" s="277"/>
      <c r="K582" s="277"/>
      <c r="L582" s="293"/>
      <c r="N582" s="35"/>
      <c r="O582" s="36" t="s">
        <v>45</v>
      </c>
      <c r="P582" s="36"/>
      <c r="Q582" s="36"/>
      <c r="R582" s="36">
        <v>0</v>
      </c>
      <c r="S582" s="27"/>
      <c r="T582" s="36" t="s">
        <v>45</v>
      </c>
      <c r="U582" s="64" t="str">
        <f>IF($J$1="March","",Y581)</f>
        <v/>
      </c>
      <c r="V582" s="38"/>
      <c r="W582" s="64" t="str">
        <f t="shared" si="135"/>
        <v/>
      </c>
      <c r="X582" s="38"/>
      <c r="Y582" s="64" t="str">
        <f t="shared" si="136"/>
        <v/>
      </c>
      <c r="Z582" s="40"/>
    </row>
    <row r="583" spans="1:27" s="25" customFormat="1" ht="18" customHeight="1" x14ac:dyDescent="0.2">
      <c r="A583" s="279"/>
      <c r="B583" s="397" t="s">
        <v>40</v>
      </c>
      <c r="C583" s="398"/>
      <c r="D583" s="277"/>
      <c r="E583" s="277"/>
      <c r="F583" s="294" t="s">
        <v>62</v>
      </c>
      <c r="G583" s="29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292"/>
      <c r="I583" s="296">
        <f>IF(C587&gt;0,$K$2,C585)</f>
        <v>0</v>
      </c>
      <c r="J583" s="297" t="s">
        <v>59</v>
      </c>
      <c r="K583" s="298">
        <f>K579/$K$2*I583</f>
        <v>0</v>
      </c>
      <c r="L583" s="299"/>
      <c r="N583" s="35"/>
      <c r="O583" s="36" t="s">
        <v>46</v>
      </c>
      <c r="P583" s="36"/>
      <c r="Q583" s="36"/>
      <c r="R583" s="36">
        <v>0</v>
      </c>
      <c r="S583" s="27"/>
      <c r="T583" s="36" t="s">
        <v>46</v>
      </c>
      <c r="U583" s="64" t="str">
        <f>IF($J$1="April","",Y582)</f>
        <v/>
      </c>
      <c r="V583" s="38"/>
      <c r="W583" s="64" t="str">
        <f t="shared" si="135"/>
        <v/>
      </c>
      <c r="X583" s="38"/>
      <c r="Y583" s="64" t="str">
        <f t="shared" si="136"/>
        <v/>
      </c>
      <c r="Z583" s="40"/>
    </row>
    <row r="584" spans="1:27" s="25" customFormat="1" ht="18" customHeight="1" x14ac:dyDescent="0.2">
      <c r="A584" s="279"/>
      <c r="B584" s="300"/>
      <c r="C584" s="300"/>
      <c r="D584" s="277"/>
      <c r="E584" s="277"/>
      <c r="F584" s="294" t="s">
        <v>18</v>
      </c>
      <c r="G584" s="29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292"/>
      <c r="I584" s="314">
        <v>53</v>
      </c>
      <c r="J584" s="297" t="s">
        <v>60</v>
      </c>
      <c r="K584" s="301">
        <f>K579/$K$2/8*I584</f>
        <v>8548.3870967741932</v>
      </c>
      <c r="L584" s="302"/>
      <c r="N584" s="35"/>
      <c r="O584" s="36" t="s">
        <v>47</v>
      </c>
      <c r="P584" s="36"/>
      <c r="Q584" s="36"/>
      <c r="R584" s="36">
        <v>0</v>
      </c>
      <c r="S584" s="27"/>
      <c r="T584" s="36" t="s">
        <v>47</v>
      </c>
      <c r="U584" s="64" t="str">
        <f>IF($J$1="May","",Y583)</f>
        <v/>
      </c>
      <c r="V584" s="38"/>
      <c r="W584" s="64" t="str">
        <f t="shared" si="135"/>
        <v/>
      </c>
      <c r="X584" s="38"/>
      <c r="Y584" s="64" t="str">
        <f t="shared" si="136"/>
        <v/>
      </c>
      <c r="Z584" s="40"/>
    </row>
    <row r="585" spans="1:27" s="25" customFormat="1" ht="18" customHeight="1" x14ac:dyDescent="0.2">
      <c r="A585" s="279"/>
      <c r="B585" s="294" t="s">
        <v>7</v>
      </c>
      <c r="C585" s="30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0</v>
      </c>
      <c r="D585" s="277"/>
      <c r="E585" s="277"/>
      <c r="F585" s="294" t="s">
        <v>63</v>
      </c>
      <c r="G585" s="29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0</v>
      </c>
      <c r="H585" s="292"/>
      <c r="I585" s="388" t="s">
        <v>67</v>
      </c>
      <c r="J585" s="389"/>
      <c r="K585" s="301">
        <f>K583+K584</f>
        <v>8548.3870967741932</v>
      </c>
      <c r="L585" s="302"/>
      <c r="N585" s="35"/>
      <c r="O585" s="36" t="s">
        <v>48</v>
      </c>
      <c r="P585" s="36"/>
      <c r="Q585" s="36"/>
      <c r="R585" s="36">
        <v>0</v>
      </c>
      <c r="S585" s="27"/>
      <c r="T585" s="36" t="s">
        <v>48</v>
      </c>
      <c r="U585" s="64" t="str">
        <f>IF($J$1="June","",Y584)</f>
        <v/>
      </c>
      <c r="V585" s="38"/>
      <c r="W585" s="64" t="str">
        <f t="shared" si="135"/>
        <v/>
      </c>
      <c r="X585" s="38"/>
      <c r="Y585" s="64" t="str">
        <f t="shared" si="136"/>
        <v/>
      </c>
      <c r="Z585" s="40"/>
    </row>
    <row r="586" spans="1:27" s="25" customFormat="1" ht="18" customHeight="1" x14ac:dyDescent="0.2">
      <c r="A586" s="279"/>
      <c r="B586" s="294" t="s">
        <v>6</v>
      </c>
      <c r="C586" s="30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277"/>
      <c r="E586" s="277"/>
      <c r="F586" s="294" t="s">
        <v>19</v>
      </c>
      <c r="G586" s="29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292"/>
      <c r="I586" s="388" t="s">
        <v>68</v>
      </c>
      <c r="J586" s="389"/>
      <c r="K586" s="295">
        <f>G586</f>
        <v>0</v>
      </c>
      <c r="L586" s="303"/>
      <c r="N586" s="35"/>
      <c r="O586" s="36" t="s">
        <v>49</v>
      </c>
      <c r="P586" s="36"/>
      <c r="Q586" s="36"/>
      <c r="R586" s="36">
        <v>0</v>
      </c>
      <c r="S586" s="27"/>
      <c r="T586" s="36" t="s">
        <v>49</v>
      </c>
      <c r="U586" s="64" t="str">
        <f>IF($J$1="July","",Y585)</f>
        <v/>
      </c>
      <c r="V586" s="38"/>
      <c r="W586" s="64" t="str">
        <f t="shared" si="135"/>
        <v/>
      </c>
      <c r="X586" s="38"/>
      <c r="Y586" s="64" t="str">
        <f t="shared" si="136"/>
        <v/>
      </c>
      <c r="Z586" s="40"/>
    </row>
    <row r="587" spans="1:27" s="25" customFormat="1" ht="18" customHeight="1" x14ac:dyDescent="0.2">
      <c r="A587" s="279"/>
      <c r="B587" s="312" t="s">
        <v>66</v>
      </c>
      <c r="C587" s="300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277"/>
      <c r="E587" s="277"/>
      <c r="F587" s="294" t="s">
        <v>65</v>
      </c>
      <c r="G587" s="295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0</v>
      </c>
      <c r="H587" s="277"/>
      <c r="I587" s="393" t="s">
        <v>61</v>
      </c>
      <c r="J587" s="395"/>
      <c r="K587" s="234">
        <f>K585-K586</f>
        <v>8548.3870967741932</v>
      </c>
      <c r="L587" s="304"/>
      <c r="N587" s="35"/>
      <c r="O587" s="36" t="s">
        <v>54</v>
      </c>
      <c r="P587" s="36"/>
      <c r="Q587" s="36"/>
      <c r="R587" s="36">
        <v>0</v>
      </c>
      <c r="S587" s="27"/>
      <c r="T587" s="36" t="s">
        <v>54</v>
      </c>
      <c r="U587" s="64" t="str">
        <f>IF($J$1="August","",Y586)</f>
        <v/>
      </c>
      <c r="V587" s="38"/>
      <c r="W587" s="64" t="str">
        <f t="shared" si="135"/>
        <v/>
      </c>
      <c r="X587" s="38"/>
      <c r="Y587" s="64" t="str">
        <f t="shared" si="136"/>
        <v/>
      </c>
      <c r="Z587" s="40"/>
    </row>
    <row r="588" spans="1:27" s="25" customFormat="1" ht="18" customHeight="1" x14ac:dyDescent="0.2">
      <c r="A588" s="279"/>
      <c r="B588" s="277"/>
      <c r="C588" s="277"/>
      <c r="D588" s="277"/>
      <c r="E588" s="277"/>
      <c r="F588" s="277"/>
      <c r="G588" s="277"/>
      <c r="H588" s="277"/>
      <c r="I588" s="277"/>
      <c r="J588" s="277"/>
      <c r="K588" s="277"/>
      <c r="L588" s="291"/>
      <c r="N588" s="35"/>
      <c r="O588" s="36" t="s">
        <v>50</v>
      </c>
      <c r="P588" s="36"/>
      <c r="Q588" s="36"/>
      <c r="R588" s="36">
        <v>0</v>
      </c>
      <c r="S588" s="27"/>
      <c r="T588" s="36" t="s">
        <v>50</v>
      </c>
      <c r="U588" s="64" t="str">
        <f>IF($J$1="September","",Y587)</f>
        <v/>
      </c>
      <c r="V588" s="38"/>
      <c r="W588" s="64" t="str">
        <f t="shared" si="135"/>
        <v/>
      </c>
      <c r="X588" s="38"/>
      <c r="Y588" s="64" t="str">
        <f t="shared" si="136"/>
        <v/>
      </c>
      <c r="Z588" s="40"/>
    </row>
    <row r="589" spans="1:27" s="25" customFormat="1" ht="18" customHeight="1" x14ac:dyDescent="0.2">
      <c r="A589" s="279"/>
      <c r="B589" s="404" t="s">
        <v>82</v>
      </c>
      <c r="C589" s="404"/>
      <c r="D589" s="404"/>
      <c r="E589" s="404"/>
      <c r="F589" s="404"/>
      <c r="G589" s="404"/>
      <c r="H589" s="404"/>
      <c r="I589" s="404"/>
      <c r="J589" s="404"/>
      <c r="K589" s="404"/>
      <c r="L589" s="291"/>
      <c r="N589" s="35"/>
      <c r="O589" s="36" t="s">
        <v>55</v>
      </c>
      <c r="P589" s="443"/>
      <c r="Q589" s="443"/>
      <c r="R589" s="36">
        <v>0</v>
      </c>
      <c r="S589" s="27"/>
      <c r="T589" s="36" t="s">
        <v>55</v>
      </c>
      <c r="U589" s="64" t="str">
        <f>IF($J$1="October","",Y588)</f>
        <v/>
      </c>
      <c r="V589" s="38"/>
      <c r="W589" s="64" t="str">
        <f t="shared" si="135"/>
        <v/>
      </c>
      <c r="X589" s="38"/>
      <c r="Y589" s="64" t="str">
        <f t="shared" si="136"/>
        <v/>
      </c>
      <c r="Z589" s="40"/>
    </row>
    <row r="590" spans="1:27" s="25" customFormat="1" ht="18" customHeight="1" x14ac:dyDescent="0.2">
      <c r="A590" s="279"/>
      <c r="B590" s="404"/>
      <c r="C590" s="404"/>
      <c r="D590" s="404"/>
      <c r="E590" s="404"/>
      <c r="F590" s="404"/>
      <c r="G590" s="404"/>
      <c r="H590" s="404"/>
      <c r="I590" s="404"/>
      <c r="J590" s="404"/>
      <c r="K590" s="404"/>
      <c r="L590" s="291"/>
      <c r="N590" s="35"/>
      <c r="O590" s="36" t="s">
        <v>56</v>
      </c>
      <c r="P590" s="36"/>
      <c r="Q590" s="36"/>
      <c r="R590" s="36">
        <v>0</v>
      </c>
      <c r="S590" s="27"/>
      <c r="T590" s="36" t="s">
        <v>56</v>
      </c>
      <c r="U590" s="64" t="str">
        <f>IF($J$1="November","",Y589)</f>
        <v/>
      </c>
      <c r="V590" s="38"/>
      <c r="W590" s="64" t="str">
        <f t="shared" si="135"/>
        <v/>
      </c>
      <c r="X590" s="38"/>
      <c r="Y590" s="64" t="str">
        <f t="shared" si="136"/>
        <v/>
      </c>
      <c r="Z590" s="40"/>
    </row>
    <row r="591" spans="1:27" s="25" customFormat="1" ht="18" customHeight="1" thickBot="1" x14ac:dyDescent="0.25">
      <c r="A591" s="305"/>
      <c r="B591" s="313"/>
      <c r="C591" s="313"/>
      <c r="D591" s="313"/>
      <c r="E591" s="313"/>
      <c r="F591" s="313"/>
      <c r="G591" s="313"/>
      <c r="H591" s="313"/>
      <c r="I591" s="313"/>
      <c r="J591" s="313"/>
      <c r="K591" s="313"/>
      <c r="L591" s="307"/>
      <c r="N591" s="41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3"/>
    </row>
    <row r="592" spans="1:27" s="25" customFormat="1" ht="18" customHeight="1" thickBot="1" x14ac:dyDescent="0.25">
      <c r="A592" s="305"/>
      <c r="B592" s="313"/>
      <c r="C592" s="313"/>
      <c r="D592" s="313"/>
      <c r="E592" s="313"/>
      <c r="F592" s="313"/>
      <c r="G592" s="313"/>
      <c r="H592" s="313"/>
      <c r="I592" s="313"/>
      <c r="J592" s="313"/>
      <c r="K592" s="313"/>
      <c r="L592" s="307"/>
      <c r="N592" s="35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4"/>
    </row>
    <row r="593" spans="1:27" s="25" customFormat="1" ht="18" customHeight="1" thickBot="1" x14ac:dyDescent="0.25">
      <c r="A593" s="390" t="s">
        <v>38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2"/>
      <c r="M593" s="24"/>
      <c r="N593" s="28"/>
      <c r="O593" s="385" t="s">
        <v>40</v>
      </c>
      <c r="P593" s="386"/>
      <c r="Q593" s="386"/>
      <c r="R593" s="387"/>
      <c r="S593" s="29"/>
      <c r="T593" s="385" t="s">
        <v>41</v>
      </c>
      <c r="U593" s="386"/>
      <c r="V593" s="386"/>
      <c r="W593" s="386"/>
      <c r="X593" s="386"/>
      <c r="Y593" s="387"/>
      <c r="Z593" s="30"/>
      <c r="AA593" s="24"/>
    </row>
    <row r="594" spans="1:27" s="25" customFormat="1" ht="18" customHeight="1" x14ac:dyDescent="0.2">
      <c r="A594" s="279"/>
      <c r="B594" s="277"/>
      <c r="C594" s="396" t="s">
        <v>212</v>
      </c>
      <c r="D594" s="396"/>
      <c r="E594" s="396"/>
      <c r="F594" s="396"/>
      <c r="G594" s="280" t="str">
        <f>$J$1</f>
        <v>January</v>
      </c>
      <c r="H594" s="399">
        <f>$K$1</f>
        <v>2024</v>
      </c>
      <c r="I594" s="399"/>
      <c r="J594" s="277"/>
      <c r="K594" s="281"/>
      <c r="L594" s="282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9"/>
      <c r="B595" s="277"/>
      <c r="C595" s="277"/>
      <c r="D595" s="283"/>
      <c r="E595" s="283"/>
      <c r="F595" s="283"/>
      <c r="G595" s="283"/>
      <c r="H595" s="283"/>
      <c r="I595" s="277"/>
      <c r="J595" s="284" t="s">
        <v>1</v>
      </c>
      <c r="K595" s="285">
        <v>35000</v>
      </c>
      <c r="L595" s="286"/>
      <c r="N595" s="35"/>
      <c r="O595" s="36" t="s">
        <v>43</v>
      </c>
      <c r="P595" s="36"/>
      <c r="Q595" s="36"/>
      <c r="R595" s="36"/>
      <c r="S595" s="37"/>
      <c r="T595" s="36" t="s">
        <v>43</v>
      </c>
      <c r="U595" s="38">
        <v>2000</v>
      </c>
      <c r="V595" s="38"/>
      <c r="W595" s="38">
        <f>V595+U595</f>
        <v>2000</v>
      </c>
      <c r="X595" s="38"/>
      <c r="Y595" s="38">
        <f>W595-X595</f>
        <v>2000</v>
      </c>
      <c r="Z595" s="34"/>
    </row>
    <row r="596" spans="1:27" s="25" customFormat="1" ht="18" customHeight="1" x14ac:dyDescent="0.2">
      <c r="A596" s="279"/>
      <c r="B596" s="277" t="s">
        <v>0</v>
      </c>
      <c r="C596" s="276" t="s">
        <v>200</v>
      </c>
      <c r="D596" s="277"/>
      <c r="E596" s="277"/>
      <c r="F596" s="277"/>
      <c r="G596" s="277"/>
      <c r="H596" s="287"/>
      <c r="I596" s="283"/>
      <c r="J596" s="277"/>
      <c r="K596" s="277"/>
      <c r="L596" s="288"/>
      <c r="M596" s="24"/>
      <c r="N596" s="39"/>
      <c r="O596" s="36" t="s">
        <v>69</v>
      </c>
      <c r="P596" s="36"/>
      <c r="Q596" s="36"/>
      <c r="R596" s="36" t="str">
        <f t="shared" ref="R596:R600" si="137">IF(Q596="","",R595-Q596)</f>
        <v/>
      </c>
      <c r="S596" s="27"/>
      <c r="T596" s="36" t="s">
        <v>69</v>
      </c>
      <c r="U596" s="64"/>
      <c r="V596" s="38"/>
      <c r="W596" s="64" t="str">
        <f>IF(U596="","",U596+V596)</f>
        <v/>
      </c>
      <c r="X596" s="38"/>
      <c r="Y596" s="64" t="str">
        <f>IF(W596="","",W596-X596)</f>
        <v/>
      </c>
      <c r="Z596" s="40"/>
      <c r="AA596" s="24"/>
    </row>
    <row r="597" spans="1:27" s="25" customFormat="1" ht="18" customHeight="1" x14ac:dyDescent="0.2">
      <c r="A597" s="279"/>
      <c r="B597" s="289" t="s">
        <v>39</v>
      </c>
      <c r="C597" s="317">
        <v>45150</v>
      </c>
      <c r="D597" s="277"/>
      <c r="E597" s="277"/>
      <c r="F597" s="393" t="s">
        <v>41</v>
      </c>
      <c r="G597" s="395"/>
      <c r="H597" s="277"/>
      <c r="I597" s="393" t="s">
        <v>42</v>
      </c>
      <c r="J597" s="394"/>
      <c r="K597" s="395"/>
      <c r="L597" s="291"/>
      <c r="N597" s="35"/>
      <c r="O597" s="36" t="s">
        <v>44</v>
      </c>
      <c r="P597" s="36"/>
      <c r="Q597" s="36"/>
      <c r="R597" s="36" t="str">
        <f t="shared" si="137"/>
        <v/>
      </c>
      <c r="S597" s="27"/>
      <c r="T597" s="36" t="s">
        <v>44</v>
      </c>
      <c r="U597" s="64" t="str">
        <f t="shared" ref="U597:U601" si="138">Y596</f>
        <v/>
      </c>
      <c r="V597" s="38"/>
      <c r="W597" s="64" t="str">
        <f t="shared" ref="W597:W606" si="139">IF(U597="","",U597+V597)</f>
        <v/>
      </c>
      <c r="X597" s="38"/>
      <c r="Y597" s="64" t="str">
        <f t="shared" ref="Y597:Y606" si="140">IF(W597="","",W597-X597)</f>
        <v/>
      </c>
      <c r="Z597" s="40"/>
    </row>
    <row r="598" spans="1:27" s="25" customFormat="1" ht="18" customHeight="1" x14ac:dyDescent="0.2">
      <c r="A598" s="279"/>
      <c r="B598" s="277"/>
      <c r="C598" s="277"/>
      <c r="D598" s="277"/>
      <c r="E598" s="277"/>
      <c r="F598" s="277"/>
      <c r="G598" s="277"/>
      <c r="H598" s="292"/>
      <c r="I598" s="277"/>
      <c r="J598" s="277"/>
      <c r="K598" s="277"/>
      <c r="L598" s="293"/>
      <c r="N598" s="35"/>
      <c r="O598" s="36" t="s">
        <v>45</v>
      </c>
      <c r="P598" s="36"/>
      <c r="Q598" s="36"/>
      <c r="R598" s="36" t="str">
        <f t="shared" si="137"/>
        <v/>
      </c>
      <c r="S598" s="27"/>
      <c r="T598" s="36" t="s">
        <v>45</v>
      </c>
      <c r="U598" s="64" t="str">
        <f t="shared" si="138"/>
        <v/>
      </c>
      <c r="V598" s="38"/>
      <c r="W598" s="64" t="str">
        <f t="shared" si="139"/>
        <v/>
      </c>
      <c r="X598" s="38"/>
      <c r="Y598" s="64" t="str">
        <f t="shared" si="140"/>
        <v/>
      </c>
      <c r="Z598" s="40"/>
    </row>
    <row r="599" spans="1:27" s="25" customFormat="1" ht="18" customHeight="1" x14ac:dyDescent="0.2">
      <c r="A599" s="279"/>
      <c r="B599" s="397" t="s">
        <v>40</v>
      </c>
      <c r="C599" s="398"/>
      <c r="D599" s="277"/>
      <c r="E599" s="277"/>
      <c r="F599" s="294" t="s">
        <v>62</v>
      </c>
      <c r="G599" s="29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2000</v>
      </c>
      <c r="H599" s="292"/>
      <c r="I599" s="296">
        <f>IF(C603&gt;=C602,$K$2,C601+C603)</f>
        <v>31</v>
      </c>
      <c r="J599" s="297" t="s">
        <v>59</v>
      </c>
      <c r="K599" s="298">
        <f>K595/$K$2*I599</f>
        <v>35000</v>
      </c>
      <c r="L599" s="299"/>
      <c r="N599" s="35"/>
      <c r="O599" s="36" t="s">
        <v>46</v>
      </c>
      <c r="P599" s="36"/>
      <c r="Q599" s="36"/>
      <c r="R599" s="36" t="str">
        <f t="shared" si="137"/>
        <v/>
      </c>
      <c r="S599" s="27"/>
      <c r="T599" s="36" t="s">
        <v>46</v>
      </c>
      <c r="U599" s="64" t="str">
        <f t="shared" si="138"/>
        <v/>
      </c>
      <c r="V599" s="38"/>
      <c r="W599" s="64" t="str">
        <f t="shared" si="139"/>
        <v/>
      </c>
      <c r="X599" s="38"/>
      <c r="Y599" s="64" t="str">
        <f t="shared" si="140"/>
        <v/>
      </c>
      <c r="Z599" s="40"/>
    </row>
    <row r="600" spans="1:27" s="25" customFormat="1" ht="18" customHeight="1" x14ac:dyDescent="0.2">
      <c r="A600" s="279"/>
      <c r="B600" s="300"/>
      <c r="C600" s="300"/>
      <c r="D600" s="277"/>
      <c r="E600" s="277"/>
      <c r="F600" s="294" t="s">
        <v>18</v>
      </c>
      <c r="G600" s="29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92"/>
      <c r="I600" s="296">
        <v>55</v>
      </c>
      <c r="J600" s="297" t="s">
        <v>60</v>
      </c>
      <c r="K600" s="301">
        <f>K595/$K$2/8*I600</f>
        <v>7762.0967741935483</v>
      </c>
      <c r="L600" s="302"/>
      <c r="N600" s="35"/>
      <c r="O600" s="36" t="s">
        <v>47</v>
      </c>
      <c r="P600" s="36"/>
      <c r="Q600" s="36"/>
      <c r="R600" s="36" t="str">
        <f t="shared" si="137"/>
        <v/>
      </c>
      <c r="S600" s="27"/>
      <c r="T600" s="36" t="s">
        <v>47</v>
      </c>
      <c r="U600" s="64" t="str">
        <f t="shared" si="138"/>
        <v/>
      </c>
      <c r="V600" s="38"/>
      <c r="W600" s="64" t="str">
        <f t="shared" si="139"/>
        <v/>
      </c>
      <c r="X600" s="38"/>
      <c r="Y600" s="64" t="str">
        <f t="shared" si="140"/>
        <v/>
      </c>
      <c r="Z600" s="40"/>
    </row>
    <row r="601" spans="1:27" s="25" customFormat="1" ht="18" customHeight="1" x14ac:dyDescent="0.2">
      <c r="A601" s="279"/>
      <c r="B601" s="294" t="s">
        <v>7</v>
      </c>
      <c r="C601" s="30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0</v>
      </c>
      <c r="D601" s="277"/>
      <c r="E601" s="277"/>
      <c r="F601" s="294" t="s">
        <v>63</v>
      </c>
      <c r="G601" s="29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2000</v>
      </c>
      <c r="H601" s="292"/>
      <c r="I601" s="388" t="s">
        <v>67</v>
      </c>
      <c r="J601" s="389"/>
      <c r="K601" s="301">
        <f>K599+K600</f>
        <v>42762.096774193546</v>
      </c>
      <c r="L601" s="302"/>
      <c r="N601" s="35"/>
      <c r="O601" s="36" t="s">
        <v>48</v>
      </c>
      <c r="P601" s="443"/>
      <c r="Q601" s="443"/>
      <c r="R601" s="36">
        <v>0</v>
      </c>
      <c r="S601" s="27"/>
      <c r="T601" s="36" t="s">
        <v>48</v>
      </c>
      <c r="U601" s="64" t="str">
        <f t="shared" si="138"/>
        <v/>
      </c>
      <c r="V601" s="38"/>
      <c r="W601" s="64" t="str">
        <f t="shared" si="139"/>
        <v/>
      </c>
      <c r="X601" s="38"/>
      <c r="Y601" s="64" t="str">
        <f t="shared" si="140"/>
        <v/>
      </c>
      <c r="Z601" s="40"/>
    </row>
    <row r="602" spans="1:27" s="25" customFormat="1" ht="18" customHeight="1" x14ac:dyDescent="0.2">
      <c r="A602" s="279"/>
      <c r="B602" s="294" t="s">
        <v>6</v>
      </c>
      <c r="C602" s="30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277"/>
      <c r="E602" s="277"/>
      <c r="F602" s="294" t="s">
        <v>19</v>
      </c>
      <c r="G602" s="29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292"/>
      <c r="I602" s="388" t="s">
        <v>68</v>
      </c>
      <c r="J602" s="389"/>
      <c r="K602" s="295">
        <f>G602</f>
        <v>0</v>
      </c>
      <c r="L602" s="303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4" t="str">
        <f>Y601</f>
        <v/>
      </c>
      <c r="V602" s="38"/>
      <c r="W602" s="64" t="str">
        <f t="shared" si="139"/>
        <v/>
      </c>
      <c r="X602" s="38"/>
      <c r="Y602" s="64" t="str">
        <f t="shared" si="140"/>
        <v/>
      </c>
      <c r="Z602" s="40"/>
    </row>
    <row r="603" spans="1:27" s="25" customFormat="1" ht="18" customHeight="1" x14ac:dyDescent="0.2">
      <c r="A603" s="279"/>
      <c r="B603" s="309" t="s">
        <v>66</v>
      </c>
      <c r="C603" s="300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7"/>
      <c r="E603" s="277"/>
      <c r="F603" s="309" t="s">
        <v>201</v>
      </c>
      <c r="G603" s="29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7"/>
      <c r="I603" s="393" t="s">
        <v>61</v>
      </c>
      <c r="J603" s="395"/>
      <c r="K603" s="234">
        <f>K601-K602</f>
        <v>42762.096774193546</v>
      </c>
      <c r="L603" s="304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4" t="str">
        <f>Y602</f>
        <v/>
      </c>
      <c r="V603" s="38"/>
      <c r="W603" s="64" t="str">
        <f t="shared" si="139"/>
        <v/>
      </c>
      <c r="X603" s="38"/>
      <c r="Y603" s="64" t="str">
        <f t="shared" si="140"/>
        <v/>
      </c>
      <c r="Z603" s="40"/>
    </row>
    <row r="604" spans="1:27" s="25" customFormat="1" ht="18" customHeight="1" x14ac:dyDescent="0.2">
      <c r="A604" s="279"/>
      <c r="B604" s="277"/>
      <c r="C604" s="277"/>
      <c r="D604" s="277"/>
      <c r="E604" s="277"/>
      <c r="F604" s="277"/>
      <c r="G604" s="277"/>
      <c r="H604" s="277"/>
      <c r="I604" s="277"/>
      <c r="J604" s="277"/>
      <c r="K604" s="277"/>
      <c r="L604" s="291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4" t="str">
        <f>Y603</f>
        <v/>
      </c>
      <c r="V604" s="38"/>
      <c r="W604" s="64" t="str">
        <f t="shared" si="139"/>
        <v/>
      </c>
      <c r="X604" s="38"/>
      <c r="Y604" s="64" t="str">
        <f t="shared" si="140"/>
        <v/>
      </c>
      <c r="Z604" s="40"/>
    </row>
    <row r="605" spans="1:27" s="25" customFormat="1" ht="18" customHeight="1" x14ac:dyDescent="0.3">
      <c r="A605" s="279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91"/>
      <c r="N605" s="35"/>
      <c r="O605" s="36" t="s">
        <v>55</v>
      </c>
      <c r="P605" s="36"/>
      <c r="Q605" s="36"/>
      <c r="R605" s="36">
        <v>0</v>
      </c>
      <c r="S605" s="27"/>
      <c r="T605" s="36" t="s">
        <v>55</v>
      </c>
      <c r="U605" s="64" t="str">
        <f>Y604</f>
        <v/>
      </c>
      <c r="V605" s="38"/>
      <c r="W605" s="64" t="str">
        <f t="shared" si="139"/>
        <v/>
      </c>
      <c r="X605" s="38"/>
      <c r="Y605" s="64" t="str">
        <f t="shared" si="140"/>
        <v/>
      </c>
      <c r="Z605" s="40"/>
    </row>
    <row r="606" spans="1:27" s="25" customFormat="1" ht="18" customHeight="1" thickBot="1" x14ac:dyDescent="0.35">
      <c r="A606" s="305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7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4" t="str">
        <f>Y605</f>
        <v/>
      </c>
      <c r="V606" s="38"/>
      <c r="W606" s="64" t="str">
        <f t="shared" si="139"/>
        <v/>
      </c>
      <c r="X606" s="38"/>
      <c r="Y606" s="64" t="str">
        <f t="shared" si="140"/>
        <v/>
      </c>
      <c r="Z606" s="40"/>
    </row>
    <row r="607" spans="1:27" s="57" customFormat="1" ht="18" customHeight="1" thickBot="1" x14ac:dyDescent="0.25">
      <c r="A607" s="308"/>
      <c r="B607" s="308"/>
      <c r="C607" s="308"/>
      <c r="D607" s="308"/>
      <c r="E607" s="308"/>
      <c r="F607" s="308"/>
      <c r="G607" s="308"/>
      <c r="H607" s="308"/>
      <c r="I607" s="308"/>
      <c r="J607" s="308"/>
      <c r="K607" s="308"/>
      <c r="L607" s="30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7" s="25" customFormat="1" ht="18" customHeight="1" thickBot="1" x14ac:dyDescent="0.25">
      <c r="A608" s="390" t="s">
        <v>38</v>
      </c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2"/>
      <c r="M608" s="24"/>
      <c r="N608" s="28"/>
      <c r="O608" s="385" t="s">
        <v>40</v>
      </c>
      <c r="P608" s="386"/>
      <c r="Q608" s="386"/>
      <c r="R608" s="387"/>
      <c r="S608" s="29"/>
      <c r="T608" s="385" t="s">
        <v>41</v>
      </c>
      <c r="U608" s="386"/>
      <c r="V608" s="386"/>
      <c r="W608" s="386"/>
      <c r="X608" s="386"/>
      <c r="Y608" s="387"/>
      <c r="Z608" s="30"/>
      <c r="AA608" s="24"/>
    </row>
    <row r="609" spans="1:27" s="25" customFormat="1" ht="18" customHeight="1" x14ac:dyDescent="0.2">
      <c r="A609" s="279"/>
      <c r="B609" s="277"/>
      <c r="C609" s="396" t="s">
        <v>212</v>
      </c>
      <c r="D609" s="396"/>
      <c r="E609" s="396"/>
      <c r="F609" s="396"/>
      <c r="G609" s="280" t="str">
        <f>$J$1</f>
        <v>January</v>
      </c>
      <c r="H609" s="399">
        <f>$K$1</f>
        <v>2024</v>
      </c>
      <c r="I609" s="399"/>
      <c r="J609" s="277"/>
      <c r="K609" s="281"/>
      <c r="L609" s="282"/>
      <c r="M609" s="26"/>
      <c r="N609" s="31"/>
      <c r="O609" s="32" t="s">
        <v>51</v>
      </c>
      <c r="P609" s="32" t="s">
        <v>7</v>
      </c>
      <c r="Q609" s="32" t="s">
        <v>6</v>
      </c>
      <c r="R609" s="32" t="s">
        <v>52</v>
      </c>
      <c r="S609" s="33"/>
      <c r="T609" s="32" t="s">
        <v>51</v>
      </c>
      <c r="U609" s="32" t="s">
        <v>53</v>
      </c>
      <c r="V609" s="32" t="s">
        <v>18</v>
      </c>
      <c r="W609" s="32" t="s">
        <v>17</v>
      </c>
      <c r="X609" s="32" t="s">
        <v>19</v>
      </c>
      <c r="Y609" s="32" t="s">
        <v>57</v>
      </c>
      <c r="Z609" s="34"/>
      <c r="AA609" s="26"/>
    </row>
    <row r="610" spans="1:27" s="25" customFormat="1" ht="18" customHeight="1" x14ac:dyDescent="0.2">
      <c r="A610" s="279"/>
      <c r="B610" s="277"/>
      <c r="C610" s="277"/>
      <c r="D610" s="283"/>
      <c r="E610" s="283"/>
      <c r="F610" s="283"/>
      <c r="G610" s="283"/>
      <c r="H610" s="283"/>
      <c r="I610" s="277"/>
      <c r="J610" s="284" t="s">
        <v>1</v>
      </c>
      <c r="K610" s="285">
        <v>30000</v>
      </c>
      <c r="L610" s="286"/>
      <c r="N610" s="35"/>
      <c r="O610" s="36" t="s">
        <v>43</v>
      </c>
      <c r="P610" s="36"/>
      <c r="Q610" s="36"/>
      <c r="R610" s="36">
        <v>0</v>
      </c>
      <c r="S610" s="37"/>
      <c r="T610" s="36" t="s">
        <v>43</v>
      </c>
      <c r="U610" s="38"/>
      <c r="V610" s="38"/>
      <c r="W610" s="38">
        <f>V610+U610</f>
        <v>0</v>
      </c>
      <c r="X610" s="38"/>
      <c r="Y610" s="38">
        <f>W610-X610</f>
        <v>0</v>
      </c>
      <c r="Z610" s="34"/>
    </row>
    <row r="611" spans="1:27" s="25" customFormat="1" ht="18" customHeight="1" x14ac:dyDescent="0.2">
      <c r="A611" s="279"/>
      <c r="B611" s="277" t="s">
        <v>0</v>
      </c>
      <c r="C611" s="276" t="s">
        <v>194</v>
      </c>
      <c r="D611" s="277"/>
      <c r="E611" s="277"/>
      <c r="F611" s="277"/>
      <c r="G611" s="277"/>
      <c r="H611" s="287"/>
      <c r="I611" s="283"/>
      <c r="J611" s="277"/>
      <c r="K611" s="277"/>
      <c r="L611" s="288"/>
      <c r="M611" s="24"/>
      <c r="N611" s="39"/>
      <c r="O611" s="36" t="s">
        <v>69</v>
      </c>
      <c r="P611" s="36"/>
      <c r="Q611" s="36"/>
      <c r="R611" s="36">
        <v>0</v>
      </c>
      <c r="S611" s="27"/>
      <c r="T611" s="36" t="s">
        <v>69</v>
      </c>
      <c r="U611" s="64">
        <f>Y610</f>
        <v>0</v>
      </c>
      <c r="V611" s="38"/>
      <c r="W611" s="64">
        <f>IF(U611="","",U611+V611)</f>
        <v>0</v>
      </c>
      <c r="X611" s="38"/>
      <c r="Y611" s="64">
        <f>IF(W611="","",W611-X611)</f>
        <v>0</v>
      </c>
      <c r="Z611" s="40"/>
      <c r="AA611" s="24"/>
    </row>
    <row r="612" spans="1:27" s="25" customFormat="1" ht="18" customHeight="1" x14ac:dyDescent="0.2">
      <c r="A612" s="279"/>
      <c r="B612" s="289" t="s">
        <v>39</v>
      </c>
      <c r="C612" s="290"/>
      <c r="D612" s="277"/>
      <c r="E612" s="277"/>
      <c r="F612" s="393" t="s">
        <v>41</v>
      </c>
      <c r="G612" s="395"/>
      <c r="H612" s="277"/>
      <c r="I612" s="393" t="s">
        <v>42</v>
      </c>
      <c r="J612" s="394"/>
      <c r="K612" s="395"/>
      <c r="L612" s="291"/>
      <c r="N612" s="35"/>
      <c r="O612" s="36" t="s">
        <v>44</v>
      </c>
      <c r="P612" s="36"/>
      <c r="Q612" s="36"/>
      <c r="R612" s="36">
        <v>0</v>
      </c>
      <c r="S612" s="27"/>
      <c r="T612" s="36" t="s">
        <v>44</v>
      </c>
      <c r="U612" s="64">
        <f>Y611</f>
        <v>0</v>
      </c>
      <c r="V612" s="38"/>
      <c r="W612" s="64">
        <f t="shared" ref="W612:W614" si="141">IF(U612="","",U612+V612)</f>
        <v>0</v>
      </c>
      <c r="X612" s="38"/>
      <c r="Y612" s="64">
        <f t="shared" ref="Y612:Y614" si="142">IF(W612="","",W612-X612)</f>
        <v>0</v>
      </c>
      <c r="Z612" s="40"/>
    </row>
    <row r="613" spans="1:27" s="25" customFormat="1" ht="18" customHeight="1" x14ac:dyDescent="0.2">
      <c r="A613" s="279"/>
      <c r="B613" s="277"/>
      <c r="C613" s="277"/>
      <c r="D613" s="277"/>
      <c r="E613" s="277"/>
      <c r="F613" s="277"/>
      <c r="G613" s="277"/>
      <c r="H613" s="292"/>
      <c r="I613" s="277"/>
      <c r="J613" s="277"/>
      <c r="K613" s="277"/>
      <c r="L613" s="293"/>
      <c r="N613" s="35"/>
      <c r="O613" s="36" t="s">
        <v>45</v>
      </c>
      <c r="P613" s="443"/>
      <c r="Q613" s="443"/>
      <c r="R613" s="36">
        <v>0</v>
      </c>
      <c r="S613" s="27"/>
      <c r="T613" s="36" t="s">
        <v>45</v>
      </c>
      <c r="U613" s="64">
        <f>IF($J$1="March","",Y612)</f>
        <v>0</v>
      </c>
      <c r="V613" s="38"/>
      <c r="W613" s="64">
        <f t="shared" si="141"/>
        <v>0</v>
      </c>
      <c r="X613" s="38"/>
      <c r="Y613" s="64">
        <f t="shared" si="142"/>
        <v>0</v>
      </c>
      <c r="Z613" s="40"/>
    </row>
    <row r="614" spans="1:27" s="25" customFormat="1" ht="18" customHeight="1" x14ac:dyDescent="0.2">
      <c r="A614" s="279"/>
      <c r="B614" s="397" t="s">
        <v>40</v>
      </c>
      <c r="C614" s="398"/>
      <c r="D614" s="277"/>
      <c r="E614" s="277"/>
      <c r="F614" s="294" t="s">
        <v>62</v>
      </c>
      <c r="G614" s="29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292"/>
      <c r="I614" s="296">
        <f>IF(C618&gt;=C617,$K$2,C616+C618)</f>
        <v>31</v>
      </c>
      <c r="J614" s="297" t="s">
        <v>59</v>
      </c>
      <c r="K614" s="298">
        <f>K610/$K$2*I614</f>
        <v>30000</v>
      </c>
      <c r="L614" s="299"/>
      <c r="N614" s="35"/>
      <c r="O614" s="36" t="s">
        <v>46</v>
      </c>
      <c r="P614" s="36"/>
      <c r="Q614" s="36"/>
      <c r="R614" s="36">
        <v>0</v>
      </c>
      <c r="S614" s="27"/>
      <c r="T614" s="36" t="s">
        <v>46</v>
      </c>
      <c r="U614" s="64">
        <f t="shared" ref="U614:U620" si="143">Y613</f>
        <v>0</v>
      </c>
      <c r="V614" s="38"/>
      <c r="W614" s="64">
        <f t="shared" si="141"/>
        <v>0</v>
      </c>
      <c r="X614" s="38"/>
      <c r="Y614" s="64">
        <f t="shared" si="142"/>
        <v>0</v>
      </c>
      <c r="Z614" s="40"/>
    </row>
    <row r="615" spans="1:27" s="25" customFormat="1" ht="18" customHeight="1" x14ac:dyDescent="0.2">
      <c r="A615" s="279"/>
      <c r="B615" s="300"/>
      <c r="C615" s="300"/>
      <c r="D615" s="277"/>
      <c r="E615" s="277"/>
      <c r="F615" s="294" t="s">
        <v>18</v>
      </c>
      <c r="G615" s="29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292"/>
      <c r="I615" s="296">
        <v>11</v>
      </c>
      <c r="J615" s="297" t="s">
        <v>60</v>
      </c>
      <c r="K615" s="301">
        <f>K610/$K$2/8*I615</f>
        <v>1330.6451612903227</v>
      </c>
      <c r="L615" s="302"/>
      <c r="N615" s="35"/>
      <c r="O615" s="36" t="s">
        <v>47</v>
      </c>
      <c r="P615" s="36"/>
      <c r="Q615" s="36"/>
      <c r="R615" s="36">
        <v>0</v>
      </c>
      <c r="S615" s="27"/>
      <c r="T615" s="36" t="s">
        <v>47</v>
      </c>
      <c r="U615" s="64">
        <f t="shared" si="143"/>
        <v>0</v>
      </c>
      <c r="V615" s="38"/>
      <c r="W615" s="64">
        <f t="shared" ref="W615:W621" si="144">IF(U615="","",U615+V615)</f>
        <v>0</v>
      </c>
      <c r="X615" s="120"/>
      <c r="Y615" s="64">
        <f t="shared" ref="Y615:Y621" si="145">IF(W615="","",W615-X615)</f>
        <v>0</v>
      </c>
      <c r="Z615" s="40"/>
    </row>
    <row r="616" spans="1:27" s="25" customFormat="1" ht="18" customHeight="1" x14ac:dyDescent="0.2">
      <c r="A616" s="279"/>
      <c r="B616" s="294" t="s">
        <v>7</v>
      </c>
      <c r="C616" s="30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277"/>
      <c r="E616" s="277"/>
      <c r="F616" s="294" t="s">
        <v>63</v>
      </c>
      <c r="G616" s="29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292"/>
      <c r="I616" s="388" t="s">
        <v>67</v>
      </c>
      <c r="J616" s="389"/>
      <c r="K616" s="301">
        <f>K614+K615</f>
        <v>31330.645161290322</v>
      </c>
      <c r="L616" s="302"/>
      <c r="N616" s="35"/>
      <c r="O616" s="36" t="s">
        <v>48</v>
      </c>
      <c r="P616" s="36"/>
      <c r="Q616" s="36"/>
      <c r="R616" s="36">
        <v>0</v>
      </c>
      <c r="S616" s="27"/>
      <c r="T616" s="36" t="s">
        <v>48</v>
      </c>
      <c r="U616" s="64">
        <f t="shared" si="143"/>
        <v>0</v>
      </c>
      <c r="V616" s="38"/>
      <c r="W616" s="64">
        <f t="shared" si="144"/>
        <v>0</v>
      </c>
      <c r="X616" s="120"/>
      <c r="Y616" s="64">
        <f t="shared" si="145"/>
        <v>0</v>
      </c>
      <c r="Z616" s="40"/>
    </row>
    <row r="617" spans="1:27" s="25" customFormat="1" ht="18" customHeight="1" x14ac:dyDescent="0.2">
      <c r="A617" s="279"/>
      <c r="B617" s="294" t="s">
        <v>6</v>
      </c>
      <c r="C617" s="30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277"/>
      <c r="E617" s="277"/>
      <c r="F617" s="294" t="s">
        <v>19</v>
      </c>
      <c r="G617" s="29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292"/>
      <c r="I617" s="388" t="s">
        <v>68</v>
      </c>
      <c r="J617" s="389"/>
      <c r="K617" s="295">
        <f>G617</f>
        <v>0</v>
      </c>
      <c r="L617" s="303"/>
      <c r="N617" s="35"/>
      <c r="O617" s="36" t="s">
        <v>49</v>
      </c>
      <c r="P617" s="36"/>
      <c r="Q617" s="36"/>
      <c r="R617" s="36">
        <v>0</v>
      </c>
      <c r="S617" s="27"/>
      <c r="T617" s="36" t="s">
        <v>49</v>
      </c>
      <c r="U617" s="64">
        <f t="shared" si="143"/>
        <v>0</v>
      </c>
      <c r="V617" s="38"/>
      <c r="W617" s="64">
        <f t="shared" si="144"/>
        <v>0</v>
      </c>
      <c r="X617" s="120"/>
      <c r="Y617" s="64">
        <f t="shared" si="145"/>
        <v>0</v>
      </c>
      <c r="Z617" s="40"/>
    </row>
    <row r="618" spans="1:27" s="25" customFormat="1" ht="18" customHeight="1" x14ac:dyDescent="0.2">
      <c r="A618" s="279"/>
      <c r="B618" s="309" t="s">
        <v>66</v>
      </c>
      <c r="C618" s="300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277"/>
      <c r="E618" s="277"/>
      <c r="F618" s="309" t="s">
        <v>201</v>
      </c>
      <c r="G618" s="29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277"/>
      <c r="I618" s="393" t="s">
        <v>61</v>
      </c>
      <c r="J618" s="395"/>
      <c r="K618" s="234">
        <f>K616-K617</f>
        <v>31330.645161290322</v>
      </c>
      <c r="L618" s="304"/>
      <c r="N618" s="35"/>
      <c r="O618" s="36" t="s">
        <v>54</v>
      </c>
      <c r="P618" s="36"/>
      <c r="Q618" s="36"/>
      <c r="R618" s="36">
        <v>0</v>
      </c>
      <c r="S618" s="27"/>
      <c r="T618" s="36" t="s">
        <v>54</v>
      </c>
      <c r="U618" s="64">
        <f t="shared" si="143"/>
        <v>0</v>
      </c>
      <c r="V618" s="38"/>
      <c r="W618" s="64">
        <f t="shared" si="144"/>
        <v>0</v>
      </c>
      <c r="X618" s="38"/>
      <c r="Y618" s="64">
        <f t="shared" si="145"/>
        <v>0</v>
      </c>
      <c r="Z618" s="40"/>
    </row>
    <row r="619" spans="1:27" s="25" customFormat="1" ht="18" customHeight="1" x14ac:dyDescent="0.2">
      <c r="A619" s="279"/>
      <c r="B619" s="277"/>
      <c r="C619" s="277"/>
      <c r="D619" s="277"/>
      <c r="E619" s="277"/>
      <c r="F619" s="277"/>
      <c r="G619" s="277"/>
      <c r="H619" s="277"/>
      <c r="I619" s="277"/>
      <c r="J619" s="277"/>
      <c r="K619" s="277"/>
      <c r="L619" s="291"/>
      <c r="N619" s="35"/>
      <c r="O619" s="36" t="s">
        <v>50</v>
      </c>
      <c r="P619" s="36"/>
      <c r="Q619" s="36"/>
      <c r="R619" s="36">
        <v>0</v>
      </c>
      <c r="S619" s="27"/>
      <c r="T619" s="36" t="s">
        <v>50</v>
      </c>
      <c r="U619" s="64">
        <f t="shared" si="143"/>
        <v>0</v>
      </c>
      <c r="V619" s="38"/>
      <c r="W619" s="64">
        <f t="shared" si="144"/>
        <v>0</v>
      </c>
      <c r="X619" s="38"/>
      <c r="Y619" s="64">
        <f t="shared" si="145"/>
        <v>0</v>
      </c>
      <c r="Z619" s="40"/>
    </row>
    <row r="620" spans="1:27" s="25" customFormat="1" ht="18" customHeight="1" x14ac:dyDescent="0.3">
      <c r="A620" s="279"/>
      <c r="B620" s="275"/>
      <c r="C620" s="275"/>
      <c r="D620" s="275"/>
      <c r="E620" s="275"/>
      <c r="F620" s="275"/>
      <c r="G620" s="275"/>
      <c r="H620" s="275"/>
      <c r="I620" s="275"/>
      <c r="J620" s="275"/>
      <c r="K620" s="275"/>
      <c r="L620" s="291"/>
      <c r="N620" s="35"/>
      <c r="O620" s="36" t="s">
        <v>55</v>
      </c>
      <c r="P620" s="36"/>
      <c r="Q620" s="36"/>
      <c r="R620" s="36">
        <v>0</v>
      </c>
      <c r="S620" s="27"/>
      <c r="T620" s="36" t="s">
        <v>55</v>
      </c>
      <c r="U620" s="64">
        <f t="shared" si="143"/>
        <v>0</v>
      </c>
      <c r="V620" s="38"/>
      <c r="W620" s="64">
        <f t="shared" si="144"/>
        <v>0</v>
      </c>
      <c r="X620" s="38"/>
      <c r="Y620" s="64">
        <f t="shared" si="145"/>
        <v>0</v>
      </c>
      <c r="Z620" s="40"/>
    </row>
    <row r="621" spans="1:27" s="25" customFormat="1" ht="18" customHeight="1" thickBot="1" x14ac:dyDescent="0.35">
      <c r="A621" s="305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7"/>
      <c r="N621" s="35"/>
      <c r="O621" s="36" t="s">
        <v>56</v>
      </c>
      <c r="P621" s="36"/>
      <c r="Q621" s="36"/>
      <c r="R621" s="36">
        <v>0</v>
      </c>
      <c r="S621" s="27"/>
      <c r="T621" s="36" t="s">
        <v>56</v>
      </c>
      <c r="U621" s="64">
        <v>0</v>
      </c>
      <c r="V621" s="38"/>
      <c r="W621" s="64">
        <f t="shared" si="144"/>
        <v>0</v>
      </c>
      <c r="X621" s="38"/>
      <c r="Y621" s="64">
        <f t="shared" si="145"/>
        <v>0</v>
      </c>
      <c r="Z621" s="40"/>
    </row>
    <row r="622" spans="1:27" s="57" customFormat="1" ht="18" customHeight="1" thickBot="1" x14ac:dyDescent="0.25">
      <c r="A622" s="308"/>
      <c r="B622" s="308"/>
      <c r="C622" s="308"/>
      <c r="D622" s="308"/>
      <c r="E622" s="308"/>
      <c r="F622" s="308"/>
      <c r="G622" s="308"/>
      <c r="H622" s="308"/>
      <c r="I622" s="308"/>
      <c r="J622" s="308"/>
      <c r="K622" s="308"/>
      <c r="L622" s="30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7" s="25" customFormat="1" ht="18" customHeight="1" x14ac:dyDescent="0.2">
      <c r="A623" s="405" t="s">
        <v>38</v>
      </c>
      <c r="B623" s="406"/>
      <c r="C623" s="406"/>
      <c r="D623" s="406"/>
      <c r="E623" s="406"/>
      <c r="F623" s="406"/>
      <c r="G623" s="406"/>
      <c r="H623" s="406"/>
      <c r="I623" s="406"/>
      <c r="J623" s="406"/>
      <c r="K623" s="406"/>
      <c r="L623" s="407"/>
      <c r="M623" s="24"/>
      <c r="N623" s="28"/>
      <c r="O623" s="385" t="s">
        <v>40</v>
      </c>
      <c r="P623" s="386"/>
      <c r="Q623" s="386"/>
      <c r="R623" s="387"/>
      <c r="S623" s="29"/>
      <c r="T623" s="385" t="s">
        <v>41</v>
      </c>
      <c r="U623" s="386"/>
      <c r="V623" s="386"/>
      <c r="W623" s="386"/>
      <c r="X623" s="386"/>
      <c r="Y623" s="387"/>
      <c r="Z623" s="27"/>
    </row>
    <row r="624" spans="1:27" s="25" customFormat="1" ht="18" customHeight="1" x14ac:dyDescent="0.2">
      <c r="A624" s="279"/>
      <c r="B624" s="277"/>
      <c r="C624" s="396" t="s">
        <v>212</v>
      </c>
      <c r="D624" s="396"/>
      <c r="E624" s="396"/>
      <c r="F624" s="396"/>
      <c r="G624" s="280" t="str">
        <f>$J$1</f>
        <v>January</v>
      </c>
      <c r="H624" s="399">
        <f>$K$1</f>
        <v>2024</v>
      </c>
      <c r="I624" s="399"/>
      <c r="J624" s="277"/>
      <c r="K624" s="281"/>
      <c r="L624" s="282"/>
      <c r="M624" s="26"/>
      <c r="N624" s="31"/>
      <c r="O624" s="32" t="s">
        <v>51</v>
      </c>
      <c r="P624" s="32" t="s">
        <v>7</v>
      </c>
      <c r="Q624" s="32" t="s">
        <v>6</v>
      </c>
      <c r="R624" s="32" t="s">
        <v>52</v>
      </c>
      <c r="S624" s="33"/>
      <c r="T624" s="32" t="s">
        <v>51</v>
      </c>
      <c r="U624" s="32" t="s">
        <v>53</v>
      </c>
      <c r="V624" s="32" t="s">
        <v>18</v>
      </c>
      <c r="W624" s="32" t="s">
        <v>17</v>
      </c>
      <c r="X624" s="32" t="s">
        <v>19</v>
      </c>
      <c r="Y624" s="32" t="s">
        <v>57</v>
      </c>
      <c r="Z624" s="27"/>
    </row>
    <row r="625" spans="1:26" s="25" customFormat="1" ht="18" customHeight="1" x14ac:dyDescent="0.2">
      <c r="A625" s="279"/>
      <c r="B625" s="277"/>
      <c r="C625" s="277"/>
      <c r="D625" s="283"/>
      <c r="E625" s="283"/>
      <c r="F625" s="283"/>
      <c r="G625" s="283"/>
      <c r="H625" s="283"/>
      <c r="I625" s="277"/>
      <c r="J625" s="284" t="s">
        <v>1</v>
      </c>
      <c r="K625" s="285">
        <v>35000</v>
      </c>
      <c r="L625" s="286"/>
      <c r="N625" s="35"/>
      <c r="O625" s="36" t="s">
        <v>43</v>
      </c>
      <c r="P625" s="36"/>
      <c r="Q625" s="36"/>
      <c r="R625" s="36">
        <v>0</v>
      </c>
      <c r="S625" s="37"/>
      <c r="T625" s="36" t="s">
        <v>43</v>
      </c>
      <c r="U625" s="38"/>
      <c r="V625" s="38"/>
      <c r="W625" s="38">
        <f>V625+U625</f>
        <v>0</v>
      </c>
      <c r="X625" s="38"/>
      <c r="Y625" s="38">
        <f>W625-X625</f>
        <v>0</v>
      </c>
      <c r="Z625" s="27"/>
    </row>
    <row r="626" spans="1:26" s="25" customFormat="1" ht="18" customHeight="1" x14ac:dyDescent="0.2">
      <c r="A626" s="279"/>
      <c r="B626" s="277" t="s">
        <v>0</v>
      </c>
      <c r="C626" s="276" t="s">
        <v>202</v>
      </c>
      <c r="D626" s="277"/>
      <c r="E626" s="277"/>
      <c r="F626" s="277"/>
      <c r="G626" s="277"/>
      <c r="H626" s="287"/>
      <c r="I626" s="283"/>
      <c r="J626" s="277"/>
      <c r="K626" s="277"/>
      <c r="L626" s="288"/>
      <c r="M626" s="24"/>
      <c r="N626" s="39"/>
      <c r="O626" s="36" t="s">
        <v>69</v>
      </c>
      <c r="P626" s="36"/>
      <c r="Q626" s="36"/>
      <c r="R626" s="36">
        <v>0</v>
      </c>
      <c r="S626" s="27"/>
      <c r="T626" s="36" t="s">
        <v>69</v>
      </c>
      <c r="U626" s="64">
        <f>Y625</f>
        <v>0</v>
      </c>
      <c r="V626" s="38"/>
      <c r="W626" s="64">
        <f>IF(U626="","",U626+V626)</f>
        <v>0</v>
      </c>
      <c r="X626" s="38"/>
      <c r="Y626" s="64">
        <f>IF(W626="","",W626-X626)</f>
        <v>0</v>
      </c>
      <c r="Z626" s="27"/>
    </row>
    <row r="627" spans="1:26" s="25" customFormat="1" ht="18" customHeight="1" x14ac:dyDescent="0.2">
      <c r="A627" s="279"/>
      <c r="B627" s="289" t="s">
        <v>39</v>
      </c>
      <c r="C627" s="317">
        <v>45156</v>
      </c>
      <c r="D627" s="277"/>
      <c r="E627" s="277"/>
      <c r="F627" s="403" t="s">
        <v>41</v>
      </c>
      <c r="G627" s="403"/>
      <c r="H627" s="277"/>
      <c r="I627" s="403" t="s">
        <v>42</v>
      </c>
      <c r="J627" s="403"/>
      <c r="K627" s="403"/>
      <c r="L627" s="291"/>
      <c r="N627" s="35"/>
      <c r="O627" s="36" t="s">
        <v>44</v>
      </c>
      <c r="P627" s="36"/>
      <c r="Q627" s="36"/>
      <c r="R627" s="36">
        <v>0</v>
      </c>
      <c r="S627" s="27"/>
      <c r="T627" s="36" t="s">
        <v>44</v>
      </c>
      <c r="U627" s="64">
        <f>Y626</f>
        <v>0</v>
      </c>
      <c r="V627" s="38"/>
      <c r="W627" s="64">
        <f t="shared" ref="W627:W633" si="146">IF(U627="","",U627+V627)</f>
        <v>0</v>
      </c>
      <c r="X627" s="38"/>
      <c r="Y627" s="64">
        <f t="shared" ref="Y627:Y633" si="147">IF(W627="","",W627-X627)</f>
        <v>0</v>
      </c>
      <c r="Z627" s="27"/>
    </row>
    <row r="628" spans="1:26" s="25" customFormat="1" ht="18" customHeight="1" x14ac:dyDescent="0.2">
      <c r="A628" s="279"/>
      <c r="B628" s="277"/>
      <c r="C628" s="277"/>
      <c r="D628" s="277"/>
      <c r="E628" s="277"/>
      <c r="F628" s="277"/>
      <c r="G628" s="277"/>
      <c r="H628" s="292"/>
      <c r="I628" s="277"/>
      <c r="J628" s="277"/>
      <c r="K628" s="277"/>
      <c r="L628" s="293"/>
      <c r="N628" s="35"/>
      <c r="O628" s="36" t="s">
        <v>45</v>
      </c>
      <c r="P628" s="36"/>
      <c r="Q628" s="36"/>
      <c r="R628" s="36">
        <v>0</v>
      </c>
      <c r="S628" s="27"/>
      <c r="T628" s="36" t="s">
        <v>45</v>
      </c>
      <c r="U628" s="64">
        <f>IF($J$1="March","",Y627)</f>
        <v>0</v>
      </c>
      <c r="V628" s="38"/>
      <c r="W628" s="64">
        <f t="shared" si="146"/>
        <v>0</v>
      </c>
      <c r="X628" s="38"/>
      <c r="Y628" s="64">
        <f t="shared" si="147"/>
        <v>0</v>
      </c>
      <c r="Z628" s="27"/>
    </row>
    <row r="629" spans="1:26" s="25" customFormat="1" ht="18" customHeight="1" x14ac:dyDescent="0.2">
      <c r="A629" s="279"/>
      <c r="B629" s="397" t="s">
        <v>40</v>
      </c>
      <c r="C629" s="398"/>
      <c r="D629" s="277"/>
      <c r="E629" s="277"/>
      <c r="F629" s="294" t="s">
        <v>62</v>
      </c>
      <c r="G629" s="29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292"/>
      <c r="I629" s="296">
        <f>IF(C633&gt;0,$K$2,C631)</f>
        <v>0</v>
      </c>
      <c r="J629" s="297" t="s">
        <v>59</v>
      </c>
      <c r="K629" s="298">
        <f>K625/$K$2*I629</f>
        <v>0</v>
      </c>
      <c r="L629" s="299"/>
      <c r="N629" s="35"/>
      <c r="O629" s="36" t="s">
        <v>46</v>
      </c>
      <c r="P629" s="36"/>
      <c r="Q629" s="36"/>
      <c r="R629" s="36">
        <v>0</v>
      </c>
      <c r="S629" s="27"/>
      <c r="T629" s="36" t="s">
        <v>46</v>
      </c>
      <c r="U629" s="64">
        <f>Y628</f>
        <v>0</v>
      </c>
      <c r="V629" s="38"/>
      <c r="W629" s="64">
        <f t="shared" si="146"/>
        <v>0</v>
      </c>
      <c r="X629" s="38"/>
      <c r="Y629" s="64">
        <f t="shared" si="147"/>
        <v>0</v>
      </c>
      <c r="Z629" s="27"/>
    </row>
    <row r="630" spans="1:26" s="25" customFormat="1" ht="18" customHeight="1" x14ac:dyDescent="0.2">
      <c r="A630" s="279"/>
      <c r="B630" s="300"/>
      <c r="C630" s="300"/>
      <c r="D630" s="277"/>
      <c r="E630" s="277"/>
      <c r="F630" s="294" t="s">
        <v>18</v>
      </c>
      <c r="G630" s="29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292"/>
      <c r="I630" s="296">
        <v>115</v>
      </c>
      <c r="J630" s="297" t="s">
        <v>60</v>
      </c>
      <c r="K630" s="301">
        <f>K625/$K$2/8*I630</f>
        <v>16229.838709677419</v>
      </c>
      <c r="L630" s="302"/>
      <c r="N630" s="35"/>
      <c r="O630" s="36" t="s">
        <v>47</v>
      </c>
      <c r="P630" s="36"/>
      <c r="Q630" s="36"/>
      <c r="R630" s="36">
        <v>0</v>
      </c>
      <c r="S630" s="27"/>
      <c r="T630" s="36" t="s">
        <v>47</v>
      </c>
      <c r="U630" s="64">
        <f>Y629</f>
        <v>0</v>
      </c>
      <c r="V630" s="38"/>
      <c r="W630" s="64">
        <f t="shared" si="146"/>
        <v>0</v>
      </c>
      <c r="X630" s="120"/>
      <c r="Y630" s="64">
        <f t="shared" si="147"/>
        <v>0</v>
      </c>
      <c r="Z630" s="27"/>
    </row>
    <row r="631" spans="1:26" s="25" customFormat="1" ht="18" customHeight="1" x14ac:dyDescent="0.2">
      <c r="A631" s="279"/>
      <c r="B631" s="294" t="s">
        <v>7</v>
      </c>
      <c r="C631" s="30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0</v>
      </c>
      <c r="D631" s="277"/>
      <c r="E631" s="277"/>
      <c r="F631" s="294" t="s">
        <v>63</v>
      </c>
      <c r="G631" s="29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292"/>
      <c r="I631" s="388" t="s">
        <v>67</v>
      </c>
      <c r="J631" s="389"/>
      <c r="K631" s="301">
        <f>K629+K630</f>
        <v>16229.838709677419</v>
      </c>
      <c r="L631" s="302"/>
      <c r="N631" s="35"/>
      <c r="O631" s="36" t="s">
        <v>48</v>
      </c>
      <c r="P631" s="443"/>
      <c r="Q631" s="443"/>
      <c r="R631" s="36">
        <v>0</v>
      </c>
      <c r="S631" s="27"/>
      <c r="T631" s="36" t="s">
        <v>48</v>
      </c>
      <c r="U631" s="64">
        <f>Y630</f>
        <v>0</v>
      </c>
      <c r="V631" s="38"/>
      <c r="W631" s="64">
        <f t="shared" si="146"/>
        <v>0</v>
      </c>
      <c r="X631" s="120"/>
      <c r="Y631" s="64">
        <f t="shared" si="147"/>
        <v>0</v>
      </c>
      <c r="Z631" s="27"/>
    </row>
    <row r="632" spans="1:26" s="25" customFormat="1" ht="18" customHeight="1" x14ac:dyDescent="0.2">
      <c r="A632" s="279"/>
      <c r="B632" s="294" t="s">
        <v>6</v>
      </c>
      <c r="C632" s="30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277"/>
      <c r="E632" s="277"/>
      <c r="F632" s="294" t="s">
        <v>19</v>
      </c>
      <c r="G632" s="29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292"/>
      <c r="I632" s="388" t="s">
        <v>68</v>
      </c>
      <c r="J632" s="389"/>
      <c r="K632" s="295">
        <f>G632</f>
        <v>0</v>
      </c>
      <c r="L632" s="303"/>
      <c r="N632" s="35"/>
      <c r="O632" s="36" t="s">
        <v>49</v>
      </c>
      <c r="P632" s="36"/>
      <c r="Q632" s="36"/>
      <c r="R632" s="36">
        <v>0</v>
      </c>
      <c r="S632" s="27"/>
      <c r="T632" s="36" t="s">
        <v>49</v>
      </c>
      <c r="U632" s="64">
        <f>Y631</f>
        <v>0</v>
      </c>
      <c r="V632" s="38"/>
      <c r="W632" s="64">
        <f t="shared" si="146"/>
        <v>0</v>
      </c>
      <c r="X632" s="120"/>
      <c r="Y632" s="64">
        <f t="shared" si="147"/>
        <v>0</v>
      </c>
      <c r="Z632" s="27"/>
    </row>
    <row r="633" spans="1:26" s="25" customFormat="1" ht="18" customHeight="1" x14ac:dyDescent="0.2">
      <c r="A633" s="279"/>
      <c r="B633" s="312" t="s">
        <v>66</v>
      </c>
      <c r="C633" s="300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277"/>
      <c r="E633" s="277"/>
      <c r="F633" s="294" t="s">
        <v>65</v>
      </c>
      <c r="G633" s="29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277"/>
      <c r="I633" s="393" t="s">
        <v>61</v>
      </c>
      <c r="J633" s="395"/>
      <c r="K633" s="234">
        <f>K631-K632</f>
        <v>16229.838709677419</v>
      </c>
      <c r="L633" s="304"/>
      <c r="N633" s="35"/>
      <c r="O633" s="36" t="s">
        <v>54</v>
      </c>
      <c r="P633" s="36"/>
      <c r="Q633" s="36"/>
      <c r="R633" s="36" t="str">
        <f t="shared" ref="R633:R634" si="148">IF(Q633="","",R632-Q633)</f>
        <v/>
      </c>
      <c r="S633" s="27"/>
      <c r="T633" s="36" t="s">
        <v>54</v>
      </c>
      <c r="U633" s="64">
        <f>Y632</f>
        <v>0</v>
      </c>
      <c r="V633" s="38"/>
      <c r="W633" s="64">
        <f t="shared" si="146"/>
        <v>0</v>
      </c>
      <c r="X633" s="38"/>
      <c r="Y633" s="64">
        <f t="shared" si="147"/>
        <v>0</v>
      </c>
      <c r="Z633" s="27"/>
    </row>
    <row r="634" spans="1:26" s="25" customFormat="1" ht="18" customHeight="1" x14ac:dyDescent="0.2">
      <c r="A634" s="279"/>
      <c r="B634" s="277"/>
      <c r="C634" s="277"/>
      <c r="D634" s="277"/>
      <c r="E634" s="277"/>
      <c r="F634" s="277"/>
      <c r="G634" s="277"/>
      <c r="H634" s="277"/>
      <c r="I634" s="277"/>
      <c r="J634" s="277"/>
      <c r="K634" s="311"/>
      <c r="L634" s="291"/>
      <c r="N634" s="35"/>
      <c r="O634" s="36" t="s">
        <v>50</v>
      </c>
      <c r="P634" s="36"/>
      <c r="Q634" s="36"/>
      <c r="R634" s="36" t="str">
        <f t="shared" si="148"/>
        <v/>
      </c>
      <c r="S634" s="27"/>
      <c r="T634" s="36" t="s">
        <v>50</v>
      </c>
      <c r="U634" s="64" t="str">
        <f>IF($J$1="October",Y633,"")</f>
        <v/>
      </c>
      <c r="V634" s="38"/>
      <c r="W634" s="64"/>
      <c r="X634" s="38"/>
      <c r="Y634" s="64"/>
      <c r="Z634" s="27"/>
    </row>
    <row r="635" spans="1:26" s="25" customFormat="1" ht="18" customHeight="1" x14ac:dyDescent="0.2">
      <c r="A635" s="279"/>
      <c r="B635" s="404"/>
      <c r="C635" s="404"/>
      <c r="D635" s="404"/>
      <c r="E635" s="404"/>
      <c r="F635" s="404"/>
      <c r="G635" s="404"/>
      <c r="H635" s="404"/>
      <c r="I635" s="404"/>
      <c r="J635" s="404"/>
      <c r="K635" s="404"/>
      <c r="L635" s="291"/>
      <c r="N635" s="35"/>
      <c r="O635" s="36" t="s">
        <v>55</v>
      </c>
      <c r="P635" s="36"/>
      <c r="Q635" s="36"/>
      <c r="R635" s="36">
        <v>0</v>
      </c>
      <c r="S635" s="27"/>
      <c r="T635" s="36" t="s">
        <v>55</v>
      </c>
      <c r="U635" s="64"/>
      <c r="V635" s="38"/>
      <c r="W635" s="64"/>
      <c r="X635" s="38"/>
      <c r="Y635" s="64"/>
      <c r="Z635" s="27"/>
    </row>
    <row r="636" spans="1:26" s="25" customFormat="1" ht="18" customHeight="1" x14ac:dyDescent="0.2">
      <c r="A636" s="279"/>
      <c r="B636" s="404"/>
      <c r="C636" s="404"/>
      <c r="D636" s="404"/>
      <c r="E636" s="404"/>
      <c r="F636" s="404"/>
      <c r="G636" s="404"/>
      <c r="H636" s="404"/>
      <c r="I636" s="404"/>
      <c r="J636" s="404"/>
      <c r="K636" s="404"/>
      <c r="L636" s="291"/>
      <c r="N636" s="35"/>
      <c r="O636" s="36" t="s">
        <v>56</v>
      </c>
      <c r="P636" s="36"/>
      <c r="Q636" s="36"/>
      <c r="R636" s="36">
        <v>0</v>
      </c>
      <c r="S636" s="27"/>
      <c r="T636" s="36" t="s">
        <v>56</v>
      </c>
      <c r="U636" s="64"/>
      <c r="V636" s="38"/>
      <c r="W636" s="64"/>
      <c r="X636" s="38"/>
      <c r="Y636" s="64"/>
      <c r="Z636" s="27"/>
    </row>
    <row r="637" spans="1:26" s="25" customFormat="1" ht="18" customHeight="1" thickBot="1" x14ac:dyDescent="0.25">
      <c r="A637" s="305"/>
      <c r="B637" s="313"/>
      <c r="C637" s="313"/>
      <c r="D637" s="313"/>
      <c r="E637" s="313"/>
      <c r="F637" s="313"/>
      <c r="G637" s="313"/>
      <c r="H637" s="313"/>
      <c r="I637" s="313"/>
      <c r="J637" s="313"/>
      <c r="K637" s="313"/>
      <c r="L637" s="307"/>
      <c r="N637" s="41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27"/>
    </row>
    <row r="638" spans="1:26" s="25" customFormat="1" ht="18" customHeight="1" thickBot="1" x14ac:dyDescent="0.25">
      <c r="A638" s="277"/>
      <c r="B638" s="277"/>
      <c r="C638" s="277"/>
      <c r="D638" s="277"/>
      <c r="E638" s="277"/>
      <c r="F638" s="277"/>
      <c r="G638" s="277"/>
      <c r="H638" s="277"/>
      <c r="I638" s="277"/>
      <c r="J638" s="277"/>
      <c r="K638" s="277"/>
      <c r="L638" s="27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s="25" customFormat="1" ht="18" customHeight="1" x14ac:dyDescent="0.2">
      <c r="A639" s="405" t="s">
        <v>38</v>
      </c>
      <c r="B639" s="406"/>
      <c r="C639" s="406"/>
      <c r="D639" s="406"/>
      <c r="E639" s="406"/>
      <c r="F639" s="406"/>
      <c r="G639" s="406"/>
      <c r="H639" s="406"/>
      <c r="I639" s="406"/>
      <c r="J639" s="406"/>
      <c r="K639" s="406"/>
      <c r="L639" s="407"/>
      <c r="M639" s="24"/>
      <c r="N639" s="28"/>
      <c r="O639" s="385" t="s">
        <v>40</v>
      </c>
      <c r="P639" s="386"/>
      <c r="Q639" s="386"/>
      <c r="R639" s="387"/>
      <c r="S639" s="29"/>
      <c r="T639" s="385" t="s">
        <v>41</v>
      </c>
      <c r="U639" s="386"/>
      <c r="V639" s="386"/>
      <c r="W639" s="386"/>
      <c r="X639" s="386"/>
      <c r="Y639" s="387"/>
      <c r="Z639" s="30"/>
    </row>
    <row r="640" spans="1:26" s="25" customFormat="1" ht="18" customHeight="1" x14ac:dyDescent="0.2">
      <c r="A640" s="279"/>
      <c r="B640" s="277"/>
      <c r="C640" s="396" t="s">
        <v>212</v>
      </c>
      <c r="D640" s="396"/>
      <c r="E640" s="396"/>
      <c r="F640" s="396"/>
      <c r="G640" s="280" t="str">
        <f>$J$1</f>
        <v>January</v>
      </c>
      <c r="H640" s="399">
        <f>$K$1</f>
        <v>2024</v>
      </c>
      <c r="I640" s="399"/>
      <c r="J640" s="277"/>
      <c r="K640" s="281"/>
      <c r="L640" s="282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34"/>
    </row>
    <row r="641" spans="1:26" s="25" customFormat="1" ht="18" customHeight="1" x14ac:dyDescent="0.2">
      <c r="A641" s="279"/>
      <c r="B641" s="277"/>
      <c r="C641" s="277"/>
      <c r="D641" s="283"/>
      <c r="E641" s="283"/>
      <c r="F641" s="283"/>
      <c r="G641" s="283"/>
      <c r="H641" s="283"/>
      <c r="I641" s="277"/>
      <c r="J641" s="284" t="s">
        <v>1</v>
      </c>
      <c r="K641" s="285">
        <v>45000</v>
      </c>
      <c r="L641" s="286"/>
      <c r="N641" s="35"/>
      <c r="O641" s="36" t="s">
        <v>43</v>
      </c>
      <c r="P641" s="36"/>
      <c r="Q641" s="36"/>
      <c r="R641" s="36"/>
      <c r="S641" s="37"/>
      <c r="T641" s="36" t="s">
        <v>43</v>
      </c>
      <c r="U641" s="38">
        <v>4000</v>
      </c>
      <c r="V641" s="38"/>
      <c r="W641" s="38">
        <f>V641+U641</f>
        <v>4000</v>
      </c>
      <c r="X641" s="38"/>
      <c r="Y641" s="38">
        <f>W641-X641</f>
        <v>4000</v>
      </c>
      <c r="Z641" s="34"/>
    </row>
    <row r="642" spans="1:26" s="25" customFormat="1" ht="18" customHeight="1" x14ac:dyDescent="0.2">
      <c r="A642" s="279"/>
      <c r="B642" s="277" t="s">
        <v>0</v>
      </c>
      <c r="C642" s="276" t="s">
        <v>204</v>
      </c>
      <c r="D642" s="277"/>
      <c r="E642" s="277"/>
      <c r="F642" s="277"/>
      <c r="G642" s="277"/>
      <c r="H642" s="287"/>
      <c r="I642" s="283"/>
      <c r="J642" s="277"/>
      <c r="K642" s="277"/>
      <c r="L642" s="288"/>
      <c r="M642" s="24"/>
      <c r="N642" s="39"/>
      <c r="O642" s="36" t="s">
        <v>69</v>
      </c>
      <c r="P642" s="36"/>
      <c r="Q642" s="36"/>
      <c r="R642" s="36"/>
      <c r="S642" s="27"/>
      <c r="T642" s="36" t="s">
        <v>69</v>
      </c>
      <c r="U642" s="64"/>
      <c r="V642" s="38"/>
      <c r="W642" s="64" t="str">
        <f>IF(U642="","",U642+V642)</f>
        <v/>
      </c>
      <c r="X642" s="38"/>
      <c r="Y642" s="64" t="str">
        <f>IF(W642="","",W642-X642)</f>
        <v/>
      </c>
      <c r="Z642" s="40"/>
    </row>
    <row r="643" spans="1:26" s="25" customFormat="1" ht="18" customHeight="1" x14ac:dyDescent="0.2">
      <c r="A643" s="279"/>
      <c r="B643" s="289" t="s">
        <v>39</v>
      </c>
      <c r="C643" s="310"/>
      <c r="D643" s="277"/>
      <c r="E643" s="277"/>
      <c r="F643" s="403" t="s">
        <v>41</v>
      </c>
      <c r="G643" s="403"/>
      <c r="H643" s="277"/>
      <c r="I643" s="403" t="s">
        <v>42</v>
      </c>
      <c r="J643" s="403"/>
      <c r="K643" s="403"/>
      <c r="L643" s="291"/>
      <c r="N643" s="35"/>
      <c r="O643" s="36" t="s">
        <v>44</v>
      </c>
      <c r="P643" s="36"/>
      <c r="Q643" s="36"/>
      <c r="R643" s="36"/>
      <c r="S643" s="27"/>
      <c r="T643" s="36" t="s">
        <v>44</v>
      </c>
      <c r="U643" s="64" t="str">
        <f>Y642</f>
        <v/>
      </c>
      <c r="V643" s="38"/>
      <c r="W643" s="64" t="str">
        <f t="shared" ref="W643:W648" si="149">IF(U643="","",U643+V643)</f>
        <v/>
      </c>
      <c r="X643" s="38"/>
      <c r="Y643" s="64" t="str">
        <f t="shared" ref="Y643:Y648" si="150">IF(W643="","",W643-X643)</f>
        <v/>
      </c>
      <c r="Z643" s="40"/>
    </row>
    <row r="644" spans="1:26" s="25" customFormat="1" ht="18" customHeight="1" x14ac:dyDescent="0.2">
      <c r="A644" s="279"/>
      <c r="B644" s="277"/>
      <c r="C644" s="277"/>
      <c r="D644" s="277"/>
      <c r="E644" s="277"/>
      <c r="F644" s="277"/>
      <c r="G644" s="277"/>
      <c r="H644" s="292"/>
      <c r="I644" s="277"/>
      <c r="J644" s="277"/>
      <c r="K644" s="277"/>
      <c r="L644" s="293"/>
      <c r="N644" s="35"/>
      <c r="O644" s="36" t="s">
        <v>45</v>
      </c>
      <c r="P644" s="36"/>
      <c r="Q644" s="36"/>
      <c r="R644" s="36"/>
      <c r="S644" s="27"/>
      <c r="T644" s="36" t="s">
        <v>45</v>
      </c>
      <c r="U644" s="64" t="str">
        <f>IF($J$1="March","",Y643)</f>
        <v/>
      </c>
      <c r="V644" s="38"/>
      <c r="W644" s="64" t="str">
        <f t="shared" si="149"/>
        <v/>
      </c>
      <c r="X644" s="38"/>
      <c r="Y644" s="64" t="str">
        <f t="shared" si="150"/>
        <v/>
      </c>
      <c r="Z644" s="40"/>
    </row>
    <row r="645" spans="1:26" s="25" customFormat="1" ht="18" customHeight="1" x14ac:dyDescent="0.2">
      <c r="A645" s="279"/>
      <c r="B645" s="397" t="s">
        <v>40</v>
      </c>
      <c r="C645" s="398"/>
      <c r="D645" s="277"/>
      <c r="E645" s="277"/>
      <c r="F645" s="294" t="s">
        <v>62</v>
      </c>
      <c r="G645" s="295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4000</v>
      </c>
      <c r="H645" s="292"/>
      <c r="I645" s="296">
        <f>IF(C649&gt;=C648,$K$2,C647+C649)</f>
        <v>31</v>
      </c>
      <c r="J645" s="297" t="s">
        <v>59</v>
      </c>
      <c r="K645" s="298">
        <f>K641/$K$2*I645</f>
        <v>45000</v>
      </c>
      <c r="L645" s="299"/>
      <c r="N645" s="35"/>
      <c r="O645" s="36" t="s">
        <v>46</v>
      </c>
      <c r="P645" s="36"/>
      <c r="Q645" s="36"/>
      <c r="R645" s="36"/>
      <c r="S645" s="27"/>
      <c r="T645" s="36" t="s">
        <v>46</v>
      </c>
      <c r="U645" s="64" t="str">
        <f t="shared" ref="U645:U651" si="151">Y644</f>
        <v/>
      </c>
      <c r="V645" s="38"/>
      <c r="W645" s="64" t="str">
        <f t="shared" si="149"/>
        <v/>
      </c>
      <c r="X645" s="38"/>
      <c r="Y645" s="64" t="str">
        <f t="shared" si="150"/>
        <v/>
      </c>
      <c r="Z645" s="40"/>
    </row>
    <row r="646" spans="1:26" s="25" customFormat="1" ht="18" customHeight="1" x14ac:dyDescent="0.2">
      <c r="A646" s="279"/>
      <c r="B646" s="300"/>
      <c r="C646" s="300"/>
      <c r="D646" s="277"/>
      <c r="E646" s="277"/>
      <c r="F646" s="294" t="s">
        <v>18</v>
      </c>
      <c r="G646" s="295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92"/>
      <c r="I646" s="314">
        <v>19</v>
      </c>
      <c r="J646" s="297" t="s">
        <v>60</v>
      </c>
      <c r="K646" s="301">
        <f>K641/$K$2/8*I646</f>
        <v>3447.5806451612902</v>
      </c>
      <c r="L646" s="302"/>
      <c r="N646" s="35"/>
      <c r="O646" s="36" t="s">
        <v>47</v>
      </c>
      <c r="P646" s="36"/>
      <c r="Q646" s="36"/>
      <c r="R646" s="36"/>
      <c r="S646" s="27"/>
      <c r="T646" s="36" t="s">
        <v>47</v>
      </c>
      <c r="U646" s="64" t="str">
        <f t="shared" si="151"/>
        <v/>
      </c>
      <c r="V646" s="38"/>
      <c r="W646" s="64" t="str">
        <f t="shared" si="149"/>
        <v/>
      </c>
      <c r="X646" s="120"/>
      <c r="Y646" s="64" t="str">
        <f t="shared" si="150"/>
        <v/>
      </c>
      <c r="Z646" s="40"/>
    </row>
    <row r="647" spans="1:26" s="25" customFormat="1" ht="18" customHeight="1" x14ac:dyDescent="0.2">
      <c r="A647" s="279"/>
      <c r="B647" s="294" t="s">
        <v>7</v>
      </c>
      <c r="C647" s="300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277"/>
      <c r="E647" s="277"/>
      <c r="F647" s="294" t="s">
        <v>63</v>
      </c>
      <c r="G647" s="295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4000</v>
      </c>
      <c r="H647" s="292"/>
      <c r="I647" s="388" t="s">
        <v>67</v>
      </c>
      <c r="J647" s="389"/>
      <c r="K647" s="301">
        <f>K645+K646</f>
        <v>48447.580645161288</v>
      </c>
      <c r="L647" s="302"/>
      <c r="N647" s="35"/>
      <c r="O647" s="36" t="s">
        <v>48</v>
      </c>
      <c r="P647" s="36"/>
      <c r="Q647" s="36"/>
      <c r="R647" s="36">
        <f t="shared" ref="R647:R652" si="152">R646-Q647</f>
        <v>0</v>
      </c>
      <c r="S647" s="27"/>
      <c r="T647" s="36" t="s">
        <v>48</v>
      </c>
      <c r="U647" s="64" t="str">
        <f t="shared" si="151"/>
        <v/>
      </c>
      <c r="V647" s="38"/>
      <c r="W647" s="64" t="str">
        <f t="shared" si="149"/>
        <v/>
      </c>
      <c r="X647" s="120"/>
      <c r="Y647" s="64" t="str">
        <f t="shared" si="150"/>
        <v/>
      </c>
      <c r="Z647" s="40"/>
    </row>
    <row r="648" spans="1:26" s="25" customFormat="1" ht="18" customHeight="1" x14ac:dyDescent="0.2">
      <c r="A648" s="279"/>
      <c r="B648" s="294" t="s">
        <v>6</v>
      </c>
      <c r="C648" s="300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7"/>
      <c r="E648" s="277"/>
      <c r="F648" s="294" t="s">
        <v>19</v>
      </c>
      <c r="G648" s="295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92"/>
      <c r="I648" s="388" t="s">
        <v>68</v>
      </c>
      <c r="J648" s="389"/>
      <c r="K648" s="295">
        <f>G648</f>
        <v>0</v>
      </c>
      <c r="L648" s="303"/>
      <c r="N648" s="35"/>
      <c r="O648" s="36" t="s">
        <v>49</v>
      </c>
      <c r="P648" s="443"/>
      <c r="Q648" s="443"/>
      <c r="R648" s="36">
        <v>0</v>
      </c>
      <c r="S648" s="27"/>
      <c r="T648" s="36" t="s">
        <v>49</v>
      </c>
      <c r="U648" s="64" t="str">
        <f t="shared" si="151"/>
        <v/>
      </c>
      <c r="V648" s="38"/>
      <c r="W648" s="64" t="str">
        <f t="shared" si="149"/>
        <v/>
      </c>
      <c r="X648" s="120"/>
      <c r="Y648" s="64" t="str">
        <f t="shared" si="150"/>
        <v/>
      </c>
      <c r="Z648" s="40"/>
    </row>
    <row r="649" spans="1:26" s="25" customFormat="1" ht="18" customHeight="1" x14ac:dyDescent="0.2">
      <c r="A649" s="279"/>
      <c r="B649" s="312" t="s">
        <v>66</v>
      </c>
      <c r="C649" s="300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7"/>
      <c r="E649" s="277"/>
      <c r="F649" s="294" t="s">
        <v>65</v>
      </c>
      <c r="G649" s="295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4000</v>
      </c>
      <c r="H649" s="277"/>
      <c r="I649" s="393" t="s">
        <v>61</v>
      </c>
      <c r="J649" s="395"/>
      <c r="K649" s="234">
        <f>K647-K648</f>
        <v>48447.580645161288</v>
      </c>
      <c r="L649" s="304"/>
      <c r="N649" s="35"/>
      <c r="O649" s="36" t="s">
        <v>54</v>
      </c>
      <c r="P649" s="36"/>
      <c r="Q649" s="36"/>
      <c r="R649" s="36">
        <f t="shared" si="152"/>
        <v>0</v>
      </c>
      <c r="S649" s="27"/>
      <c r="T649" s="36" t="s">
        <v>54</v>
      </c>
      <c r="U649" s="64" t="str">
        <f t="shared" si="151"/>
        <v/>
      </c>
      <c r="V649" s="38"/>
      <c r="W649" s="64" t="str">
        <f t="shared" ref="W649:W652" si="153">IF(U649="","",U649+V649)</f>
        <v/>
      </c>
      <c r="X649" s="120"/>
      <c r="Y649" s="64" t="str">
        <f t="shared" ref="Y649:Y652" si="154">IF(W649="","",W649-X649)</f>
        <v/>
      </c>
      <c r="Z649" s="40"/>
    </row>
    <row r="650" spans="1:26" s="25" customFormat="1" ht="18" customHeight="1" x14ac:dyDescent="0.2">
      <c r="A650" s="279"/>
      <c r="B650" s="277"/>
      <c r="C650" s="277"/>
      <c r="D650" s="277"/>
      <c r="E650" s="277"/>
      <c r="F650" s="277"/>
      <c r="G650" s="277"/>
      <c r="H650" s="277"/>
      <c r="I650" s="277"/>
      <c r="J650" s="277"/>
      <c r="K650" s="311"/>
      <c r="L650" s="291"/>
      <c r="N650" s="35"/>
      <c r="O650" s="36" t="s">
        <v>50</v>
      </c>
      <c r="P650" s="36"/>
      <c r="Q650" s="36"/>
      <c r="R650" s="36">
        <v>0</v>
      </c>
      <c r="S650" s="27"/>
      <c r="T650" s="36" t="s">
        <v>50</v>
      </c>
      <c r="U650" s="64" t="str">
        <f t="shared" si="151"/>
        <v/>
      </c>
      <c r="V650" s="38"/>
      <c r="W650" s="64" t="str">
        <f t="shared" si="153"/>
        <v/>
      </c>
      <c r="X650" s="38"/>
      <c r="Y650" s="64" t="str">
        <f t="shared" si="154"/>
        <v/>
      </c>
      <c r="Z650" s="40"/>
    </row>
    <row r="651" spans="1:26" s="25" customFormat="1" ht="18" customHeight="1" x14ac:dyDescent="0.2">
      <c r="A651" s="279"/>
      <c r="B651" s="404"/>
      <c r="C651" s="404"/>
      <c r="D651" s="404"/>
      <c r="E651" s="404"/>
      <c r="F651" s="404"/>
      <c r="G651" s="404"/>
      <c r="H651" s="404"/>
      <c r="I651" s="404"/>
      <c r="J651" s="404"/>
      <c r="K651" s="404"/>
      <c r="L651" s="291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4" t="str">
        <f t="shared" si="151"/>
        <v/>
      </c>
      <c r="V651" s="38"/>
      <c r="W651" s="64" t="str">
        <f t="shared" si="153"/>
        <v/>
      </c>
      <c r="X651" s="38"/>
      <c r="Y651" s="64" t="str">
        <f t="shared" si="154"/>
        <v/>
      </c>
      <c r="Z651" s="40"/>
    </row>
    <row r="652" spans="1:26" s="25" customFormat="1" ht="18" customHeight="1" x14ac:dyDescent="0.2">
      <c r="A652" s="279"/>
      <c r="B652" s="404"/>
      <c r="C652" s="404"/>
      <c r="D652" s="404"/>
      <c r="E652" s="404"/>
      <c r="F652" s="404"/>
      <c r="G652" s="404"/>
      <c r="H652" s="404"/>
      <c r="I652" s="404"/>
      <c r="J652" s="404"/>
      <c r="K652" s="404"/>
      <c r="L652" s="291"/>
      <c r="N652" s="35"/>
      <c r="O652" s="36" t="s">
        <v>56</v>
      </c>
      <c r="P652" s="36"/>
      <c r="Q652" s="36"/>
      <c r="R652" s="36">
        <f t="shared" si="152"/>
        <v>0</v>
      </c>
      <c r="S652" s="27"/>
      <c r="T652" s="36" t="s">
        <v>56</v>
      </c>
      <c r="U652" s="64" t="str">
        <f>Y651</f>
        <v/>
      </c>
      <c r="V652" s="38"/>
      <c r="W652" s="64" t="str">
        <f t="shared" si="153"/>
        <v/>
      </c>
      <c r="X652" s="38"/>
      <c r="Y652" s="64" t="str">
        <f t="shared" si="154"/>
        <v/>
      </c>
      <c r="Z652" s="40"/>
    </row>
    <row r="653" spans="1:26" s="25" customFormat="1" ht="18" customHeight="1" thickBot="1" x14ac:dyDescent="0.25">
      <c r="A653" s="305"/>
      <c r="B653" s="313"/>
      <c r="C653" s="313"/>
      <c r="D653" s="313"/>
      <c r="E653" s="313"/>
      <c r="F653" s="313"/>
      <c r="G653" s="313"/>
      <c r="H653" s="313"/>
      <c r="I653" s="313"/>
      <c r="J653" s="313"/>
      <c r="K653" s="313"/>
      <c r="L653" s="307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3"/>
    </row>
    <row r="654" spans="1:26" s="25" customFormat="1" ht="18" customHeight="1" thickBot="1" x14ac:dyDescent="0.25">
      <c r="A654" s="279"/>
      <c r="B654" s="277"/>
      <c r="C654" s="277"/>
      <c r="D654" s="277"/>
      <c r="E654" s="277"/>
      <c r="F654" s="277"/>
      <c r="G654" s="277"/>
      <c r="H654" s="277"/>
      <c r="I654" s="277"/>
      <c r="J654" s="277"/>
      <c r="K654" s="277"/>
      <c r="L654" s="291"/>
      <c r="N654" s="35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4"/>
    </row>
    <row r="655" spans="1:26" s="25" customFormat="1" ht="18" customHeight="1" x14ac:dyDescent="0.2">
      <c r="A655" s="405" t="s">
        <v>38</v>
      </c>
      <c r="B655" s="406"/>
      <c r="C655" s="406"/>
      <c r="D655" s="406"/>
      <c r="E655" s="406"/>
      <c r="F655" s="406"/>
      <c r="G655" s="406"/>
      <c r="H655" s="406"/>
      <c r="I655" s="406"/>
      <c r="J655" s="406"/>
      <c r="K655" s="406"/>
      <c r="L655" s="407"/>
      <c r="M655" s="24"/>
      <c r="N655" s="28"/>
      <c r="O655" s="385" t="s">
        <v>40</v>
      </c>
      <c r="P655" s="386"/>
      <c r="Q655" s="386"/>
      <c r="R655" s="387"/>
      <c r="S655" s="29"/>
      <c r="T655" s="385" t="s">
        <v>41</v>
      </c>
      <c r="U655" s="386"/>
      <c r="V655" s="386"/>
      <c r="W655" s="386"/>
      <c r="X655" s="386"/>
      <c r="Y655" s="387"/>
      <c r="Z655" s="30"/>
    </row>
    <row r="656" spans="1:26" s="25" customFormat="1" ht="18" customHeight="1" x14ac:dyDescent="0.2">
      <c r="A656" s="279"/>
      <c r="B656" s="277"/>
      <c r="C656" s="396" t="s">
        <v>212</v>
      </c>
      <c r="D656" s="396"/>
      <c r="E656" s="396"/>
      <c r="F656" s="396"/>
      <c r="G656" s="280" t="str">
        <f>$J$1</f>
        <v>January</v>
      </c>
      <c r="H656" s="399">
        <f>$K$1</f>
        <v>2024</v>
      </c>
      <c r="I656" s="399"/>
      <c r="J656" s="277"/>
      <c r="K656" s="281"/>
      <c r="L656" s="282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7" s="25" customFormat="1" ht="18" customHeight="1" x14ac:dyDescent="0.2">
      <c r="A657" s="279"/>
      <c r="B657" s="277"/>
      <c r="C657" s="277"/>
      <c r="D657" s="283"/>
      <c r="E657" s="283"/>
      <c r="F657" s="283"/>
      <c r="G657" s="283"/>
      <c r="H657" s="283"/>
      <c r="I657" s="277"/>
      <c r="J657" s="284" t="s">
        <v>1</v>
      </c>
      <c r="K657" s="285">
        <v>22000</v>
      </c>
      <c r="L657" s="286"/>
      <c r="N657" s="35"/>
      <c r="O657" s="36" t="s">
        <v>43</v>
      </c>
      <c r="P657" s="36"/>
      <c r="Q657" s="36"/>
      <c r="R657" s="36"/>
      <c r="S657" s="37"/>
      <c r="T657" s="36" t="s">
        <v>43</v>
      </c>
      <c r="U657" s="38"/>
      <c r="V657" s="38"/>
      <c r="W657" s="38"/>
      <c r="X657" s="38"/>
      <c r="Y657" s="38"/>
      <c r="Z657" s="34"/>
    </row>
    <row r="658" spans="1:27" s="25" customFormat="1" ht="18" customHeight="1" x14ac:dyDescent="0.2">
      <c r="A658" s="279"/>
      <c r="B658" s="277" t="s">
        <v>0</v>
      </c>
      <c r="C658" s="276" t="s">
        <v>206</v>
      </c>
      <c r="D658" s="277"/>
      <c r="E658" s="277"/>
      <c r="F658" s="277"/>
      <c r="G658" s="277"/>
      <c r="H658" s="287"/>
      <c r="I658" s="283"/>
      <c r="J658" s="277"/>
      <c r="K658" s="277"/>
      <c r="L658" s="288"/>
      <c r="M658" s="24"/>
      <c r="N658" s="39"/>
      <c r="O658" s="36" t="s">
        <v>69</v>
      </c>
      <c r="P658" s="36"/>
      <c r="Q658" s="36"/>
      <c r="R658" s="78"/>
      <c r="S658" s="27"/>
      <c r="T658" s="36" t="s">
        <v>69</v>
      </c>
      <c r="U658" s="64"/>
      <c r="V658" s="38"/>
      <c r="W658" s="64"/>
      <c r="X658" s="38"/>
      <c r="Y658" s="64"/>
      <c r="Z658" s="40"/>
    </row>
    <row r="659" spans="1:27" s="25" customFormat="1" ht="18" customHeight="1" x14ac:dyDescent="0.2">
      <c r="A659" s="279"/>
      <c r="B659" s="289" t="s">
        <v>39</v>
      </c>
      <c r="C659" s="276"/>
      <c r="D659" s="277"/>
      <c r="E659" s="277"/>
      <c r="F659" s="403" t="s">
        <v>41</v>
      </c>
      <c r="G659" s="403"/>
      <c r="H659" s="277"/>
      <c r="I659" s="403" t="s">
        <v>42</v>
      </c>
      <c r="J659" s="403"/>
      <c r="K659" s="403"/>
      <c r="L659" s="291"/>
      <c r="N659" s="35"/>
      <c r="O659" s="36" t="s">
        <v>44</v>
      </c>
      <c r="P659" s="36"/>
      <c r="Q659" s="36"/>
      <c r="R659" s="78"/>
      <c r="S659" s="27"/>
      <c r="T659" s="36" t="s">
        <v>44</v>
      </c>
      <c r="U659" s="64"/>
      <c r="V659" s="38"/>
      <c r="W659" s="64"/>
      <c r="X659" s="38"/>
      <c r="Y659" s="64"/>
      <c r="Z659" s="40"/>
    </row>
    <row r="660" spans="1:27" s="25" customFormat="1" ht="18" customHeight="1" x14ac:dyDescent="0.2">
      <c r="A660" s="279"/>
      <c r="B660" s="277"/>
      <c r="C660" s="277"/>
      <c r="D660" s="277"/>
      <c r="E660" s="277"/>
      <c r="F660" s="277"/>
      <c r="G660" s="277"/>
      <c r="H660" s="292"/>
      <c r="I660" s="277"/>
      <c r="J660" s="277"/>
      <c r="K660" s="277"/>
      <c r="L660" s="293"/>
      <c r="N660" s="35"/>
      <c r="O660" s="36" t="s">
        <v>45</v>
      </c>
      <c r="P660" s="36"/>
      <c r="Q660" s="36"/>
      <c r="R660" s="36">
        <v>0</v>
      </c>
      <c r="S660" s="27"/>
      <c r="T660" s="36" t="s">
        <v>45</v>
      </c>
      <c r="U660" s="64"/>
      <c r="V660" s="38"/>
      <c r="W660" s="64"/>
      <c r="X660" s="38"/>
      <c r="Y660" s="64"/>
      <c r="Z660" s="40"/>
    </row>
    <row r="661" spans="1:27" s="25" customFormat="1" ht="18" customHeight="1" x14ac:dyDescent="0.2">
      <c r="A661" s="279"/>
      <c r="B661" s="397" t="s">
        <v>40</v>
      </c>
      <c r="C661" s="398"/>
      <c r="D661" s="277"/>
      <c r="E661" s="277"/>
      <c r="F661" s="294" t="s">
        <v>62</v>
      </c>
      <c r="G661" s="295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0</v>
      </c>
      <c r="H661" s="292"/>
      <c r="I661" s="296">
        <f>IF(C665&gt;0,$K$2,C663)</f>
        <v>0</v>
      </c>
      <c r="J661" s="297" t="s">
        <v>59</v>
      </c>
      <c r="K661" s="298">
        <f>K657/$K$2*I661</f>
        <v>0</v>
      </c>
      <c r="L661" s="299"/>
      <c r="N661" s="35"/>
      <c r="O661" s="36" t="s">
        <v>46</v>
      </c>
      <c r="P661" s="36"/>
      <c r="Q661" s="36"/>
      <c r="R661" s="36">
        <v>0</v>
      </c>
      <c r="S661" s="27"/>
      <c r="T661" s="36" t="s">
        <v>46</v>
      </c>
      <c r="U661" s="64"/>
      <c r="V661" s="38"/>
      <c r="W661" s="64"/>
      <c r="X661" s="38"/>
      <c r="Y661" s="64"/>
      <c r="Z661" s="40"/>
    </row>
    <row r="662" spans="1:27" s="25" customFormat="1" ht="18" customHeight="1" x14ac:dyDescent="0.2">
      <c r="A662" s="279"/>
      <c r="B662" s="300"/>
      <c r="C662" s="300"/>
      <c r="D662" s="277"/>
      <c r="E662" s="277"/>
      <c r="F662" s="294" t="s">
        <v>18</v>
      </c>
      <c r="G662" s="295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92"/>
      <c r="I662" s="314">
        <v>45</v>
      </c>
      <c r="J662" s="297" t="s">
        <v>60</v>
      </c>
      <c r="K662" s="301">
        <f>K657/$K$2/8*I662</f>
        <v>3991.9354838709673</v>
      </c>
      <c r="L662" s="302"/>
      <c r="N662" s="35"/>
      <c r="O662" s="36" t="s">
        <v>47</v>
      </c>
      <c r="P662" s="36"/>
      <c r="Q662" s="36"/>
      <c r="R662" s="36">
        <v>0</v>
      </c>
      <c r="S662" s="27"/>
      <c r="T662" s="36" t="s">
        <v>47</v>
      </c>
      <c r="U662" s="64"/>
      <c r="V662" s="38"/>
      <c r="W662" s="64"/>
      <c r="X662" s="38"/>
      <c r="Y662" s="64"/>
      <c r="Z662" s="40"/>
    </row>
    <row r="663" spans="1:27" s="25" customFormat="1" ht="18" customHeight="1" x14ac:dyDescent="0.2">
      <c r="A663" s="279"/>
      <c r="B663" s="294" t="s">
        <v>7</v>
      </c>
      <c r="C663" s="300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0</v>
      </c>
      <c r="D663" s="277"/>
      <c r="E663" s="277"/>
      <c r="F663" s="294" t="s">
        <v>63</v>
      </c>
      <c r="G663" s="295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0</v>
      </c>
      <c r="H663" s="292"/>
      <c r="I663" s="388" t="s">
        <v>67</v>
      </c>
      <c r="J663" s="389"/>
      <c r="K663" s="301">
        <f>K661+K662</f>
        <v>3991.9354838709673</v>
      </c>
      <c r="L663" s="302"/>
      <c r="N663" s="35"/>
      <c r="O663" s="36" t="s">
        <v>48</v>
      </c>
      <c r="P663" s="36"/>
      <c r="Q663" s="36"/>
      <c r="R663" s="36">
        <v>0</v>
      </c>
      <c r="S663" s="27"/>
      <c r="T663" s="36" t="s">
        <v>48</v>
      </c>
      <c r="U663" s="64"/>
      <c r="V663" s="38"/>
      <c r="W663" s="64"/>
      <c r="X663" s="38"/>
      <c r="Y663" s="64"/>
      <c r="Z663" s="40"/>
    </row>
    <row r="664" spans="1:27" s="25" customFormat="1" ht="18" customHeight="1" x14ac:dyDescent="0.2">
      <c r="A664" s="279"/>
      <c r="B664" s="294" t="s">
        <v>6</v>
      </c>
      <c r="C664" s="300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0</v>
      </c>
      <c r="D664" s="277"/>
      <c r="E664" s="277"/>
      <c r="F664" s="294" t="s">
        <v>19</v>
      </c>
      <c r="G664" s="295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92"/>
      <c r="I664" s="388" t="s">
        <v>68</v>
      </c>
      <c r="J664" s="389"/>
      <c r="K664" s="295">
        <f>G664</f>
        <v>0</v>
      </c>
      <c r="L664" s="303"/>
      <c r="N664" s="35"/>
      <c r="O664" s="36" t="s">
        <v>49</v>
      </c>
      <c r="P664" s="443"/>
      <c r="Q664" s="443"/>
      <c r="R664" s="36">
        <v>0</v>
      </c>
      <c r="S664" s="27"/>
      <c r="T664" s="36" t="s">
        <v>49</v>
      </c>
      <c r="U664" s="64"/>
      <c r="V664" s="38"/>
      <c r="W664" s="64"/>
      <c r="X664" s="38"/>
      <c r="Y664" s="64"/>
      <c r="Z664" s="40"/>
    </row>
    <row r="665" spans="1:27" s="25" customFormat="1" ht="18" customHeight="1" x14ac:dyDescent="0.2">
      <c r="A665" s="279"/>
      <c r="B665" s="312" t="s">
        <v>66</v>
      </c>
      <c r="C665" s="300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7"/>
      <c r="E665" s="277"/>
      <c r="F665" s="294" t="s">
        <v>65</v>
      </c>
      <c r="G665" s="295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0</v>
      </c>
      <c r="H665" s="277"/>
      <c r="I665" s="393" t="s">
        <v>61</v>
      </c>
      <c r="J665" s="395"/>
      <c r="K665" s="234">
        <f>K663-K664</f>
        <v>3991.9354838709673</v>
      </c>
      <c r="L665" s="304"/>
      <c r="N665" s="35"/>
      <c r="O665" s="36" t="s">
        <v>54</v>
      </c>
      <c r="P665" s="36"/>
      <c r="Q665" s="36"/>
      <c r="R665" s="36">
        <v>0</v>
      </c>
      <c r="S665" s="27"/>
      <c r="T665" s="36" t="s">
        <v>54</v>
      </c>
      <c r="U665" s="64"/>
      <c r="V665" s="38"/>
      <c r="W665" s="64"/>
      <c r="X665" s="38"/>
      <c r="Y665" s="64"/>
      <c r="Z665" s="40"/>
    </row>
    <row r="666" spans="1:27" s="25" customFormat="1" ht="18" customHeight="1" x14ac:dyDescent="0.2">
      <c r="A666" s="279"/>
      <c r="B666" s="277"/>
      <c r="C666" s="277"/>
      <c r="D666" s="277"/>
      <c r="E666" s="277"/>
      <c r="F666" s="277"/>
      <c r="G666" s="277"/>
      <c r="H666" s="277"/>
      <c r="I666" s="277"/>
      <c r="J666" s="277"/>
      <c r="K666" s="277"/>
      <c r="L666" s="291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4"/>
      <c r="V666" s="38"/>
      <c r="W666" s="64"/>
      <c r="X666" s="38"/>
      <c r="Y666" s="64"/>
      <c r="Z666" s="40"/>
    </row>
    <row r="667" spans="1:27" s="25" customFormat="1" ht="18" customHeight="1" x14ac:dyDescent="0.2">
      <c r="A667" s="279"/>
      <c r="B667" s="404" t="s">
        <v>82</v>
      </c>
      <c r="C667" s="404"/>
      <c r="D667" s="404"/>
      <c r="E667" s="404"/>
      <c r="F667" s="404"/>
      <c r="G667" s="404"/>
      <c r="H667" s="404"/>
      <c r="I667" s="404"/>
      <c r="J667" s="404"/>
      <c r="K667" s="404"/>
      <c r="L667" s="291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4">
        <f>IF($J$1="October","",Y666)</f>
        <v>0</v>
      </c>
      <c r="V667" s="38"/>
      <c r="W667" s="64">
        <f t="shared" ref="W667:W668" si="155">IF(U667="","",U667+V667)</f>
        <v>0</v>
      </c>
      <c r="X667" s="38"/>
      <c r="Y667" s="64">
        <f t="shared" ref="Y667:Y668" si="156">IF(W667="","",W667-X667)</f>
        <v>0</v>
      </c>
      <c r="Z667" s="40"/>
    </row>
    <row r="668" spans="1:27" s="25" customFormat="1" ht="18" customHeight="1" x14ac:dyDescent="0.2">
      <c r="A668" s="279"/>
      <c r="B668" s="404"/>
      <c r="C668" s="404"/>
      <c r="D668" s="404"/>
      <c r="E668" s="404"/>
      <c r="F668" s="404"/>
      <c r="G668" s="404"/>
      <c r="H668" s="404"/>
      <c r="I668" s="404"/>
      <c r="J668" s="404"/>
      <c r="K668" s="404"/>
      <c r="L668" s="291"/>
      <c r="N668" s="35"/>
      <c r="O668" s="36" t="s">
        <v>56</v>
      </c>
      <c r="P668" s="36"/>
      <c r="Q668" s="36"/>
      <c r="R668" s="36">
        <v>0</v>
      </c>
      <c r="S668" s="27"/>
      <c r="T668" s="36" t="s">
        <v>56</v>
      </c>
      <c r="U668" s="64">
        <f>IF($J$1="November","",Y667)</f>
        <v>0</v>
      </c>
      <c r="V668" s="38"/>
      <c r="W668" s="64">
        <f t="shared" si="155"/>
        <v>0</v>
      </c>
      <c r="X668" s="38"/>
      <c r="Y668" s="64">
        <f t="shared" si="156"/>
        <v>0</v>
      </c>
      <c r="Z668" s="40"/>
    </row>
    <row r="669" spans="1:27" s="25" customFormat="1" ht="18" customHeight="1" thickBot="1" x14ac:dyDescent="0.25">
      <c r="A669" s="305"/>
      <c r="B669" s="313"/>
      <c r="C669" s="313"/>
      <c r="D669" s="313"/>
      <c r="E669" s="313"/>
      <c r="F669" s="313"/>
      <c r="G669" s="313"/>
      <c r="H669" s="313"/>
      <c r="I669" s="313"/>
      <c r="J669" s="313"/>
      <c r="K669" s="313"/>
      <c r="L669" s="307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7" s="25" customFormat="1" ht="18" customHeight="1" thickBot="1" x14ac:dyDescent="0.25">
      <c r="A670" s="279"/>
      <c r="B670" s="277"/>
      <c r="C670" s="277"/>
      <c r="D670" s="277"/>
      <c r="E670" s="277"/>
      <c r="F670" s="277"/>
      <c r="G670" s="277"/>
      <c r="H670" s="277"/>
      <c r="I670" s="277"/>
      <c r="J670" s="277"/>
      <c r="K670" s="277"/>
      <c r="L670" s="291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4"/>
    </row>
    <row r="671" spans="1:27" s="25" customFormat="1" ht="18" customHeight="1" thickBot="1" x14ac:dyDescent="0.25">
      <c r="A671" s="390" t="s">
        <v>38</v>
      </c>
      <c r="B671" s="391"/>
      <c r="C671" s="391"/>
      <c r="D671" s="391"/>
      <c r="E671" s="391"/>
      <c r="F671" s="391"/>
      <c r="G671" s="391"/>
      <c r="H671" s="391"/>
      <c r="I671" s="391"/>
      <c r="J671" s="391"/>
      <c r="K671" s="391"/>
      <c r="L671" s="392"/>
      <c r="M671" s="24"/>
      <c r="N671" s="28"/>
      <c r="O671" s="385" t="s">
        <v>40</v>
      </c>
      <c r="P671" s="386"/>
      <c r="Q671" s="386"/>
      <c r="R671" s="387"/>
      <c r="S671" s="29"/>
      <c r="T671" s="385" t="s">
        <v>41</v>
      </c>
      <c r="U671" s="386"/>
      <c r="V671" s="386"/>
      <c r="W671" s="386"/>
      <c r="X671" s="386"/>
      <c r="Y671" s="387"/>
      <c r="Z671" s="30"/>
      <c r="AA671" s="24"/>
    </row>
    <row r="672" spans="1:27" s="25" customFormat="1" ht="18" customHeight="1" x14ac:dyDescent="0.2">
      <c r="A672" s="279"/>
      <c r="B672" s="277"/>
      <c r="C672" s="396" t="s">
        <v>212</v>
      </c>
      <c r="D672" s="396"/>
      <c r="E672" s="396"/>
      <c r="F672" s="396"/>
      <c r="G672" s="280" t="str">
        <f>$J$1</f>
        <v>January</v>
      </c>
      <c r="H672" s="399">
        <f>$K$1</f>
        <v>2024</v>
      </c>
      <c r="I672" s="399"/>
      <c r="J672" s="277"/>
      <c r="K672" s="281"/>
      <c r="L672" s="282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  <c r="AA672" s="26"/>
    </row>
    <row r="673" spans="1:27" s="25" customFormat="1" ht="18" customHeight="1" x14ac:dyDescent="0.2">
      <c r="A673" s="279"/>
      <c r="B673" s="277"/>
      <c r="C673" s="277"/>
      <c r="D673" s="283"/>
      <c r="E673" s="283"/>
      <c r="F673" s="283"/>
      <c r="G673" s="283"/>
      <c r="H673" s="283"/>
      <c r="I673" s="277"/>
      <c r="J673" s="284" t="s">
        <v>1</v>
      </c>
      <c r="K673" s="285">
        <v>170000</v>
      </c>
      <c r="L673" s="286"/>
      <c r="N673" s="35"/>
      <c r="O673" s="36" t="s">
        <v>43</v>
      </c>
      <c r="P673" s="36"/>
      <c r="Q673" s="36"/>
      <c r="R673" s="36"/>
      <c r="S673" s="37"/>
      <c r="T673" s="36" t="s">
        <v>43</v>
      </c>
      <c r="U673" s="38"/>
      <c r="V673" s="38"/>
      <c r="W673" s="38">
        <f>V673+U673</f>
        <v>0</v>
      </c>
      <c r="X673" s="38"/>
      <c r="Y673" s="38">
        <f>W673-X673</f>
        <v>0</v>
      </c>
      <c r="Z673" s="34"/>
    </row>
    <row r="674" spans="1:27" s="25" customFormat="1" ht="18" customHeight="1" x14ac:dyDescent="0.2">
      <c r="A674" s="279"/>
      <c r="B674" s="277" t="s">
        <v>0</v>
      </c>
      <c r="C674" s="276" t="s">
        <v>221</v>
      </c>
      <c r="D674" s="277"/>
      <c r="E674" s="277"/>
      <c r="F674" s="277"/>
      <c r="G674" s="277"/>
      <c r="H674" s="287"/>
      <c r="I674" s="283"/>
      <c r="J674" s="277"/>
      <c r="K674" s="277"/>
      <c r="L674" s="288"/>
      <c r="M674" s="24"/>
      <c r="N674" s="39"/>
      <c r="O674" s="36" t="s">
        <v>69</v>
      </c>
      <c r="P674" s="36"/>
      <c r="Q674" s="36"/>
      <c r="R674" s="36" t="str">
        <f>IF(Q674="","",R673-Q674)</f>
        <v/>
      </c>
      <c r="S674" s="27"/>
      <c r="T674" s="36" t="s">
        <v>69</v>
      </c>
      <c r="U674" s="64">
        <f>Y673</f>
        <v>0</v>
      </c>
      <c r="V674" s="38"/>
      <c r="W674" s="64">
        <f>IF(U674="","",U674+V674)</f>
        <v>0</v>
      </c>
      <c r="X674" s="38"/>
      <c r="Y674" s="64">
        <f>IF(W674="","",W674-X674)</f>
        <v>0</v>
      </c>
      <c r="Z674" s="40"/>
      <c r="AA674" s="24"/>
    </row>
    <row r="675" spans="1:27" s="25" customFormat="1" ht="18" customHeight="1" x14ac:dyDescent="0.2">
      <c r="A675" s="279"/>
      <c r="B675" s="289" t="s">
        <v>39</v>
      </c>
      <c r="C675" s="421">
        <v>45208</v>
      </c>
      <c r="D675" s="421"/>
      <c r="E675" s="422"/>
      <c r="F675" s="393" t="s">
        <v>41</v>
      </c>
      <c r="G675" s="395"/>
      <c r="H675" s="277"/>
      <c r="I675" s="393" t="s">
        <v>42</v>
      </c>
      <c r="J675" s="394"/>
      <c r="K675" s="395"/>
      <c r="L675" s="291"/>
      <c r="N675" s="35"/>
      <c r="O675" s="36" t="s">
        <v>44</v>
      </c>
      <c r="P675" s="36"/>
      <c r="Q675" s="36"/>
      <c r="R675" s="36" t="str">
        <f t="shared" ref="R675:R678" si="157">IF(Q675="","",R674-Q675)</f>
        <v/>
      </c>
      <c r="S675" s="27"/>
      <c r="T675" s="36" t="s">
        <v>44</v>
      </c>
      <c r="U675" s="64">
        <f>IF($J$1="April",Y674,Y674)</f>
        <v>0</v>
      </c>
      <c r="V675" s="38"/>
      <c r="W675" s="64">
        <f t="shared" ref="W675:W684" si="158">IF(U675="","",U675+V675)</f>
        <v>0</v>
      </c>
      <c r="X675" s="38"/>
      <c r="Y675" s="64">
        <f t="shared" ref="Y675:Y684" si="159">IF(W675="","",W675-X675)</f>
        <v>0</v>
      </c>
      <c r="Z675" s="40"/>
    </row>
    <row r="676" spans="1:27" s="25" customFormat="1" ht="18" customHeight="1" x14ac:dyDescent="0.2">
      <c r="A676" s="279"/>
      <c r="B676" s="277"/>
      <c r="C676" s="277"/>
      <c r="D676" s="277"/>
      <c r="E676" s="277"/>
      <c r="F676" s="277"/>
      <c r="G676" s="277"/>
      <c r="H676" s="292"/>
      <c r="I676" s="277"/>
      <c r="J676" s="277"/>
      <c r="K676" s="277"/>
      <c r="L676" s="293"/>
      <c r="N676" s="35"/>
      <c r="O676" s="36" t="s">
        <v>45</v>
      </c>
      <c r="P676" s="36"/>
      <c r="Q676" s="36"/>
      <c r="R676" s="36" t="str">
        <f t="shared" si="157"/>
        <v/>
      </c>
      <c r="S676" s="27"/>
      <c r="T676" s="36" t="s">
        <v>45</v>
      </c>
      <c r="U676" s="64">
        <f>IF($J$1="April",Y675,Y675)</f>
        <v>0</v>
      </c>
      <c r="V676" s="38"/>
      <c r="W676" s="64">
        <f t="shared" si="158"/>
        <v>0</v>
      </c>
      <c r="X676" s="38"/>
      <c r="Y676" s="64">
        <f t="shared" si="159"/>
        <v>0</v>
      </c>
      <c r="Z676" s="40"/>
    </row>
    <row r="677" spans="1:27" s="25" customFormat="1" ht="18" customHeight="1" x14ac:dyDescent="0.2">
      <c r="A677" s="279"/>
      <c r="B677" s="397" t="s">
        <v>40</v>
      </c>
      <c r="C677" s="398"/>
      <c r="D677" s="277"/>
      <c r="E677" s="277"/>
      <c r="F677" s="294" t="s">
        <v>62</v>
      </c>
      <c r="G677" s="295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92"/>
      <c r="I677" s="296">
        <f>IF(C681&gt;0,$K$2,C679)</f>
        <v>0</v>
      </c>
      <c r="J677" s="297" t="s">
        <v>59</v>
      </c>
      <c r="K677" s="298">
        <f>K673/$K$2*I677</f>
        <v>0</v>
      </c>
      <c r="L677" s="299"/>
      <c r="N677" s="35"/>
      <c r="O677" s="36" t="s">
        <v>46</v>
      </c>
      <c r="P677" s="36"/>
      <c r="Q677" s="36"/>
      <c r="R677" s="36" t="str">
        <f t="shared" si="157"/>
        <v/>
      </c>
      <c r="S677" s="27"/>
      <c r="T677" s="36" t="s">
        <v>46</v>
      </c>
      <c r="U677" s="64">
        <f>IF($J$1="May",Y676,Y676)</f>
        <v>0</v>
      </c>
      <c r="V677" s="38"/>
      <c r="W677" s="64">
        <f t="shared" si="158"/>
        <v>0</v>
      </c>
      <c r="X677" s="38"/>
      <c r="Y677" s="64">
        <f t="shared" si="159"/>
        <v>0</v>
      </c>
      <c r="Z677" s="40"/>
    </row>
    <row r="678" spans="1:27" s="25" customFormat="1" ht="18" customHeight="1" x14ac:dyDescent="0.2">
      <c r="A678" s="279"/>
      <c r="B678" s="300"/>
      <c r="C678" s="300"/>
      <c r="D678" s="277"/>
      <c r="E678" s="277"/>
      <c r="F678" s="294" t="s">
        <v>18</v>
      </c>
      <c r="G678" s="295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92"/>
      <c r="I678" s="296"/>
      <c r="J678" s="297" t="s">
        <v>60</v>
      </c>
      <c r="K678" s="301">
        <f>K673/$K$2/8*I678</f>
        <v>0</v>
      </c>
      <c r="L678" s="302"/>
      <c r="N678" s="35"/>
      <c r="O678" s="36" t="s">
        <v>47</v>
      </c>
      <c r="P678" s="36"/>
      <c r="Q678" s="36"/>
      <c r="R678" s="36" t="str">
        <f t="shared" si="157"/>
        <v/>
      </c>
      <c r="S678" s="27"/>
      <c r="T678" s="36" t="s">
        <v>47</v>
      </c>
      <c r="U678" s="64">
        <f>IF($J$1="May",Y677,Y677)</f>
        <v>0</v>
      </c>
      <c r="V678" s="38"/>
      <c r="W678" s="64">
        <f t="shared" si="158"/>
        <v>0</v>
      </c>
      <c r="X678" s="38"/>
      <c r="Y678" s="64">
        <f t="shared" si="159"/>
        <v>0</v>
      </c>
      <c r="Z678" s="40"/>
    </row>
    <row r="679" spans="1:27" s="25" customFormat="1" ht="18" customHeight="1" x14ac:dyDescent="0.2">
      <c r="A679" s="279"/>
      <c r="B679" s="294" t="s">
        <v>7</v>
      </c>
      <c r="C679" s="300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0</v>
      </c>
      <c r="D679" s="277"/>
      <c r="E679" s="277"/>
      <c r="F679" s="294" t="s">
        <v>63</v>
      </c>
      <c r="G679" s="295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92"/>
      <c r="I679" s="388" t="s">
        <v>67</v>
      </c>
      <c r="J679" s="389"/>
      <c r="K679" s="301">
        <f>K677+K678</f>
        <v>0</v>
      </c>
      <c r="L679" s="302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4">
        <f>Y678</f>
        <v>0</v>
      </c>
      <c r="V679" s="38"/>
      <c r="W679" s="64">
        <f t="shared" si="158"/>
        <v>0</v>
      </c>
      <c r="X679" s="38"/>
      <c r="Y679" s="64">
        <f t="shared" si="159"/>
        <v>0</v>
      </c>
      <c r="Z679" s="40"/>
    </row>
    <row r="680" spans="1:27" s="25" customFormat="1" ht="18" customHeight="1" x14ac:dyDescent="0.2">
      <c r="A680" s="279"/>
      <c r="B680" s="294" t="s">
        <v>6</v>
      </c>
      <c r="C680" s="300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7"/>
      <c r="E680" s="277"/>
      <c r="F680" s="294" t="s">
        <v>19</v>
      </c>
      <c r="G680" s="295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92"/>
      <c r="I680" s="388" t="s">
        <v>68</v>
      </c>
      <c r="J680" s="389"/>
      <c r="K680" s="295">
        <f>G680</f>
        <v>0</v>
      </c>
      <c r="L680" s="303"/>
      <c r="N680" s="35"/>
      <c r="O680" s="36" t="s">
        <v>49</v>
      </c>
      <c r="P680" s="36"/>
      <c r="Q680" s="36"/>
      <c r="R680" s="36">
        <v>0</v>
      </c>
      <c r="S680" s="27"/>
      <c r="T680" s="36" t="s">
        <v>49</v>
      </c>
      <c r="U680" s="64">
        <f>Y679</f>
        <v>0</v>
      </c>
      <c r="V680" s="38"/>
      <c r="W680" s="64">
        <f t="shared" si="158"/>
        <v>0</v>
      </c>
      <c r="X680" s="38"/>
      <c r="Y680" s="64">
        <f t="shared" si="159"/>
        <v>0</v>
      </c>
      <c r="Z680" s="40"/>
    </row>
    <row r="681" spans="1:27" s="25" customFormat="1" ht="18" customHeight="1" x14ac:dyDescent="0.2">
      <c r="A681" s="279"/>
      <c r="B681" s="309" t="s">
        <v>66</v>
      </c>
      <c r="C681" s="300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7"/>
      <c r="E681" s="277"/>
      <c r="F681" s="309" t="s">
        <v>201</v>
      </c>
      <c r="G681" s="295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7"/>
      <c r="I681" s="393" t="s">
        <v>61</v>
      </c>
      <c r="J681" s="395"/>
      <c r="K681" s="234">
        <f>K679-K680</f>
        <v>0</v>
      </c>
      <c r="L681" s="304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4" t="str">
        <f>IF($J$1="September",Y680,"")</f>
        <v/>
      </c>
      <c r="V681" s="38"/>
      <c r="W681" s="64" t="str">
        <f t="shared" si="158"/>
        <v/>
      </c>
      <c r="X681" s="38"/>
      <c r="Y681" s="64" t="str">
        <f t="shared" si="159"/>
        <v/>
      </c>
      <c r="Z681" s="40"/>
    </row>
    <row r="682" spans="1:27" s="25" customFormat="1" ht="18" customHeight="1" x14ac:dyDescent="0.2">
      <c r="A682" s="279"/>
      <c r="B682" s="277"/>
      <c r="C682" s="277"/>
      <c r="D682" s="277"/>
      <c r="E682" s="277"/>
      <c r="F682" s="277"/>
      <c r="G682" s="277"/>
      <c r="H682" s="277"/>
      <c r="I682" s="277"/>
      <c r="J682" s="277"/>
      <c r="K682" s="277"/>
      <c r="L682" s="291"/>
      <c r="N682" s="35"/>
      <c r="O682" s="36" t="s">
        <v>50</v>
      </c>
      <c r="P682" s="443"/>
      <c r="Q682" s="443"/>
      <c r="R682" s="36">
        <v>0</v>
      </c>
      <c r="S682" s="27"/>
      <c r="T682" s="36" t="s">
        <v>50</v>
      </c>
      <c r="U682" s="64" t="str">
        <f>IF($J$1="October",Y681,"")</f>
        <v/>
      </c>
      <c r="V682" s="38"/>
      <c r="W682" s="64" t="str">
        <f t="shared" si="158"/>
        <v/>
      </c>
      <c r="X682" s="38"/>
      <c r="Y682" s="64" t="str">
        <f t="shared" si="159"/>
        <v/>
      </c>
      <c r="Z682" s="40"/>
    </row>
    <row r="683" spans="1:27" s="25" customFormat="1" ht="18" customHeight="1" x14ac:dyDescent="0.3">
      <c r="A683" s="279"/>
      <c r="B683" s="275"/>
      <c r="C683" s="275"/>
      <c r="D683" s="275"/>
      <c r="E683" s="275"/>
      <c r="F683" s="283"/>
      <c r="G683" s="275"/>
      <c r="H683" s="275"/>
      <c r="I683" s="275"/>
      <c r="J683" s="275"/>
      <c r="K683" s="275"/>
      <c r="L683" s="291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4"/>
      <c r="V683" s="38"/>
      <c r="W683" s="64" t="str">
        <f t="shared" si="158"/>
        <v/>
      </c>
      <c r="X683" s="38"/>
      <c r="Y683" s="64" t="str">
        <f t="shared" si="159"/>
        <v/>
      </c>
      <c r="Z683" s="40"/>
    </row>
    <row r="684" spans="1:27" s="25" customFormat="1" ht="18" customHeight="1" thickBot="1" x14ac:dyDescent="0.35">
      <c r="A684" s="305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7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4"/>
      <c r="V684" s="38"/>
      <c r="W684" s="64" t="str">
        <f t="shared" si="158"/>
        <v/>
      </c>
      <c r="X684" s="38"/>
      <c r="Y684" s="64" t="str">
        <f t="shared" si="159"/>
        <v/>
      </c>
      <c r="Z684" s="40"/>
    </row>
    <row r="685" spans="1:27" s="25" customFormat="1" ht="18" customHeight="1" thickBot="1" x14ac:dyDescent="0.25">
      <c r="A685" s="277"/>
      <c r="B685" s="277"/>
      <c r="C685" s="277"/>
      <c r="D685" s="277"/>
      <c r="E685" s="277"/>
      <c r="F685" s="277"/>
      <c r="G685" s="277"/>
      <c r="H685" s="277"/>
      <c r="I685" s="277"/>
      <c r="J685" s="277"/>
      <c r="K685" s="277"/>
      <c r="L685" s="27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7" s="25" customFormat="1" ht="18" customHeight="1" thickBot="1" x14ac:dyDescent="0.25">
      <c r="A686" s="390" t="s">
        <v>38</v>
      </c>
      <c r="B686" s="391"/>
      <c r="C686" s="391"/>
      <c r="D686" s="391"/>
      <c r="E686" s="391"/>
      <c r="F686" s="391"/>
      <c r="G686" s="391"/>
      <c r="H686" s="391"/>
      <c r="I686" s="391"/>
      <c r="J686" s="391"/>
      <c r="K686" s="391"/>
      <c r="L686" s="392"/>
      <c r="M686" s="24"/>
      <c r="N686" s="28"/>
      <c r="O686" s="385" t="s">
        <v>40</v>
      </c>
      <c r="P686" s="386"/>
      <c r="Q686" s="386"/>
      <c r="R686" s="387"/>
      <c r="S686" s="29"/>
      <c r="T686" s="385" t="s">
        <v>41</v>
      </c>
      <c r="U686" s="386"/>
      <c r="V686" s="386"/>
      <c r="W686" s="386"/>
      <c r="X686" s="386"/>
      <c r="Y686" s="387"/>
      <c r="Z686" s="27"/>
    </row>
    <row r="687" spans="1:27" s="25" customFormat="1" ht="18" customHeight="1" x14ac:dyDescent="0.2">
      <c r="A687" s="279"/>
      <c r="B687" s="277"/>
      <c r="C687" s="396" t="s">
        <v>212</v>
      </c>
      <c r="D687" s="396"/>
      <c r="E687" s="396"/>
      <c r="F687" s="396"/>
      <c r="G687" s="280" t="str">
        <f>$J$1</f>
        <v>January</v>
      </c>
      <c r="H687" s="399">
        <f>$K$1</f>
        <v>2024</v>
      </c>
      <c r="I687" s="399"/>
      <c r="J687" s="277"/>
      <c r="K687" s="281"/>
      <c r="L687" s="282"/>
      <c r="M687" s="26"/>
      <c r="N687" s="31"/>
      <c r="O687" s="32" t="s">
        <v>51</v>
      </c>
      <c r="P687" s="32" t="s">
        <v>7</v>
      </c>
      <c r="Q687" s="32" t="s">
        <v>6</v>
      </c>
      <c r="R687" s="32" t="s">
        <v>52</v>
      </c>
      <c r="S687" s="33"/>
      <c r="T687" s="32" t="s">
        <v>51</v>
      </c>
      <c r="U687" s="32" t="s">
        <v>53</v>
      </c>
      <c r="V687" s="32" t="s">
        <v>18</v>
      </c>
      <c r="W687" s="32" t="s">
        <v>17</v>
      </c>
      <c r="X687" s="32" t="s">
        <v>19</v>
      </c>
      <c r="Y687" s="32" t="s">
        <v>57</v>
      </c>
      <c r="Z687" s="27"/>
    </row>
    <row r="688" spans="1:27" s="25" customFormat="1" ht="18" customHeight="1" x14ac:dyDescent="0.2">
      <c r="A688" s="279"/>
      <c r="B688" s="277"/>
      <c r="C688" s="277"/>
      <c r="D688" s="283"/>
      <c r="E688" s="283"/>
      <c r="F688" s="283"/>
      <c r="G688" s="283"/>
      <c r="H688" s="283"/>
      <c r="I688" s="277"/>
      <c r="J688" s="284" t="s">
        <v>1</v>
      </c>
      <c r="K688" s="285">
        <v>60000</v>
      </c>
      <c r="L688" s="286"/>
      <c r="N688" s="35"/>
      <c r="O688" s="36" t="s">
        <v>43</v>
      </c>
      <c r="P688" s="36"/>
      <c r="Q688" s="36"/>
      <c r="R688" s="36"/>
      <c r="S688" s="37"/>
      <c r="T688" s="36" t="s">
        <v>43</v>
      </c>
      <c r="U688" s="38"/>
      <c r="V688" s="38"/>
      <c r="W688" s="38">
        <f>V688+U688</f>
        <v>0</v>
      </c>
      <c r="X688" s="38"/>
      <c r="Y688" s="38">
        <f>W688-X688</f>
        <v>0</v>
      </c>
      <c r="Z688" s="27"/>
    </row>
    <row r="689" spans="1:27" s="25" customFormat="1" ht="18" customHeight="1" x14ac:dyDescent="0.2">
      <c r="A689" s="279"/>
      <c r="B689" s="277" t="s">
        <v>0</v>
      </c>
      <c r="C689" s="276" t="s">
        <v>228</v>
      </c>
      <c r="D689" s="277"/>
      <c r="E689" s="277"/>
      <c r="F689" s="277"/>
      <c r="G689" s="277"/>
      <c r="H689" s="287"/>
      <c r="I689" s="283"/>
      <c r="J689" s="277"/>
      <c r="K689" s="277"/>
      <c r="L689" s="288"/>
      <c r="M689" s="24"/>
      <c r="N689" s="39"/>
      <c r="O689" s="36" t="s">
        <v>69</v>
      </c>
      <c r="P689" s="36"/>
      <c r="Q689" s="36"/>
      <c r="R689" s="36"/>
      <c r="S689" s="27"/>
      <c r="T689" s="36" t="s">
        <v>69</v>
      </c>
      <c r="U689" s="64" t="str">
        <f>IF($J$1="January","",Y688)</f>
        <v/>
      </c>
      <c r="V689" s="38"/>
      <c r="W689" s="64" t="str">
        <f>IF(U689="","",U689+V689)</f>
        <v/>
      </c>
      <c r="X689" s="38"/>
      <c r="Y689" s="64" t="str">
        <f>IF(W689="","",W689-X689)</f>
        <v/>
      </c>
      <c r="Z689" s="27"/>
    </row>
    <row r="690" spans="1:27" s="25" customFormat="1" ht="18" customHeight="1" x14ac:dyDescent="0.2">
      <c r="A690" s="279"/>
      <c r="B690" s="289" t="s">
        <v>39</v>
      </c>
      <c r="C690" s="349">
        <v>45267</v>
      </c>
      <c r="D690" s="277"/>
      <c r="E690" s="277"/>
      <c r="F690" s="393" t="s">
        <v>41</v>
      </c>
      <c r="G690" s="395"/>
      <c r="H690" s="277"/>
      <c r="I690" s="393" t="s">
        <v>42</v>
      </c>
      <c r="J690" s="394"/>
      <c r="K690" s="395"/>
      <c r="L690" s="291"/>
      <c r="N690" s="35"/>
      <c r="O690" s="36" t="s">
        <v>44</v>
      </c>
      <c r="P690" s="36"/>
      <c r="Q690" s="36"/>
      <c r="R690" s="36" t="str">
        <f t="shared" ref="R690:R698" si="160">IF(Q690="","",R689-Q690)</f>
        <v/>
      </c>
      <c r="S690" s="27"/>
      <c r="T690" s="36" t="s">
        <v>44</v>
      </c>
      <c r="U690" s="64" t="str">
        <f>IF($J$1="February","",Y689)</f>
        <v/>
      </c>
      <c r="V690" s="38"/>
      <c r="W690" s="64" t="str">
        <f t="shared" ref="W690:W699" si="161">IF(U690="","",U690+V690)</f>
        <v/>
      </c>
      <c r="X690" s="38"/>
      <c r="Y690" s="64" t="str">
        <f t="shared" ref="Y690:Y699" si="162">IF(W690="","",W690-X690)</f>
        <v/>
      </c>
      <c r="Z690" s="27"/>
    </row>
    <row r="691" spans="1:27" s="25" customFormat="1" ht="18" customHeight="1" x14ac:dyDescent="0.2">
      <c r="A691" s="279"/>
      <c r="B691" s="277"/>
      <c r="C691" s="277"/>
      <c r="D691" s="277"/>
      <c r="E691" s="277"/>
      <c r="F691" s="277"/>
      <c r="G691" s="277"/>
      <c r="H691" s="292"/>
      <c r="I691" s="277"/>
      <c r="J691" s="277"/>
      <c r="K691" s="277"/>
      <c r="L691" s="293"/>
      <c r="N691" s="35"/>
      <c r="O691" s="36" t="s">
        <v>45</v>
      </c>
      <c r="P691" s="36"/>
      <c r="Q691" s="36"/>
      <c r="R691" s="36">
        <v>0</v>
      </c>
      <c r="S691" s="27"/>
      <c r="T691" s="36" t="s">
        <v>45</v>
      </c>
      <c r="U691" s="64" t="str">
        <f>IF($J$1="March","",Y690)</f>
        <v/>
      </c>
      <c r="V691" s="38"/>
      <c r="W691" s="64" t="str">
        <f t="shared" si="161"/>
        <v/>
      </c>
      <c r="X691" s="38"/>
      <c r="Y691" s="64" t="str">
        <f t="shared" si="162"/>
        <v/>
      </c>
      <c r="Z691" s="27"/>
    </row>
    <row r="692" spans="1:27" s="25" customFormat="1" ht="18" customHeight="1" x14ac:dyDescent="0.2">
      <c r="A692" s="279"/>
      <c r="B692" s="397" t="s">
        <v>40</v>
      </c>
      <c r="C692" s="398"/>
      <c r="D692" s="277"/>
      <c r="E692" s="277"/>
      <c r="F692" s="294" t="s">
        <v>62</v>
      </c>
      <c r="G692" s="295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0</v>
      </c>
      <c r="H692" s="292"/>
      <c r="I692" s="296">
        <f>IF(C696&gt;0,$K$2,C694)</f>
        <v>0</v>
      </c>
      <c r="J692" s="297" t="s">
        <v>59</v>
      </c>
      <c r="K692" s="298">
        <f>K688/$K$2*I692</f>
        <v>0</v>
      </c>
      <c r="L692" s="299"/>
      <c r="N692" s="35"/>
      <c r="O692" s="36" t="s">
        <v>46</v>
      </c>
      <c r="P692" s="36"/>
      <c r="Q692" s="36"/>
      <c r="R692" s="36" t="str">
        <f t="shared" si="160"/>
        <v/>
      </c>
      <c r="S692" s="27"/>
      <c r="T692" s="36" t="s">
        <v>46</v>
      </c>
      <c r="U692" s="64" t="str">
        <f>IF($J$1="April","",Y691)</f>
        <v/>
      </c>
      <c r="V692" s="38"/>
      <c r="W692" s="64" t="str">
        <f t="shared" si="161"/>
        <v/>
      </c>
      <c r="X692" s="38"/>
      <c r="Y692" s="64" t="str">
        <f t="shared" si="162"/>
        <v/>
      </c>
      <c r="Z692" s="27"/>
    </row>
    <row r="693" spans="1:27" s="25" customFormat="1" ht="18" customHeight="1" x14ac:dyDescent="0.2">
      <c r="A693" s="279"/>
      <c r="B693" s="300"/>
      <c r="C693" s="300"/>
      <c r="D693" s="277"/>
      <c r="E693" s="277"/>
      <c r="F693" s="294" t="s">
        <v>18</v>
      </c>
      <c r="G693" s="295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292"/>
      <c r="I693" s="296"/>
      <c r="J693" s="297" t="s">
        <v>60</v>
      </c>
      <c r="K693" s="301">
        <f>K688/$K$2/8*I693</f>
        <v>0</v>
      </c>
      <c r="L693" s="302"/>
      <c r="N693" s="35"/>
      <c r="O693" s="36" t="s">
        <v>47</v>
      </c>
      <c r="P693" s="36"/>
      <c r="Q693" s="36"/>
      <c r="R693" s="36" t="str">
        <f t="shared" si="160"/>
        <v/>
      </c>
      <c r="S693" s="27"/>
      <c r="T693" s="36" t="s">
        <v>47</v>
      </c>
      <c r="U693" s="64" t="str">
        <f>IF($J$1="May","",Y692)</f>
        <v/>
      </c>
      <c r="V693" s="38"/>
      <c r="W693" s="64" t="str">
        <f t="shared" si="161"/>
        <v/>
      </c>
      <c r="X693" s="38"/>
      <c r="Y693" s="64" t="str">
        <f t="shared" si="162"/>
        <v/>
      </c>
      <c r="Z693" s="27"/>
    </row>
    <row r="694" spans="1:27" s="25" customFormat="1" ht="18" customHeight="1" x14ac:dyDescent="0.2">
      <c r="A694" s="279"/>
      <c r="B694" s="294" t="s">
        <v>7</v>
      </c>
      <c r="C694" s="300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0</v>
      </c>
      <c r="D694" s="277"/>
      <c r="E694" s="277"/>
      <c r="F694" s="294" t="s">
        <v>63</v>
      </c>
      <c r="G694" s="295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0</v>
      </c>
      <c r="H694" s="292"/>
      <c r="I694" s="388" t="s">
        <v>67</v>
      </c>
      <c r="J694" s="389"/>
      <c r="K694" s="301">
        <f>K692+K693</f>
        <v>0</v>
      </c>
      <c r="L694" s="302"/>
      <c r="N694" s="35"/>
      <c r="O694" s="36" t="s">
        <v>48</v>
      </c>
      <c r="P694" s="36"/>
      <c r="Q694" s="36"/>
      <c r="R694" s="36" t="str">
        <f t="shared" si="160"/>
        <v/>
      </c>
      <c r="S694" s="27"/>
      <c r="T694" s="36" t="s">
        <v>48</v>
      </c>
      <c r="U694" s="64" t="str">
        <f>IF($J$1="June","",Y693)</f>
        <v/>
      </c>
      <c r="V694" s="38"/>
      <c r="W694" s="64" t="str">
        <f t="shared" si="161"/>
        <v/>
      </c>
      <c r="X694" s="38"/>
      <c r="Y694" s="64" t="str">
        <f t="shared" si="162"/>
        <v/>
      </c>
      <c r="Z694" s="27"/>
    </row>
    <row r="695" spans="1:27" s="25" customFormat="1" ht="18" customHeight="1" x14ac:dyDescent="0.2">
      <c r="A695" s="279"/>
      <c r="B695" s="294" t="s">
        <v>6</v>
      </c>
      <c r="C695" s="300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0</v>
      </c>
      <c r="D695" s="277"/>
      <c r="E695" s="277"/>
      <c r="F695" s="294" t="s">
        <v>19</v>
      </c>
      <c r="G695" s="295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0</v>
      </c>
      <c r="H695" s="292"/>
      <c r="I695" s="388" t="s">
        <v>68</v>
      </c>
      <c r="J695" s="389"/>
      <c r="K695" s="295">
        <f>G695</f>
        <v>0</v>
      </c>
      <c r="L695" s="303"/>
      <c r="N695" s="35"/>
      <c r="O695" s="36" t="s">
        <v>49</v>
      </c>
      <c r="P695" s="36"/>
      <c r="Q695" s="36"/>
      <c r="R695" s="36">
        <v>0</v>
      </c>
      <c r="S695" s="27"/>
      <c r="T695" s="36" t="s">
        <v>49</v>
      </c>
      <c r="U695" s="64" t="str">
        <f>Y694</f>
        <v/>
      </c>
      <c r="V695" s="38"/>
      <c r="W695" s="64" t="str">
        <f t="shared" si="161"/>
        <v/>
      </c>
      <c r="X695" s="38"/>
      <c r="Y695" s="64" t="str">
        <f t="shared" si="162"/>
        <v/>
      </c>
      <c r="Z695" s="27"/>
    </row>
    <row r="696" spans="1:27" s="25" customFormat="1" ht="18" customHeight="1" x14ac:dyDescent="0.2">
      <c r="A696" s="279"/>
      <c r="B696" s="309" t="s">
        <v>66</v>
      </c>
      <c r="C696" s="300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277"/>
      <c r="E696" s="277"/>
      <c r="F696" s="309" t="s">
        <v>201</v>
      </c>
      <c r="G696" s="295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0</v>
      </c>
      <c r="H696" s="277"/>
      <c r="I696" s="393" t="s">
        <v>61</v>
      </c>
      <c r="J696" s="395"/>
      <c r="K696" s="234">
        <f>K694-K695</f>
        <v>0</v>
      </c>
      <c r="L696" s="304"/>
      <c r="N696" s="35"/>
      <c r="O696" s="36" t="s">
        <v>54</v>
      </c>
      <c r="P696" s="36"/>
      <c r="Q696" s="36"/>
      <c r="R696" s="36">
        <v>0</v>
      </c>
      <c r="S696" s="27"/>
      <c r="T696" s="36" t="s">
        <v>54</v>
      </c>
      <c r="U696" s="64">
        <v>0</v>
      </c>
      <c r="V696" s="38"/>
      <c r="W696" s="64">
        <f t="shared" si="161"/>
        <v>0</v>
      </c>
      <c r="X696" s="38"/>
      <c r="Y696" s="64">
        <f t="shared" si="162"/>
        <v>0</v>
      </c>
      <c r="Z696" s="40"/>
    </row>
    <row r="697" spans="1:27" s="25" customFormat="1" ht="18" customHeight="1" x14ac:dyDescent="0.2">
      <c r="A697" s="279"/>
      <c r="B697" s="277"/>
      <c r="C697" s="277"/>
      <c r="D697" s="277"/>
      <c r="E697" s="277"/>
      <c r="F697" s="277"/>
      <c r="G697" s="277"/>
      <c r="H697" s="277"/>
      <c r="I697" s="277"/>
      <c r="J697" s="277"/>
      <c r="K697" s="277"/>
      <c r="L697" s="291"/>
      <c r="N697" s="35"/>
      <c r="O697" s="36" t="s">
        <v>50</v>
      </c>
      <c r="P697" s="36"/>
      <c r="Q697" s="36"/>
      <c r="R697" s="36">
        <v>0</v>
      </c>
      <c r="S697" s="27"/>
      <c r="T697" s="36" t="s">
        <v>50</v>
      </c>
      <c r="U697" s="64" t="str">
        <f>IF($J$1="October",Y696,"")</f>
        <v/>
      </c>
      <c r="V697" s="38"/>
      <c r="W697" s="64" t="str">
        <f t="shared" si="161"/>
        <v/>
      </c>
      <c r="X697" s="38"/>
      <c r="Y697" s="64" t="str">
        <f t="shared" si="162"/>
        <v/>
      </c>
      <c r="Z697" s="40"/>
    </row>
    <row r="698" spans="1:27" s="25" customFormat="1" ht="18" customHeight="1" x14ac:dyDescent="0.3">
      <c r="A698" s="279"/>
      <c r="B698" s="275"/>
      <c r="C698" s="275"/>
      <c r="D698" s="275"/>
      <c r="E698" s="275"/>
      <c r="F698" s="275"/>
      <c r="G698" s="275"/>
      <c r="H698" s="275"/>
      <c r="I698" s="275"/>
      <c r="J698" s="275"/>
      <c r="K698" s="275"/>
      <c r="L698" s="291"/>
      <c r="N698" s="35"/>
      <c r="O698" s="36" t="s">
        <v>55</v>
      </c>
      <c r="P698" s="36"/>
      <c r="Q698" s="36"/>
      <c r="R698" s="36" t="str">
        <f t="shared" si="160"/>
        <v/>
      </c>
      <c r="S698" s="27"/>
      <c r="T698" s="36" t="s">
        <v>55</v>
      </c>
      <c r="U698" s="64" t="str">
        <f>Y697</f>
        <v/>
      </c>
      <c r="V698" s="38"/>
      <c r="W698" s="64" t="str">
        <f t="shared" si="161"/>
        <v/>
      </c>
      <c r="X698" s="38"/>
      <c r="Y698" s="64" t="str">
        <f t="shared" si="162"/>
        <v/>
      </c>
      <c r="Z698" s="27"/>
    </row>
    <row r="699" spans="1:27" s="25" customFormat="1" ht="18" customHeight="1" thickBot="1" x14ac:dyDescent="0.35">
      <c r="A699" s="305"/>
      <c r="B699" s="306"/>
      <c r="C699" s="306"/>
      <c r="D699" s="306"/>
      <c r="E699" s="306"/>
      <c r="F699" s="306"/>
      <c r="G699" s="306"/>
      <c r="H699" s="306"/>
      <c r="I699" s="306"/>
      <c r="J699" s="306"/>
      <c r="K699" s="306"/>
      <c r="L699" s="307"/>
      <c r="N699" s="35"/>
      <c r="O699" s="36" t="s">
        <v>56</v>
      </c>
      <c r="P699" s="443"/>
      <c r="Q699" s="443"/>
      <c r="R699" s="36">
        <v>0</v>
      </c>
      <c r="S699" s="27"/>
      <c r="T699" s="36" t="s">
        <v>56</v>
      </c>
      <c r="U699" s="64">
        <v>0</v>
      </c>
      <c r="V699" s="38"/>
      <c r="W699" s="64">
        <f t="shared" si="161"/>
        <v>0</v>
      </c>
      <c r="X699" s="38"/>
      <c r="Y699" s="64">
        <f t="shared" si="162"/>
        <v>0</v>
      </c>
      <c r="Z699" s="27"/>
    </row>
    <row r="700" spans="1:27" s="25" customFormat="1" ht="18" customHeight="1" thickBot="1" x14ac:dyDescent="0.35">
      <c r="A700" s="279"/>
      <c r="B700" s="275"/>
      <c r="C700" s="275"/>
      <c r="D700" s="275"/>
      <c r="E700" s="275"/>
      <c r="F700" s="275"/>
      <c r="G700" s="275"/>
      <c r="H700" s="275"/>
      <c r="I700" s="275"/>
      <c r="J700" s="275"/>
      <c r="K700" s="275"/>
      <c r="L700" s="291"/>
      <c r="N700" s="35"/>
      <c r="O700" s="350"/>
      <c r="P700" s="58"/>
      <c r="Q700" s="58"/>
      <c r="R700" s="351"/>
      <c r="S700" s="27"/>
      <c r="T700" s="350"/>
      <c r="U700" s="352"/>
      <c r="V700" s="353"/>
      <c r="W700" s="352"/>
      <c r="X700" s="353"/>
      <c r="Y700" s="354"/>
      <c r="Z700" s="27"/>
    </row>
    <row r="701" spans="1:27" s="25" customFormat="1" ht="18" customHeight="1" x14ac:dyDescent="0.2">
      <c r="A701" s="411" t="s">
        <v>38</v>
      </c>
      <c r="B701" s="412"/>
      <c r="C701" s="412"/>
      <c r="D701" s="412"/>
      <c r="E701" s="412"/>
      <c r="F701" s="412"/>
      <c r="G701" s="412"/>
      <c r="H701" s="412"/>
      <c r="I701" s="412"/>
      <c r="J701" s="412"/>
      <c r="K701" s="412"/>
      <c r="L701" s="413"/>
      <c r="M701" s="24"/>
      <c r="N701" s="28"/>
      <c r="O701" s="385" t="s">
        <v>40</v>
      </c>
      <c r="P701" s="386"/>
      <c r="Q701" s="386"/>
      <c r="R701" s="387"/>
      <c r="S701" s="29"/>
      <c r="T701" s="385" t="s">
        <v>41</v>
      </c>
      <c r="U701" s="386"/>
      <c r="V701" s="386"/>
      <c r="W701" s="386"/>
      <c r="X701" s="386"/>
      <c r="Y701" s="387"/>
      <c r="Z701" s="30"/>
      <c r="AA701" s="24"/>
    </row>
    <row r="702" spans="1:27" s="25" customFormat="1" ht="18" customHeight="1" x14ac:dyDescent="0.2">
      <c r="A702" s="279"/>
      <c r="B702" s="277"/>
      <c r="C702" s="396" t="s">
        <v>212</v>
      </c>
      <c r="D702" s="396"/>
      <c r="E702" s="396"/>
      <c r="F702" s="396"/>
      <c r="G702" s="280" t="str">
        <f>$J$1</f>
        <v>January</v>
      </c>
      <c r="H702" s="399">
        <f>$K$1</f>
        <v>2024</v>
      </c>
      <c r="I702" s="399"/>
      <c r="J702" s="277"/>
      <c r="K702" s="281"/>
      <c r="L702" s="282"/>
      <c r="M702" s="26"/>
      <c r="N702" s="31"/>
      <c r="O702" s="32" t="s">
        <v>51</v>
      </c>
      <c r="P702" s="32" t="s">
        <v>7</v>
      </c>
      <c r="Q702" s="32" t="s">
        <v>6</v>
      </c>
      <c r="R702" s="32" t="s">
        <v>52</v>
      </c>
      <c r="S702" s="33"/>
      <c r="T702" s="32" t="s">
        <v>51</v>
      </c>
      <c r="U702" s="32" t="s">
        <v>53</v>
      </c>
      <c r="V702" s="32" t="s">
        <v>18</v>
      </c>
      <c r="W702" s="32" t="s">
        <v>17</v>
      </c>
      <c r="X702" s="32" t="s">
        <v>19</v>
      </c>
      <c r="Y702" s="32" t="s">
        <v>57</v>
      </c>
      <c r="Z702" s="34"/>
      <c r="AA702" s="26"/>
    </row>
    <row r="703" spans="1:27" s="25" customFormat="1" ht="18" customHeight="1" x14ac:dyDescent="0.2">
      <c r="A703" s="279"/>
      <c r="B703" s="277"/>
      <c r="C703" s="277"/>
      <c r="D703" s="283"/>
      <c r="E703" s="283"/>
      <c r="F703" s="283"/>
      <c r="G703" s="283"/>
      <c r="H703" s="283"/>
      <c r="I703" s="277"/>
      <c r="J703" s="284" t="s">
        <v>1</v>
      </c>
      <c r="K703" s="285">
        <v>70000</v>
      </c>
      <c r="L703" s="286"/>
      <c r="N703" s="35"/>
      <c r="O703" s="36" t="s">
        <v>43</v>
      </c>
      <c r="P703" s="36"/>
      <c r="Q703" s="36"/>
      <c r="R703" s="36"/>
      <c r="S703" s="37"/>
      <c r="T703" s="36" t="s">
        <v>43</v>
      </c>
      <c r="U703" s="38">
        <v>80000</v>
      </c>
      <c r="V703" s="38"/>
      <c r="W703" s="38">
        <f>V703+U703</f>
        <v>80000</v>
      </c>
      <c r="X703" s="38"/>
      <c r="Y703" s="38">
        <f>W703-X703</f>
        <v>80000</v>
      </c>
      <c r="Z703" s="34"/>
    </row>
    <row r="704" spans="1:27" s="25" customFormat="1" ht="18" customHeight="1" x14ac:dyDescent="0.2">
      <c r="A704" s="279"/>
      <c r="B704" s="277" t="s">
        <v>0</v>
      </c>
      <c r="C704" s="276" t="s">
        <v>211</v>
      </c>
      <c r="D704" s="277"/>
      <c r="E704" s="277"/>
      <c r="F704" s="277"/>
      <c r="G704" s="277"/>
      <c r="H704" s="287"/>
      <c r="I704" s="283"/>
      <c r="J704" s="277"/>
      <c r="K704" s="277"/>
      <c r="L704" s="288"/>
      <c r="M704" s="24"/>
      <c r="N704" s="39"/>
      <c r="O704" s="36" t="s">
        <v>69</v>
      </c>
      <c r="P704" s="36"/>
      <c r="Q704" s="36"/>
      <c r="R704" s="36" t="str">
        <f t="shared" ref="R704:R711" si="163">IF(Q704="","",R703-Q704)</f>
        <v/>
      </c>
      <c r="S704" s="27"/>
      <c r="T704" s="36" t="s">
        <v>69</v>
      </c>
      <c r="U704" s="64"/>
      <c r="V704" s="38"/>
      <c r="W704" s="64" t="str">
        <f>IF(U704="","",U704+V704)</f>
        <v/>
      </c>
      <c r="X704" s="38"/>
      <c r="Y704" s="64" t="str">
        <f>IF(W704="","",W704-X704)</f>
        <v/>
      </c>
      <c r="Z704" s="40"/>
      <c r="AA704" s="24"/>
    </row>
    <row r="705" spans="1:27" s="25" customFormat="1" ht="18" customHeight="1" x14ac:dyDescent="0.2">
      <c r="A705" s="279"/>
      <c r="B705" s="289" t="s">
        <v>39</v>
      </c>
      <c r="C705" s="290"/>
      <c r="D705" s="277"/>
      <c r="E705" s="277"/>
      <c r="F705" s="403" t="s">
        <v>41</v>
      </c>
      <c r="G705" s="403"/>
      <c r="H705" s="277"/>
      <c r="I705" s="403" t="s">
        <v>42</v>
      </c>
      <c r="J705" s="403"/>
      <c r="K705" s="403"/>
      <c r="L705" s="291"/>
      <c r="N705" s="35"/>
      <c r="O705" s="36" t="s">
        <v>44</v>
      </c>
      <c r="P705" s="36"/>
      <c r="Q705" s="36"/>
      <c r="R705" s="36" t="str">
        <f t="shared" si="163"/>
        <v/>
      </c>
      <c r="S705" s="27"/>
      <c r="T705" s="36" t="s">
        <v>44</v>
      </c>
      <c r="U705" s="64" t="str">
        <f>IF($J$1="April",Y704,Y704)</f>
        <v/>
      </c>
      <c r="V705" s="38"/>
      <c r="W705" s="64" t="str">
        <f t="shared" ref="W705:W714" si="164">IF(U705="","",U705+V705)</f>
        <v/>
      </c>
      <c r="X705" s="38"/>
      <c r="Y705" s="64" t="str">
        <f t="shared" ref="Y705:Y714" si="165">IF(W705="","",W705-X705)</f>
        <v/>
      </c>
      <c r="Z705" s="40"/>
    </row>
    <row r="706" spans="1:27" s="25" customFormat="1" ht="18" customHeight="1" x14ac:dyDescent="0.2">
      <c r="A706" s="279"/>
      <c r="B706" s="277"/>
      <c r="C706" s="277"/>
      <c r="D706" s="277"/>
      <c r="E706" s="277"/>
      <c r="F706" s="277"/>
      <c r="G706" s="277"/>
      <c r="H706" s="292"/>
      <c r="I706" s="277"/>
      <c r="J706" s="277"/>
      <c r="K706" s="277"/>
      <c r="L706" s="293"/>
      <c r="N706" s="35"/>
      <c r="O706" s="36" t="s">
        <v>45</v>
      </c>
      <c r="P706" s="36"/>
      <c r="Q706" s="36"/>
      <c r="R706" s="36">
        <v>0</v>
      </c>
      <c r="S706" s="27"/>
      <c r="T706" s="36" t="s">
        <v>45</v>
      </c>
      <c r="U706" s="64" t="str">
        <f>IF($J$1="April",Y705,Y705)</f>
        <v/>
      </c>
      <c r="V706" s="38"/>
      <c r="W706" s="64" t="str">
        <f t="shared" si="164"/>
        <v/>
      </c>
      <c r="X706" s="38"/>
      <c r="Y706" s="64" t="str">
        <f t="shared" si="165"/>
        <v/>
      </c>
      <c r="Z706" s="40"/>
    </row>
    <row r="707" spans="1:27" s="25" customFormat="1" ht="18" customHeight="1" x14ac:dyDescent="0.2">
      <c r="A707" s="279"/>
      <c r="B707" s="397" t="s">
        <v>40</v>
      </c>
      <c r="C707" s="398"/>
      <c r="D707" s="277"/>
      <c r="E707" s="277"/>
      <c r="F707" s="294" t="s">
        <v>62</v>
      </c>
      <c r="G707" s="295">
        <f>IF($J$1="January",U703,IF($J$1="February",U704,IF($J$1="March",U705,IF($J$1="April",U706,IF($J$1="May",U707,IF($J$1="June",U708,IF($J$1="July",U709,IF($J$1="August",U710,IF($J$1="August",U710,IF($J$1="September",U711,IF($J$1="October",U712,IF($J$1="November",U713,IF($J$1="December",U714)))))))))))))</f>
        <v>80000</v>
      </c>
      <c r="H707" s="292"/>
      <c r="I707" s="296">
        <f>IF(C711&gt;0,$K$2,C709)</f>
        <v>0</v>
      </c>
      <c r="J707" s="297" t="s">
        <v>59</v>
      </c>
      <c r="K707" s="298">
        <f>K703/$K$2*I707</f>
        <v>0</v>
      </c>
      <c r="L707" s="299"/>
      <c r="N707" s="35"/>
      <c r="O707" s="36" t="s">
        <v>46</v>
      </c>
      <c r="P707" s="36"/>
      <c r="Q707" s="36"/>
      <c r="R707" s="36">
        <v>0</v>
      </c>
      <c r="S707" s="27"/>
      <c r="T707" s="36" t="s">
        <v>46</v>
      </c>
      <c r="U707" s="64" t="str">
        <f>IF($J$1="May",Y706,Y706)</f>
        <v/>
      </c>
      <c r="V707" s="38"/>
      <c r="W707" s="64" t="str">
        <f t="shared" si="164"/>
        <v/>
      </c>
      <c r="X707" s="38"/>
      <c r="Y707" s="64" t="str">
        <f t="shared" si="165"/>
        <v/>
      </c>
      <c r="Z707" s="40"/>
    </row>
    <row r="708" spans="1:27" s="25" customFormat="1" ht="18" customHeight="1" x14ac:dyDescent="0.2">
      <c r="A708" s="279"/>
      <c r="B708" s="300"/>
      <c r="C708" s="300"/>
      <c r="D708" s="277"/>
      <c r="E708" s="277"/>
      <c r="F708" s="294" t="s">
        <v>18</v>
      </c>
      <c r="G708" s="295">
        <f>IF($J$1="January",V703,IF($J$1="February",V704,IF($J$1="March",V705,IF($J$1="April",V706,IF($J$1="May",V707,IF($J$1="June",V708,IF($J$1="July",V709,IF($J$1="August",V710,IF($J$1="August",V710,IF($J$1="September",V711,IF($J$1="October",V712,IF($J$1="November",V713,IF($J$1="December",V714)))))))))))))</f>
        <v>0</v>
      </c>
      <c r="H708" s="292"/>
      <c r="I708" s="314"/>
      <c r="J708" s="297" t="s">
        <v>60</v>
      </c>
      <c r="K708" s="301">
        <f>K703/$K$2/8*I708</f>
        <v>0</v>
      </c>
      <c r="L708" s="302"/>
      <c r="N708" s="35"/>
      <c r="O708" s="36" t="s">
        <v>47</v>
      </c>
      <c r="P708" s="36"/>
      <c r="Q708" s="36"/>
      <c r="R708" s="36" t="str">
        <f t="shared" si="163"/>
        <v/>
      </c>
      <c r="S708" s="27"/>
      <c r="T708" s="36" t="s">
        <v>47</v>
      </c>
      <c r="U708" s="64" t="str">
        <f>IF($J$1="May",Y707,Y707)</f>
        <v/>
      </c>
      <c r="V708" s="38"/>
      <c r="W708" s="64" t="str">
        <f t="shared" si="164"/>
        <v/>
      </c>
      <c r="X708" s="38"/>
      <c r="Y708" s="64" t="str">
        <f t="shared" si="165"/>
        <v/>
      </c>
      <c r="Z708" s="40"/>
    </row>
    <row r="709" spans="1:27" s="25" customFormat="1" ht="18" customHeight="1" x14ac:dyDescent="0.2">
      <c r="A709" s="279"/>
      <c r="B709" s="294" t="s">
        <v>7</v>
      </c>
      <c r="C709" s="300">
        <f>IF($J$1="January",P703,IF($J$1="February",P704,IF($J$1="March",P705,IF($J$1="April",P706,IF($J$1="May",P707,IF($J$1="June",P708,IF($J$1="July",P709,IF($J$1="August",P710,IF($J$1="August",P710,IF($J$1="September",P711,IF($J$1="October",P712,IF($J$1="November",P713,IF($J$1="December",P714)))))))))))))</f>
        <v>0</v>
      </c>
      <c r="D709" s="277"/>
      <c r="E709" s="277"/>
      <c r="F709" s="294" t="s">
        <v>63</v>
      </c>
      <c r="G709" s="295">
        <f>IF($J$1="January",W703,IF($J$1="February",W704,IF($J$1="March",W705,IF($J$1="April",W706,IF($J$1="May",W707,IF($J$1="June",W708,IF($J$1="July",W709,IF($J$1="August",W710,IF($J$1="August",W710,IF($J$1="September",W711,IF($J$1="October",W712,IF($J$1="November",W713,IF($J$1="December",W714)))))))))))))</f>
        <v>80000</v>
      </c>
      <c r="H709" s="292"/>
      <c r="I709" s="388" t="s">
        <v>67</v>
      </c>
      <c r="J709" s="389"/>
      <c r="K709" s="301">
        <f>K707+K708</f>
        <v>0</v>
      </c>
      <c r="L709" s="302"/>
      <c r="N709" s="35"/>
      <c r="O709" s="36" t="s">
        <v>48</v>
      </c>
      <c r="P709" s="36"/>
      <c r="Q709" s="36"/>
      <c r="R709" s="36">
        <v>0</v>
      </c>
      <c r="S709" s="27"/>
      <c r="T709" s="36" t="s">
        <v>48</v>
      </c>
      <c r="U709" s="64" t="str">
        <f>IF($J$1="June","",Y708)</f>
        <v/>
      </c>
      <c r="V709" s="38"/>
      <c r="W709" s="64" t="str">
        <f t="shared" si="164"/>
        <v/>
      </c>
      <c r="X709" s="38"/>
      <c r="Y709" s="64" t="str">
        <f t="shared" si="165"/>
        <v/>
      </c>
      <c r="Z709" s="40"/>
    </row>
    <row r="710" spans="1:27" s="25" customFormat="1" ht="18" customHeight="1" x14ac:dyDescent="0.2">
      <c r="A710" s="279"/>
      <c r="B710" s="294" t="s">
        <v>6</v>
      </c>
      <c r="C710" s="300">
        <f>IF($J$1="January",Q703,IF($J$1="February",Q704,IF($J$1="March",Q705,IF($J$1="April",Q706,IF($J$1="May",Q707,IF($J$1="June",Q708,IF($J$1="July",Q709,IF($J$1="August",Q710,IF($J$1="August",Q710,IF($J$1="September",Q711,IF($J$1="October",Q712,IF($J$1="November",Q713,IF($J$1="December",Q714)))))))))))))</f>
        <v>0</v>
      </c>
      <c r="D710" s="277"/>
      <c r="E710" s="277"/>
      <c r="F710" s="294" t="s">
        <v>19</v>
      </c>
      <c r="G710" s="295">
        <f>IF($J$1="January",X703,IF($J$1="February",X704,IF($J$1="March",X705,IF($J$1="April",X706,IF($J$1="May",X707,IF($J$1="June",X708,IF($J$1="July",X709,IF($J$1="August",X710,IF($J$1="August",X710,IF($J$1="September",X711,IF($J$1="October",X712,IF($J$1="November",X713,IF($J$1="December",X714)))))))))))))</f>
        <v>0</v>
      </c>
      <c r="H710" s="292"/>
      <c r="I710" s="388" t="s">
        <v>68</v>
      </c>
      <c r="J710" s="389"/>
      <c r="K710" s="295">
        <f>G710</f>
        <v>0</v>
      </c>
      <c r="L710" s="303"/>
      <c r="N710" s="35"/>
      <c r="O710" s="36" t="s">
        <v>49</v>
      </c>
      <c r="P710" s="36"/>
      <c r="Q710" s="36"/>
      <c r="R710" s="36">
        <v>0</v>
      </c>
      <c r="S710" s="27"/>
      <c r="T710" s="36" t="s">
        <v>49</v>
      </c>
      <c r="U710" s="64" t="str">
        <f>IF($J$1="July","",Y709)</f>
        <v/>
      </c>
      <c r="V710" s="38"/>
      <c r="W710" s="64" t="str">
        <f t="shared" si="164"/>
        <v/>
      </c>
      <c r="X710" s="38"/>
      <c r="Y710" s="64" t="str">
        <f t="shared" si="165"/>
        <v/>
      </c>
      <c r="Z710" s="40"/>
    </row>
    <row r="711" spans="1:27" s="25" customFormat="1" ht="18" customHeight="1" x14ac:dyDescent="0.2">
      <c r="A711" s="279"/>
      <c r="B711" s="312" t="s">
        <v>66</v>
      </c>
      <c r="C711" s="300">
        <f>IF($J$1="January",R703,IF($J$1="February",R704,IF($J$1="March",R705,IF($J$1="April",R706,IF($J$1="May",R707,IF($J$1="June",R708,IF($J$1="July",R709,IF($J$1="August",R710,IF($J$1="August",R710,IF($J$1="September",R711,IF($J$1="October",R712,IF($J$1="November",R713,IF($J$1="December",R714)))))))))))))</f>
        <v>0</v>
      </c>
      <c r="D711" s="277"/>
      <c r="E711" s="277"/>
      <c r="F711" s="294" t="s">
        <v>65</v>
      </c>
      <c r="G711" s="295">
        <f>IF($J$1="January",Y703,IF($J$1="February",Y704,IF($J$1="March",Y705,IF($J$1="April",Y706,IF($J$1="May",Y707,IF($J$1="June",Y708,IF($J$1="July",Y709,IF($J$1="August",Y710,IF($J$1="August",Y710,IF($J$1="September",Y711,IF($J$1="October",Y712,IF($J$1="November",Y713,IF($J$1="December",Y714)))))))))))))</f>
        <v>80000</v>
      </c>
      <c r="H711" s="277"/>
      <c r="I711" s="393" t="s">
        <v>61</v>
      </c>
      <c r="J711" s="395"/>
      <c r="K711" s="234">
        <f>K709-K710</f>
        <v>0</v>
      </c>
      <c r="L711" s="304"/>
      <c r="N711" s="35"/>
      <c r="O711" s="36" t="s">
        <v>54</v>
      </c>
      <c r="P711" s="443"/>
      <c r="Q711" s="443"/>
      <c r="R711" s="36" t="str">
        <f t="shared" si="163"/>
        <v/>
      </c>
      <c r="S711" s="27"/>
      <c r="T711" s="36" t="s">
        <v>54</v>
      </c>
      <c r="U711" s="64" t="str">
        <f>Y710</f>
        <v/>
      </c>
      <c r="V711" s="38"/>
      <c r="W711" s="64" t="str">
        <f t="shared" si="164"/>
        <v/>
      </c>
      <c r="X711" s="38"/>
      <c r="Y711" s="64" t="str">
        <f t="shared" si="165"/>
        <v/>
      </c>
      <c r="Z711" s="40"/>
    </row>
    <row r="712" spans="1:27" s="25" customFormat="1" ht="18" customHeight="1" x14ac:dyDescent="0.2">
      <c r="A712" s="279"/>
      <c r="B712" s="277"/>
      <c r="C712" s="277"/>
      <c r="D712" s="277"/>
      <c r="E712" s="277"/>
      <c r="F712" s="277"/>
      <c r="G712" s="277"/>
      <c r="H712" s="277"/>
      <c r="I712" s="277"/>
      <c r="J712" s="277"/>
      <c r="K712" s="277"/>
      <c r="L712" s="291"/>
      <c r="N712" s="35"/>
      <c r="O712" s="36" t="s">
        <v>50</v>
      </c>
      <c r="P712" s="36"/>
      <c r="Q712" s="36"/>
      <c r="R712" s="36">
        <v>0</v>
      </c>
      <c r="S712" s="27"/>
      <c r="T712" s="36" t="s">
        <v>50</v>
      </c>
      <c r="U712" s="64" t="str">
        <f>Y711</f>
        <v/>
      </c>
      <c r="V712" s="38"/>
      <c r="W712" s="64" t="str">
        <f t="shared" si="164"/>
        <v/>
      </c>
      <c r="X712" s="38"/>
      <c r="Y712" s="64" t="str">
        <f t="shared" si="165"/>
        <v/>
      </c>
      <c r="Z712" s="40"/>
    </row>
    <row r="713" spans="1:27" s="25" customFormat="1" ht="18" customHeight="1" x14ac:dyDescent="0.2">
      <c r="A713" s="279"/>
      <c r="B713" s="404" t="s">
        <v>82</v>
      </c>
      <c r="C713" s="404"/>
      <c r="D713" s="404"/>
      <c r="E713" s="404"/>
      <c r="F713" s="404"/>
      <c r="G713" s="404"/>
      <c r="H713" s="404"/>
      <c r="I713" s="404"/>
      <c r="J713" s="404"/>
      <c r="K713" s="404"/>
      <c r="L713" s="291"/>
      <c r="N713" s="35"/>
      <c r="O713" s="36" t="s">
        <v>55</v>
      </c>
      <c r="P713" s="36"/>
      <c r="Q713" s="36"/>
      <c r="R713" s="36">
        <v>0</v>
      </c>
      <c r="S713" s="27"/>
      <c r="T713" s="36" t="s">
        <v>55</v>
      </c>
      <c r="U713" s="64" t="str">
        <f>Y712</f>
        <v/>
      </c>
      <c r="V713" s="38"/>
      <c r="W713" s="64" t="str">
        <f t="shared" si="164"/>
        <v/>
      </c>
      <c r="X713" s="38"/>
      <c r="Y713" s="64" t="str">
        <f t="shared" si="165"/>
        <v/>
      </c>
      <c r="Z713" s="40"/>
    </row>
    <row r="714" spans="1:27" s="25" customFormat="1" ht="18" customHeight="1" x14ac:dyDescent="0.2">
      <c r="A714" s="279"/>
      <c r="B714" s="404"/>
      <c r="C714" s="404"/>
      <c r="D714" s="404"/>
      <c r="E714" s="404"/>
      <c r="F714" s="404"/>
      <c r="G714" s="404"/>
      <c r="H714" s="404"/>
      <c r="I714" s="404"/>
      <c r="J714" s="404"/>
      <c r="K714" s="404"/>
      <c r="L714" s="291"/>
      <c r="N714" s="35"/>
      <c r="O714" s="36" t="s">
        <v>56</v>
      </c>
      <c r="P714" s="36"/>
      <c r="Q714" s="36"/>
      <c r="R714" s="36">
        <v>0</v>
      </c>
      <c r="S714" s="27"/>
      <c r="T714" s="36" t="s">
        <v>56</v>
      </c>
      <c r="U714" s="64" t="str">
        <f>Y713</f>
        <v/>
      </c>
      <c r="V714" s="38"/>
      <c r="W714" s="64" t="str">
        <f t="shared" si="164"/>
        <v/>
      </c>
      <c r="X714" s="38"/>
      <c r="Y714" s="64" t="str">
        <f t="shared" si="165"/>
        <v/>
      </c>
      <c r="Z714" s="40"/>
    </row>
    <row r="715" spans="1:27" s="25" customFormat="1" ht="18" customHeight="1" thickBot="1" x14ac:dyDescent="0.25">
      <c r="A715" s="305"/>
      <c r="B715" s="313"/>
      <c r="C715" s="313"/>
      <c r="D715" s="313"/>
      <c r="E715" s="313"/>
      <c r="F715" s="313"/>
      <c r="G715" s="313"/>
      <c r="H715" s="313"/>
      <c r="I715" s="313"/>
      <c r="J715" s="313"/>
      <c r="K715" s="313"/>
      <c r="L715" s="307"/>
      <c r="N715" s="41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3"/>
    </row>
    <row r="716" spans="1:27" s="25" customFormat="1" ht="18" customHeight="1" thickBot="1" x14ac:dyDescent="0.25">
      <c r="A716" s="277"/>
      <c r="B716" s="277"/>
      <c r="C716" s="277"/>
      <c r="D716" s="277"/>
      <c r="E716" s="277"/>
      <c r="F716" s="277"/>
      <c r="G716" s="277"/>
      <c r="H716" s="277"/>
      <c r="I716" s="277"/>
      <c r="J716" s="277"/>
      <c r="K716" s="277"/>
      <c r="L716" s="27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7" s="25" customFormat="1" ht="18" customHeight="1" x14ac:dyDescent="0.2">
      <c r="A717" s="405" t="s">
        <v>38</v>
      </c>
      <c r="B717" s="406"/>
      <c r="C717" s="406"/>
      <c r="D717" s="406"/>
      <c r="E717" s="406"/>
      <c r="F717" s="406"/>
      <c r="G717" s="406"/>
      <c r="H717" s="406"/>
      <c r="I717" s="406"/>
      <c r="J717" s="406"/>
      <c r="K717" s="406"/>
      <c r="L717" s="407"/>
      <c r="M717" s="24"/>
      <c r="N717" s="28"/>
      <c r="O717" s="385" t="s">
        <v>40</v>
      </c>
      <c r="P717" s="386"/>
      <c r="Q717" s="386"/>
      <c r="R717" s="387"/>
      <c r="S717" s="29"/>
      <c r="T717" s="385" t="s">
        <v>41</v>
      </c>
      <c r="U717" s="386"/>
      <c r="V717" s="386"/>
      <c r="W717" s="386"/>
      <c r="X717" s="386"/>
      <c r="Y717" s="387"/>
      <c r="Z717" s="30"/>
      <c r="AA717" s="24"/>
    </row>
    <row r="718" spans="1:27" s="25" customFormat="1" ht="18" customHeight="1" x14ac:dyDescent="0.2">
      <c r="A718" s="279"/>
      <c r="B718" s="277"/>
      <c r="C718" s="396" t="s">
        <v>212</v>
      </c>
      <c r="D718" s="396"/>
      <c r="E718" s="396"/>
      <c r="F718" s="396"/>
      <c r="G718" s="280" t="str">
        <f>$J$1</f>
        <v>January</v>
      </c>
      <c r="H718" s="399">
        <f>$K$1</f>
        <v>2024</v>
      </c>
      <c r="I718" s="399"/>
      <c r="J718" s="277"/>
      <c r="K718" s="281"/>
      <c r="L718" s="282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9"/>
      <c r="B719" s="277"/>
      <c r="C719" s="277"/>
      <c r="D719" s="283"/>
      <c r="E719" s="283"/>
      <c r="F719" s="283"/>
      <c r="G719" s="283"/>
      <c r="H719" s="283"/>
      <c r="I719" s="277"/>
      <c r="J719" s="284" t="s">
        <v>1</v>
      </c>
      <c r="K719" s="285"/>
      <c r="L719" s="286"/>
      <c r="N719" s="35"/>
      <c r="O719" s="36" t="s">
        <v>43</v>
      </c>
      <c r="P719" s="36"/>
      <c r="Q719" s="36"/>
      <c r="R719" s="36"/>
      <c r="S719" s="37"/>
      <c r="T719" s="36" t="s">
        <v>43</v>
      </c>
      <c r="U719" s="38"/>
      <c r="V719" s="38"/>
      <c r="W719" s="38">
        <f>V719+U719</f>
        <v>0</v>
      </c>
      <c r="X719" s="38"/>
      <c r="Y719" s="38">
        <f>W719-X719</f>
        <v>0</v>
      </c>
      <c r="Z719" s="34"/>
    </row>
    <row r="720" spans="1:27" s="25" customFormat="1" ht="18" customHeight="1" x14ac:dyDescent="0.2">
      <c r="A720" s="279"/>
      <c r="B720" s="277" t="s">
        <v>0</v>
      </c>
      <c r="C720" s="276">
        <v>15</v>
      </c>
      <c r="D720" s="277"/>
      <c r="E720" s="277"/>
      <c r="F720" s="277"/>
      <c r="G720" s="277"/>
      <c r="H720" s="287"/>
      <c r="I720" s="283"/>
      <c r="J720" s="277"/>
      <c r="K720" s="277"/>
      <c r="L720" s="288"/>
      <c r="M720" s="24"/>
      <c r="N720" s="39"/>
      <c r="O720" s="36" t="s">
        <v>69</v>
      </c>
      <c r="P720" s="36"/>
      <c r="Q720" s="36"/>
      <c r="R720" s="36" t="str">
        <f>IF(Q720="","",R719-Q720)</f>
        <v/>
      </c>
      <c r="S720" s="27"/>
      <c r="T720" s="36" t="s">
        <v>69</v>
      </c>
      <c r="U720" s="64">
        <f>Y719</f>
        <v>0</v>
      </c>
      <c r="V720" s="38"/>
      <c r="W720" s="64">
        <f>IF(U720="","",U720+V720)</f>
        <v>0</v>
      </c>
      <c r="X720" s="38"/>
      <c r="Y720" s="64">
        <f>IF(W720="","",W720-X720)</f>
        <v>0</v>
      </c>
      <c r="Z720" s="40"/>
      <c r="AA720" s="24"/>
    </row>
    <row r="721" spans="1:27" s="25" customFormat="1" ht="18" customHeight="1" x14ac:dyDescent="0.2">
      <c r="A721" s="279"/>
      <c r="B721" s="289" t="s">
        <v>39</v>
      </c>
      <c r="C721" s="290"/>
      <c r="D721" s="277"/>
      <c r="E721" s="277"/>
      <c r="F721" s="403" t="s">
        <v>41</v>
      </c>
      <c r="G721" s="403"/>
      <c r="H721" s="277"/>
      <c r="I721" s="403" t="s">
        <v>42</v>
      </c>
      <c r="J721" s="403"/>
      <c r="K721" s="403"/>
      <c r="L721" s="291"/>
      <c r="N721" s="35"/>
      <c r="O721" s="36" t="s">
        <v>44</v>
      </c>
      <c r="P721" s="36"/>
      <c r="Q721" s="36"/>
      <c r="R721" s="36" t="str">
        <f t="shared" ref="R721:R730" si="166">IF(Q721="","",R720-Q721)</f>
        <v/>
      </c>
      <c r="S721" s="27"/>
      <c r="T721" s="36" t="s">
        <v>44</v>
      </c>
      <c r="U721" s="64">
        <f>IF($J$1="April",Y720,Y720)</f>
        <v>0</v>
      </c>
      <c r="V721" s="38"/>
      <c r="W721" s="64">
        <f t="shared" ref="W721:W730" si="167">IF(U721="","",U721+V721)</f>
        <v>0</v>
      </c>
      <c r="X721" s="38"/>
      <c r="Y721" s="64">
        <f t="shared" ref="Y721:Y730" si="168">IF(W721="","",W721-X721)</f>
        <v>0</v>
      </c>
      <c r="Z721" s="40"/>
    </row>
    <row r="722" spans="1:27" s="25" customFormat="1" ht="18" customHeight="1" x14ac:dyDescent="0.2">
      <c r="A722" s="279"/>
      <c r="B722" s="277"/>
      <c r="C722" s="277"/>
      <c r="D722" s="277"/>
      <c r="E722" s="277"/>
      <c r="F722" s="277"/>
      <c r="G722" s="277"/>
      <c r="H722" s="292"/>
      <c r="I722" s="277"/>
      <c r="J722" s="277"/>
      <c r="K722" s="277"/>
      <c r="L722" s="293"/>
      <c r="N722" s="35"/>
      <c r="O722" s="36" t="s">
        <v>45</v>
      </c>
      <c r="P722" s="36"/>
      <c r="Q722" s="36"/>
      <c r="R722" s="36" t="str">
        <f t="shared" si="166"/>
        <v/>
      </c>
      <c r="S722" s="27"/>
      <c r="T722" s="36" t="s">
        <v>45</v>
      </c>
      <c r="U722" s="64">
        <f>IF($J$1="April",Y721,Y721)</f>
        <v>0</v>
      </c>
      <c r="V722" s="38"/>
      <c r="W722" s="64">
        <f t="shared" si="167"/>
        <v>0</v>
      </c>
      <c r="X722" s="38"/>
      <c r="Y722" s="64">
        <f t="shared" si="168"/>
        <v>0</v>
      </c>
      <c r="Z722" s="40"/>
    </row>
    <row r="723" spans="1:27" s="25" customFormat="1" ht="18" customHeight="1" x14ac:dyDescent="0.2">
      <c r="A723" s="279"/>
      <c r="B723" s="397" t="s">
        <v>40</v>
      </c>
      <c r="C723" s="398"/>
      <c r="D723" s="277"/>
      <c r="E723" s="277"/>
      <c r="F723" s="294" t="s">
        <v>62</v>
      </c>
      <c r="G723" s="295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3" s="292"/>
      <c r="I723" s="296"/>
      <c r="J723" s="297" t="s">
        <v>59</v>
      </c>
      <c r="K723" s="298">
        <f>K719/$K$2*I723</f>
        <v>0</v>
      </c>
      <c r="L723" s="299"/>
      <c r="N723" s="35"/>
      <c r="O723" s="36" t="s">
        <v>46</v>
      </c>
      <c r="P723" s="36"/>
      <c r="Q723" s="36"/>
      <c r="R723" s="36" t="str">
        <f t="shared" si="166"/>
        <v/>
      </c>
      <c r="S723" s="27"/>
      <c r="T723" s="36" t="s">
        <v>46</v>
      </c>
      <c r="U723" s="64">
        <f>IF($J$1="May",Y722,Y722)</f>
        <v>0</v>
      </c>
      <c r="V723" s="38"/>
      <c r="W723" s="64">
        <f t="shared" si="167"/>
        <v>0</v>
      </c>
      <c r="X723" s="38"/>
      <c r="Y723" s="64">
        <f t="shared" si="168"/>
        <v>0</v>
      </c>
      <c r="Z723" s="40"/>
    </row>
    <row r="724" spans="1:27" s="25" customFormat="1" ht="18" customHeight="1" x14ac:dyDescent="0.2">
      <c r="A724" s="279"/>
      <c r="B724" s="300"/>
      <c r="C724" s="300"/>
      <c r="D724" s="277"/>
      <c r="E724" s="277"/>
      <c r="F724" s="294" t="s">
        <v>18</v>
      </c>
      <c r="G724" s="295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92"/>
      <c r="I724" s="314"/>
      <c r="J724" s="297" t="s">
        <v>60</v>
      </c>
      <c r="K724" s="301">
        <f>K719/$K$2/8*I724</f>
        <v>0</v>
      </c>
      <c r="L724" s="302"/>
      <c r="N724" s="35"/>
      <c r="O724" s="36" t="s">
        <v>47</v>
      </c>
      <c r="P724" s="36"/>
      <c r="Q724" s="36"/>
      <c r="R724" s="36" t="str">
        <f t="shared" si="166"/>
        <v/>
      </c>
      <c r="S724" s="27"/>
      <c r="T724" s="36" t="s">
        <v>47</v>
      </c>
      <c r="U724" s="64">
        <f>IF($J$1="May",Y723,Y723)</f>
        <v>0</v>
      </c>
      <c r="V724" s="38"/>
      <c r="W724" s="64">
        <f t="shared" si="167"/>
        <v>0</v>
      </c>
      <c r="X724" s="38"/>
      <c r="Y724" s="64">
        <f t="shared" si="168"/>
        <v>0</v>
      </c>
      <c r="Z724" s="40"/>
    </row>
    <row r="725" spans="1:27" s="25" customFormat="1" ht="18" customHeight="1" x14ac:dyDescent="0.2">
      <c r="A725" s="279"/>
      <c r="B725" s="294" t="s">
        <v>7</v>
      </c>
      <c r="C725" s="300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7"/>
      <c r="E725" s="277"/>
      <c r="F725" s="294" t="s">
        <v>63</v>
      </c>
      <c r="G725" s="295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0</v>
      </c>
      <c r="H725" s="292"/>
      <c r="I725" s="388" t="s">
        <v>67</v>
      </c>
      <c r="J725" s="389"/>
      <c r="K725" s="301">
        <f>K723+K724</f>
        <v>0</v>
      </c>
      <c r="L725" s="302"/>
      <c r="N725" s="35"/>
      <c r="O725" s="36" t="s">
        <v>48</v>
      </c>
      <c r="P725" s="36"/>
      <c r="Q725" s="36"/>
      <c r="R725" s="36" t="str">
        <f t="shared" si="166"/>
        <v/>
      </c>
      <c r="S725" s="27"/>
      <c r="T725" s="36" t="s">
        <v>48</v>
      </c>
      <c r="U725" s="64" t="str">
        <f>IF($J$1="July",Y724,"")</f>
        <v/>
      </c>
      <c r="V725" s="38"/>
      <c r="W725" s="64" t="str">
        <f t="shared" si="167"/>
        <v/>
      </c>
      <c r="X725" s="38"/>
      <c r="Y725" s="64" t="str">
        <f t="shared" si="168"/>
        <v/>
      </c>
      <c r="Z725" s="40"/>
    </row>
    <row r="726" spans="1:27" s="25" customFormat="1" ht="18" customHeight="1" x14ac:dyDescent="0.2">
      <c r="A726" s="279"/>
      <c r="B726" s="294" t="s">
        <v>6</v>
      </c>
      <c r="C726" s="300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7"/>
      <c r="E726" s="277"/>
      <c r="F726" s="294" t="s">
        <v>19</v>
      </c>
      <c r="G726" s="295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92"/>
      <c r="I726" s="388" t="s">
        <v>68</v>
      </c>
      <c r="J726" s="389"/>
      <c r="K726" s="295">
        <f>G726</f>
        <v>0</v>
      </c>
      <c r="L726" s="303"/>
      <c r="N726" s="35"/>
      <c r="O726" s="36" t="s">
        <v>49</v>
      </c>
      <c r="P726" s="36"/>
      <c r="Q726" s="36"/>
      <c r="R726" s="36" t="str">
        <f t="shared" si="166"/>
        <v/>
      </c>
      <c r="S726" s="27"/>
      <c r="T726" s="36" t="s">
        <v>49</v>
      </c>
      <c r="U726" s="64" t="str">
        <f>IF($J$1="August",Y725,"")</f>
        <v/>
      </c>
      <c r="V726" s="38"/>
      <c r="W726" s="64" t="str">
        <f t="shared" si="167"/>
        <v/>
      </c>
      <c r="X726" s="38"/>
      <c r="Y726" s="64" t="str">
        <f t="shared" si="168"/>
        <v/>
      </c>
      <c r="Z726" s="40"/>
    </row>
    <row r="727" spans="1:27" s="25" customFormat="1" ht="18" customHeight="1" x14ac:dyDescent="0.2">
      <c r="A727" s="279"/>
      <c r="B727" s="312" t="s">
        <v>66</v>
      </c>
      <c r="C727" s="300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7"/>
      <c r="E727" s="277"/>
      <c r="F727" s="294" t="s">
        <v>65</v>
      </c>
      <c r="G727" s="295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0</v>
      </c>
      <c r="H727" s="277"/>
      <c r="I727" s="393" t="s">
        <v>61</v>
      </c>
      <c r="J727" s="395"/>
      <c r="K727" s="234">
        <f>K725-K726</f>
        <v>0</v>
      </c>
      <c r="L727" s="304"/>
      <c r="N727" s="35"/>
      <c r="O727" s="36" t="s">
        <v>54</v>
      </c>
      <c r="P727" s="36"/>
      <c r="Q727" s="36"/>
      <c r="R727" s="36" t="str">
        <f t="shared" si="166"/>
        <v/>
      </c>
      <c r="S727" s="27"/>
      <c r="T727" s="36" t="s">
        <v>54</v>
      </c>
      <c r="U727" s="64" t="str">
        <f>IF($J$1="Sept",Y726,"")</f>
        <v/>
      </c>
      <c r="V727" s="38"/>
      <c r="W727" s="64" t="str">
        <f t="shared" si="167"/>
        <v/>
      </c>
      <c r="X727" s="38"/>
      <c r="Y727" s="64" t="str">
        <f t="shared" si="168"/>
        <v/>
      </c>
      <c r="Z727" s="40"/>
    </row>
    <row r="728" spans="1:27" s="25" customFormat="1" ht="18" customHeight="1" x14ac:dyDescent="0.2">
      <c r="A728" s="279"/>
      <c r="B728" s="277"/>
      <c r="C728" s="277"/>
      <c r="D728" s="277"/>
      <c r="E728" s="277"/>
      <c r="F728" s="277"/>
      <c r="G728" s="277"/>
      <c r="H728" s="277"/>
      <c r="I728" s="277"/>
      <c r="J728" s="277"/>
      <c r="K728" s="277"/>
      <c r="L728" s="291"/>
      <c r="N728" s="35"/>
      <c r="O728" s="36" t="s">
        <v>50</v>
      </c>
      <c r="P728" s="36"/>
      <c r="Q728" s="36"/>
      <c r="R728" s="36" t="str">
        <f t="shared" si="166"/>
        <v/>
      </c>
      <c r="S728" s="27"/>
      <c r="T728" s="36" t="s">
        <v>50</v>
      </c>
      <c r="U728" s="64" t="str">
        <f>IF($J$1="October",Y727,"")</f>
        <v/>
      </c>
      <c r="V728" s="38"/>
      <c r="W728" s="64" t="str">
        <f t="shared" si="167"/>
        <v/>
      </c>
      <c r="X728" s="38"/>
      <c r="Y728" s="64" t="str">
        <f t="shared" si="168"/>
        <v/>
      </c>
      <c r="Z728" s="40"/>
    </row>
    <row r="729" spans="1:27" s="25" customFormat="1" ht="18" customHeight="1" x14ac:dyDescent="0.2">
      <c r="A729" s="279"/>
      <c r="B729" s="404" t="s">
        <v>82</v>
      </c>
      <c r="C729" s="404"/>
      <c r="D729" s="404"/>
      <c r="E729" s="404"/>
      <c r="F729" s="404"/>
      <c r="G729" s="404"/>
      <c r="H729" s="404"/>
      <c r="I729" s="404"/>
      <c r="J729" s="404"/>
      <c r="K729" s="404"/>
      <c r="L729" s="291"/>
      <c r="N729" s="35"/>
      <c r="O729" s="36" t="s">
        <v>55</v>
      </c>
      <c r="P729" s="36"/>
      <c r="Q729" s="36"/>
      <c r="R729" s="36" t="str">
        <f t="shared" si="166"/>
        <v/>
      </c>
      <c r="S729" s="27"/>
      <c r="T729" s="36" t="s">
        <v>55</v>
      </c>
      <c r="U729" s="64" t="str">
        <f>IF($J$1="November",Y728,"")</f>
        <v/>
      </c>
      <c r="V729" s="38"/>
      <c r="W729" s="64" t="str">
        <f t="shared" si="167"/>
        <v/>
      </c>
      <c r="X729" s="38"/>
      <c r="Y729" s="64" t="str">
        <f t="shared" si="168"/>
        <v/>
      </c>
      <c r="Z729" s="40"/>
    </row>
    <row r="730" spans="1:27" s="25" customFormat="1" ht="18" customHeight="1" x14ac:dyDescent="0.2">
      <c r="A730" s="279"/>
      <c r="B730" s="404"/>
      <c r="C730" s="404"/>
      <c r="D730" s="404"/>
      <c r="E730" s="404"/>
      <c r="F730" s="404"/>
      <c r="G730" s="404"/>
      <c r="H730" s="404"/>
      <c r="I730" s="404"/>
      <c r="J730" s="404"/>
      <c r="K730" s="404"/>
      <c r="L730" s="291"/>
      <c r="N730" s="35"/>
      <c r="O730" s="36" t="s">
        <v>56</v>
      </c>
      <c r="P730" s="36"/>
      <c r="Q730" s="36"/>
      <c r="R730" s="36" t="str">
        <f t="shared" si="166"/>
        <v/>
      </c>
      <c r="S730" s="27"/>
      <c r="T730" s="36" t="s">
        <v>56</v>
      </c>
      <c r="U730" s="64" t="str">
        <f>IF($J$1="Dec",Y729,"")</f>
        <v/>
      </c>
      <c r="V730" s="38"/>
      <c r="W730" s="64" t="str">
        <f t="shared" si="167"/>
        <v/>
      </c>
      <c r="X730" s="38"/>
      <c r="Y730" s="64" t="str">
        <f t="shared" si="168"/>
        <v/>
      </c>
      <c r="Z730" s="40"/>
    </row>
    <row r="731" spans="1:27" s="25" customFormat="1" ht="18" customHeight="1" thickBot="1" x14ac:dyDescent="0.25">
      <c r="A731" s="305"/>
      <c r="B731" s="313"/>
      <c r="C731" s="313"/>
      <c r="D731" s="313"/>
      <c r="E731" s="313"/>
      <c r="F731" s="313"/>
      <c r="G731" s="313"/>
      <c r="H731" s="313"/>
      <c r="I731" s="313"/>
      <c r="J731" s="313"/>
      <c r="K731" s="313"/>
      <c r="L731" s="307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7"/>
      <c r="B732" s="277"/>
      <c r="C732" s="277"/>
      <c r="D732" s="277"/>
      <c r="E732" s="277"/>
      <c r="F732" s="277"/>
      <c r="G732" s="277"/>
      <c r="H732" s="277"/>
      <c r="I732" s="277"/>
      <c r="J732" s="277"/>
      <c r="K732" s="277"/>
      <c r="L732" s="27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thickBot="1" x14ac:dyDescent="0.25">
      <c r="A733" s="390" t="s">
        <v>38</v>
      </c>
      <c r="B733" s="391"/>
      <c r="C733" s="391"/>
      <c r="D733" s="391"/>
      <c r="E733" s="391"/>
      <c r="F733" s="391"/>
      <c r="G733" s="391"/>
      <c r="H733" s="391"/>
      <c r="I733" s="391"/>
      <c r="J733" s="391"/>
      <c r="K733" s="391"/>
      <c r="L733" s="392"/>
      <c r="M733" s="24"/>
      <c r="N733" s="28"/>
      <c r="O733" s="385" t="s">
        <v>40</v>
      </c>
      <c r="P733" s="386"/>
      <c r="Q733" s="386"/>
      <c r="R733" s="387"/>
      <c r="S733" s="29"/>
      <c r="T733" s="385" t="s">
        <v>41</v>
      </c>
      <c r="U733" s="386"/>
      <c r="V733" s="386"/>
      <c r="W733" s="386"/>
      <c r="X733" s="386"/>
      <c r="Y733" s="387"/>
      <c r="Z733" s="30"/>
      <c r="AA733" s="24"/>
    </row>
    <row r="734" spans="1:27" s="25" customFormat="1" ht="18" customHeight="1" x14ac:dyDescent="0.2">
      <c r="A734" s="279"/>
      <c r="B734" s="277"/>
      <c r="C734" s="396" t="s">
        <v>212</v>
      </c>
      <c r="D734" s="396"/>
      <c r="E734" s="396"/>
      <c r="F734" s="396"/>
      <c r="G734" s="280" t="str">
        <f>$J$1</f>
        <v>January</v>
      </c>
      <c r="H734" s="399">
        <f>$K$1</f>
        <v>2024</v>
      </c>
      <c r="I734" s="399"/>
      <c r="J734" s="277"/>
      <c r="K734" s="281"/>
      <c r="L734" s="282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9"/>
      <c r="B735" s="277"/>
      <c r="C735" s="277"/>
      <c r="D735" s="283"/>
      <c r="E735" s="283"/>
      <c r="F735" s="283"/>
      <c r="G735" s="283"/>
      <c r="H735" s="283"/>
      <c r="I735" s="277"/>
      <c r="J735" s="284" t="s">
        <v>1</v>
      </c>
      <c r="K735" s="285">
        <f>30000</f>
        <v>30000</v>
      </c>
      <c r="L735" s="286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9"/>
      <c r="B736" s="277" t="s">
        <v>0</v>
      </c>
      <c r="C736" s="276" t="s">
        <v>170</v>
      </c>
      <c r="D736" s="277"/>
      <c r="E736" s="277"/>
      <c r="F736" s="277"/>
      <c r="G736" s="277"/>
      <c r="H736" s="287"/>
      <c r="I736" s="283"/>
      <c r="J736" s="277"/>
      <c r="K736" s="277"/>
      <c r="L736" s="288"/>
      <c r="M736" s="24"/>
      <c r="N736" s="39"/>
      <c r="O736" s="36" t="s">
        <v>69</v>
      </c>
      <c r="P736" s="36"/>
      <c r="Q736" s="36"/>
      <c r="R736" s="36"/>
      <c r="S736" s="27"/>
      <c r="T736" s="36" t="s">
        <v>69</v>
      </c>
      <c r="U736" s="64"/>
      <c r="V736" s="38"/>
      <c r="W736" s="64" t="str">
        <f>IF(U736="","",U736+V736)</f>
        <v/>
      </c>
      <c r="X736" s="38"/>
      <c r="Y736" s="64" t="str">
        <f>IF(W736="","",W736-X736)</f>
        <v/>
      </c>
      <c r="Z736" s="40"/>
      <c r="AA736" s="24"/>
    </row>
    <row r="737" spans="1:27" s="25" customFormat="1" ht="18" customHeight="1" x14ac:dyDescent="0.2">
      <c r="A737" s="279"/>
      <c r="B737" s="289" t="s">
        <v>39</v>
      </c>
      <c r="C737" s="290"/>
      <c r="D737" s="277"/>
      <c r="E737" s="277"/>
      <c r="F737" s="393" t="s">
        <v>41</v>
      </c>
      <c r="G737" s="395"/>
      <c r="H737" s="277"/>
      <c r="I737" s="393" t="s">
        <v>42</v>
      </c>
      <c r="J737" s="394"/>
      <c r="K737" s="395"/>
      <c r="L737" s="291"/>
      <c r="N737" s="35"/>
      <c r="O737" s="36" t="s">
        <v>44</v>
      </c>
      <c r="P737" s="36"/>
      <c r="Q737" s="36"/>
      <c r="R737" s="36"/>
      <c r="S737" s="27"/>
      <c r="T737" s="36" t="s">
        <v>44</v>
      </c>
      <c r="U737" s="64"/>
      <c r="V737" s="38"/>
      <c r="W737" s="64" t="str">
        <f t="shared" ref="W737:W746" si="169">IF(U737="","",U737+V737)</f>
        <v/>
      </c>
      <c r="X737" s="38"/>
      <c r="Y737" s="64" t="str">
        <f t="shared" ref="Y737:Y746" si="170">IF(W737="","",W737-X737)</f>
        <v/>
      </c>
      <c r="Z737" s="40"/>
    </row>
    <row r="738" spans="1:27" s="25" customFormat="1" ht="18" customHeight="1" x14ac:dyDescent="0.2">
      <c r="A738" s="279"/>
      <c r="B738" s="277"/>
      <c r="C738" s="277"/>
      <c r="D738" s="277"/>
      <c r="E738" s="277"/>
      <c r="F738" s="277"/>
      <c r="G738" s="277"/>
      <c r="H738" s="292"/>
      <c r="I738" s="277"/>
      <c r="J738" s="277"/>
      <c r="K738" s="277"/>
      <c r="L738" s="293"/>
      <c r="N738" s="35"/>
      <c r="O738" s="36" t="s">
        <v>45</v>
      </c>
      <c r="P738" s="36"/>
      <c r="Q738" s="36"/>
      <c r="R738" s="36"/>
      <c r="S738" s="27"/>
      <c r="T738" s="36" t="s">
        <v>45</v>
      </c>
      <c r="U738" s="64"/>
      <c r="V738" s="38"/>
      <c r="W738" s="64" t="str">
        <f t="shared" si="169"/>
        <v/>
      </c>
      <c r="X738" s="38"/>
      <c r="Y738" s="64" t="str">
        <f t="shared" si="170"/>
        <v/>
      </c>
      <c r="Z738" s="40"/>
    </row>
    <row r="739" spans="1:27" s="25" customFormat="1" ht="18" customHeight="1" x14ac:dyDescent="0.2">
      <c r="A739" s="279"/>
      <c r="B739" s="397" t="s">
        <v>40</v>
      </c>
      <c r="C739" s="398"/>
      <c r="D739" s="277"/>
      <c r="E739" s="277"/>
      <c r="F739" s="294" t="s">
        <v>62</v>
      </c>
      <c r="G739" s="295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92"/>
      <c r="I739" s="296">
        <f>IF(C743&gt;0,$K$2,C741)</f>
        <v>0</v>
      </c>
      <c r="J739" s="297" t="s">
        <v>59</v>
      </c>
      <c r="K739" s="298">
        <f>K735/$K$2*I739</f>
        <v>0</v>
      </c>
      <c r="L739" s="299"/>
      <c r="N739" s="35"/>
      <c r="O739" s="36" t="s">
        <v>46</v>
      </c>
      <c r="P739" s="36"/>
      <c r="Q739" s="36"/>
      <c r="R739" s="36"/>
      <c r="S739" s="27"/>
      <c r="T739" s="36" t="s">
        <v>46</v>
      </c>
      <c r="U739" s="64"/>
      <c r="V739" s="38"/>
      <c r="W739" s="64" t="str">
        <f t="shared" si="169"/>
        <v/>
      </c>
      <c r="X739" s="38"/>
      <c r="Y739" s="64" t="str">
        <f t="shared" si="170"/>
        <v/>
      </c>
      <c r="Z739" s="40"/>
    </row>
    <row r="740" spans="1:27" s="25" customFormat="1" ht="18" customHeight="1" x14ac:dyDescent="0.2">
      <c r="A740" s="279"/>
      <c r="B740" s="300"/>
      <c r="C740" s="300"/>
      <c r="D740" s="277"/>
      <c r="E740" s="277"/>
      <c r="F740" s="294" t="s">
        <v>18</v>
      </c>
      <c r="G740" s="295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92"/>
      <c r="I740" s="296">
        <v>98</v>
      </c>
      <c r="J740" s="297" t="s">
        <v>60</v>
      </c>
      <c r="K740" s="301">
        <f>K735/$K$2/8*I740</f>
        <v>11854.838709677419</v>
      </c>
      <c r="L740" s="302"/>
      <c r="N740" s="35"/>
      <c r="O740" s="36" t="s">
        <v>47</v>
      </c>
      <c r="P740" s="36"/>
      <c r="Q740" s="36"/>
      <c r="R740" s="36"/>
      <c r="S740" s="27"/>
      <c r="T740" s="36" t="s">
        <v>47</v>
      </c>
      <c r="U740" s="64"/>
      <c r="V740" s="38"/>
      <c r="W740" s="64" t="str">
        <f t="shared" si="169"/>
        <v/>
      </c>
      <c r="X740" s="38"/>
      <c r="Y740" s="64" t="str">
        <f t="shared" si="170"/>
        <v/>
      </c>
      <c r="Z740" s="40"/>
    </row>
    <row r="741" spans="1:27" s="25" customFormat="1" ht="18" customHeight="1" x14ac:dyDescent="0.2">
      <c r="A741" s="279"/>
      <c r="B741" s="294" t="s">
        <v>7</v>
      </c>
      <c r="C741" s="300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7"/>
      <c r="E741" s="277"/>
      <c r="F741" s="294" t="s">
        <v>63</v>
      </c>
      <c r="G741" s="295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92"/>
      <c r="I741" s="388" t="s">
        <v>67</v>
      </c>
      <c r="J741" s="389"/>
      <c r="K741" s="301">
        <f>K739+K740</f>
        <v>11854.838709677419</v>
      </c>
      <c r="L741" s="302"/>
      <c r="N741" s="35"/>
      <c r="O741" s="36" t="s">
        <v>48</v>
      </c>
      <c r="P741" s="36"/>
      <c r="Q741" s="36"/>
      <c r="R741" s="36" t="str">
        <f t="shared" ref="R738:R746" si="171">IF(Q741="","",R740-Q741)</f>
        <v/>
      </c>
      <c r="S741" s="27"/>
      <c r="T741" s="36" t="s">
        <v>48</v>
      </c>
      <c r="U741" s="64"/>
      <c r="V741" s="38"/>
      <c r="W741" s="64" t="str">
        <f t="shared" si="169"/>
        <v/>
      </c>
      <c r="X741" s="38"/>
      <c r="Y741" s="64" t="str">
        <f t="shared" si="170"/>
        <v/>
      </c>
      <c r="Z741" s="40"/>
    </row>
    <row r="742" spans="1:27" s="25" customFormat="1" ht="18" customHeight="1" x14ac:dyDescent="0.2">
      <c r="A742" s="279"/>
      <c r="B742" s="294" t="s">
        <v>6</v>
      </c>
      <c r="C742" s="300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7"/>
      <c r="E742" s="277"/>
      <c r="F742" s="294" t="s">
        <v>19</v>
      </c>
      <c r="G742" s="295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92"/>
      <c r="I742" s="388" t="s">
        <v>68</v>
      </c>
      <c r="J742" s="389"/>
      <c r="K742" s="295">
        <f>G742</f>
        <v>0</v>
      </c>
      <c r="L742" s="303"/>
      <c r="N742" s="35"/>
      <c r="O742" s="36" t="s">
        <v>49</v>
      </c>
      <c r="P742" s="36"/>
      <c r="Q742" s="36"/>
      <c r="R742" s="36">
        <v>0</v>
      </c>
      <c r="S742" s="27"/>
      <c r="T742" s="36" t="s">
        <v>49</v>
      </c>
      <c r="U742" s="64"/>
      <c r="V742" s="38"/>
      <c r="W742" s="64" t="str">
        <f t="shared" si="169"/>
        <v/>
      </c>
      <c r="X742" s="38"/>
      <c r="Y742" s="64" t="str">
        <f t="shared" si="170"/>
        <v/>
      </c>
      <c r="Z742" s="40"/>
    </row>
    <row r="743" spans="1:27" s="25" customFormat="1" ht="18" customHeight="1" x14ac:dyDescent="0.2">
      <c r="A743" s="279"/>
      <c r="B743" s="309" t="s">
        <v>66</v>
      </c>
      <c r="C743" s="300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7"/>
      <c r="E743" s="277"/>
      <c r="F743" s="309" t="s">
        <v>201</v>
      </c>
      <c r="G743" s="295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7"/>
      <c r="I743" s="393" t="s">
        <v>61</v>
      </c>
      <c r="J743" s="395"/>
      <c r="K743" s="234"/>
      <c r="L743" s="304"/>
      <c r="N743" s="35"/>
      <c r="O743" s="36" t="s">
        <v>54</v>
      </c>
      <c r="P743" s="36"/>
      <c r="Q743" s="36"/>
      <c r="R743" s="36">
        <v>0</v>
      </c>
      <c r="S743" s="27"/>
      <c r="T743" s="36" t="s">
        <v>54</v>
      </c>
      <c r="U743" s="64" t="str">
        <f>IF($J$1="September",Y742,"")</f>
        <v/>
      </c>
      <c r="V743" s="38"/>
      <c r="W743" s="64" t="str">
        <f t="shared" si="169"/>
        <v/>
      </c>
      <c r="X743" s="38"/>
      <c r="Y743" s="64" t="str">
        <f t="shared" si="170"/>
        <v/>
      </c>
      <c r="Z743" s="40"/>
    </row>
    <row r="744" spans="1:27" s="25" customFormat="1" ht="18" customHeight="1" x14ac:dyDescent="0.2">
      <c r="A744" s="279"/>
      <c r="B744" s="277"/>
      <c r="C744" s="277"/>
      <c r="D744" s="277"/>
      <c r="E744" s="277"/>
      <c r="F744" s="277"/>
      <c r="L744" s="291"/>
      <c r="N744" s="35"/>
      <c r="O744" s="36" t="s">
        <v>50</v>
      </c>
      <c r="P744" s="36"/>
      <c r="Q744" s="36"/>
      <c r="R744" s="36">
        <v>0</v>
      </c>
      <c r="S744" s="27"/>
      <c r="T744" s="36" t="s">
        <v>50</v>
      </c>
      <c r="U744" s="64" t="str">
        <f>IF($J$1="October",Y743,"")</f>
        <v/>
      </c>
      <c r="V744" s="38"/>
      <c r="W744" s="64" t="str">
        <f t="shared" si="169"/>
        <v/>
      </c>
      <c r="X744" s="38"/>
      <c r="Y744" s="64" t="str">
        <f t="shared" si="170"/>
        <v/>
      </c>
      <c r="Z744" s="40"/>
    </row>
    <row r="745" spans="1:27" s="25" customFormat="1" ht="18" customHeight="1" x14ac:dyDescent="0.3">
      <c r="A745" s="279"/>
      <c r="B745" s="275"/>
      <c r="C745" s="275"/>
      <c r="D745" s="275"/>
      <c r="E745" s="275"/>
      <c r="F745" s="275"/>
      <c r="G745" s="275"/>
      <c r="H745" s="275"/>
      <c r="I745" s="275"/>
      <c r="J745" s="275"/>
      <c r="K745" s="275"/>
      <c r="L745" s="291"/>
      <c r="N745" s="35"/>
      <c r="O745" s="36" t="s">
        <v>55</v>
      </c>
      <c r="P745" s="36"/>
      <c r="Q745" s="36"/>
      <c r="R745" s="36">
        <v>0</v>
      </c>
      <c r="S745" s="27"/>
      <c r="T745" s="36" t="s">
        <v>55</v>
      </c>
      <c r="U745" s="64" t="str">
        <f>IF($J$1="October","",Y744)</f>
        <v/>
      </c>
      <c r="V745" s="38"/>
      <c r="W745" s="64" t="str">
        <f t="shared" si="169"/>
        <v/>
      </c>
      <c r="X745" s="38"/>
      <c r="Y745" s="64" t="str">
        <f t="shared" si="170"/>
        <v/>
      </c>
      <c r="Z745" s="40"/>
    </row>
    <row r="746" spans="1:27" s="25" customFormat="1" ht="18" customHeight="1" thickBot="1" x14ac:dyDescent="0.35">
      <c r="A746" s="305"/>
      <c r="B746" s="306"/>
      <c r="C746" s="306"/>
      <c r="D746" s="306"/>
      <c r="E746" s="306"/>
      <c r="F746" s="306"/>
      <c r="G746" s="306"/>
      <c r="H746" s="306"/>
      <c r="I746" s="306"/>
      <c r="J746" s="306"/>
      <c r="K746" s="306"/>
      <c r="L746" s="307"/>
      <c r="N746" s="35"/>
      <c r="O746" s="36" t="s">
        <v>56</v>
      </c>
      <c r="P746" s="36"/>
      <c r="Q746" s="36"/>
      <c r="R746" s="36" t="str">
        <f t="shared" si="171"/>
        <v/>
      </c>
      <c r="S746" s="27"/>
      <c r="T746" s="36" t="s">
        <v>56</v>
      </c>
      <c r="U746" s="64" t="str">
        <f>IF($J$1="November","",Y745)</f>
        <v/>
      </c>
      <c r="V746" s="38"/>
      <c r="W746" s="64" t="str">
        <f t="shared" si="169"/>
        <v/>
      </c>
      <c r="X746" s="38"/>
      <c r="Y746" s="64" t="str">
        <f t="shared" si="170"/>
        <v/>
      </c>
      <c r="Z746" s="40"/>
    </row>
    <row r="747" spans="1:27" s="57" customFormat="1" ht="18" customHeight="1" thickBot="1" x14ac:dyDescent="0.25">
      <c r="A747" s="308"/>
      <c r="B747" s="308"/>
      <c r="C747" s="308"/>
      <c r="D747" s="308"/>
      <c r="E747" s="308"/>
      <c r="F747" s="308"/>
      <c r="G747" s="308"/>
      <c r="H747" s="308"/>
      <c r="I747" s="308"/>
      <c r="J747" s="308"/>
      <c r="K747" s="308"/>
      <c r="L747" s="30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7" s="25" customFormat="1" ht="18" customHeight="1" x14ac:dyDescent="0.2">
      <c r="A748" s="408" t="s">
        <v>38</v>
      </c>
      <c r="B748" s="409"/>
      <c r="C748" s="409"/>
      <c r="D748" s="409"/>
      <c r="E748" s="409"/>
      <c r="F748" s="409"/>
      <c r="G748" s="409"/>
      <c r="H748" s="409"/>
      <c r="I748" s="409"/>
      <c r="J748" s="409"/>
      <c r="K748" s="409"/>
      <c r="L748" s="410"/>
      <c r="M748" s="24"/>
      <c r="N748" s="28"/>
      <c r="O748" s="385" t="s">
        <v>40</v>
      </c>
      <c r="P748" s="386"/>
      <c r="Q748" s="386"/>
      <c r="R748" s="387"/>
      <c r="S748" s="29"/>
      <c r="T748" s="385" t="s">
        <v>41</v>
      </c>
      <c r="U748" s="386"/>
      <c r="V748" s="386"/>
      <c r="W748" s="386"/>
      <c r="X748" s="386"/>
      <c r="Y748" s="387"/>
      <c r="Z748" s="30"/>
      <c r="AA748" s="24"/>
    </row>
    <row r="749" spans="1:27" s="25" customFormat="1" ht="18" customHeight="1" x14ac:dyDescent="0.2">
      <c r="A749" s="279"/>
      <c r="B749" s="277"/>
      <c r="C749" s="396" t="s">
        <v>212</v>
      </c>
      <c r="D749" s="396"/>
      <c r="E749" s="396"/>
      <c r="F749" s="396"/>
      <c r="G749" s="280" t="str">
        <f>$J$1</f>
        <v>January</v>
      </c>
      <c r="H749" s="399">
        <f>$K$1</f>
        <v>2024</v>
      </c>
      <c r="I749" s="399"/>
      <c r="J749" s="277"/>
      <c r="K749" s="281"/>
      <c r="L749" s="282"/>
      <c r="M749" s="26"/>
      <c r="N749" s="31"/>
      <c r="O749" s="32" t="s">
        <v>51</v>
      </c>
      <c r="P749" s="32" t="s">
        <v>7</v>
      </c>
      <c r="Q749" s="32" t="s">
        <v>6</v>
      </c>
      <c r="R749" s="32" t="s">
        <v>52</v>
      </c>
      <c r="S749" s="33"/>
      <c r="T749" s="32" t="s">
        <v>51</v>
      </c>
      <c r="U749" s="32" t="s">
        <v>53</v>
      </c>
      <c r="V749" s="32" t="s">
        <v>18</v>
      </c>
      <c r="W749" s="32" t="s">
        <v>17</v>
      </c>
      <c r="X749" s="32" t="s">
        <v>19</v>
      </c>
      <c r="Y749" s="32" t="s">
        <v>57</v>
      </c>
      <c r="Z749" s="34"/>
      <c r="AA749" s="26"/>
    </row>
    <row r="750" spans="1:27" s="25" customFormat="1" ht="18" customHeight="1" x14ac:dyDescent="0.2">
      <c r="A750" s="279"/>
      <c r="B750" s="277"/>
      <c r="C750" s="277"/>
      <c r="D750" s="283"/>
      <c r="E750" s="283"/>
      <c r="F750" s="283"/>
      <c r="G750" s="283"/>
      <c r="H750" s="283"/>
      <c r="I750" s="277"/>
      <c r="J750" s="284" t="s">
        <v>1</v>
      </c>
      <c r="K750" s="285">
        <v>800</v>
      </c>
      <c r="L750" s="286"/>
      <c r="N750" s="35"/>
      <c r="O750" s="36" t="s">
        <v>43</v>
      </c>
      <c r="P750" s="36"/>
      <c r="Q750" s="36"/>
      <c r="R750" s="36">
        <v>0</v>
      </c>
      <c r="S750" s="37"/>
      <c r="T750" s="36" t="s">
        <v>43</v>
      </c>
      <c r="U750" s="38"/>
      <c r="V750" s="38"/>
      <c r="W750" s="38">
        <f>V750+U750</f>
        <v>0</v>
      </c>
      <c r="X750" s="38"/>
      <c r="Y750" s="38">
        <f>W750-X750</f>
        <v>0</v>
      </c>
      <c r="Z750" s="34"/>
    </row>
    <row r="751" spans="1:27" s="25" customFormat="1" ht="18" customHeight="1" x14ac:dyDescent="0.2">
      <c r="A751" s="279"/>
      <c r="B751" s="277" t="s">
        <v>0</v>
      </c>
      <c r="C751" s="276">
        <v>14</v>
      </c>
      <c r="D751" s="277"/>
      <c r="E751" s="277"/>
      <c r="F751" s="277"/>
      <c r="G751" s="277"/>
      <c r="H751" s="287"/>
      <c r="I751" s="283"/>
      <c r="J751" s="277"/>
      <c r="K751" s="277"/>
      <c r="L751" s="288"/>
      <c r="M751" s="24"/>
      <c r="N751" s="39"/>
      <c r="O751" s="36" t="s">
        <v>69</v>
      </c>
      <c r="P751" s="36"/>
      <c r="Q751" s="36"/>
      <c r="R751" s="36" t="str">
        <f>IF(Q751="","",R750-Q751)</f>
        <v/>
      </c>
      <c r="S751" s="27"/>
      <c r="T751" s="36" t="s">
        <v>69</v>
      </c>
      <c r="U751" s="64"/>
      <c r="V751" s="38"/>
      <c r="W751" s="64" t="str">
        <f>IF(U751="","",U751+V751)</f>
        <v/>
      </c>
      <c r="X751" s="38"/>
      <c r="Y751" s="64" t="str">
        <f>IF(W751="","",W751-X751)</f>
        <v/>
      </c>
      <c r="Z751" s="40"/>
      <c r="AA751" s="24"/>
    </row>
    <row r="752" spans="1:27" s="25" customFormat="1" ht="18" customHeight="1" x14ac:dyDescent="0.2">
      <c r="A752" s="279"/>
      <c r="B752" s="289" t="s">
        <v>39</v>
      </c>
      <c r="C752" s="290"/>
      <c r="D752" s="277"/>
      <c r="E752" s="277"/>
      <c r="F752" s="403" t="s">
        <v>41</v>
      </c>
      <c r="G752" s="403"/>
      <c r="H752" s="277"/>
      <c r="I752" s="403" t="s">
        <v>42</v>
      </c>
      <c r="J752" s="403"/>
      <c r="K752" s="403"/>
      <c r="L752" s="291"/>
      <c r="N752" s="35"/>
      <c r="O752" s="36" t="s">
        <v>44</v>
      </c>
      <c r="P752" s="36"/>
      <c r="Q752" s="36"/>
      <c r="R752" s="36" t="str">
        <f t="shared" ref="R752:R761" si="172">IF(Q752="","",R751-Q752)</f>
        <v/>
      </c>
      <c r="S752" s="27"/>
      <c r="T752" s="36" t="s">
        <v>44</v>
      </c>
      <c r="U752" s="64"/>
      <c r="V752" s="38"/>
      <c r="W752" s="64" t="str">
        <f t="shared" ref="W752:W761" si="173">IF(U752="","",U752+V752)</f>
        <v/>
      </c>
      <c r="X752" s="38"/>
      <c r="Y752" s="64" t="str">
        <f t="shared" ref="Y752:Y761" si="174">IF(W752="","",W752-X752)</f>
        <v/>
      </c>
      <c r="Z752" s="40"/>
    </row>
    <row r="753" spans="1:26" s="25" customFormat="1" ht="18" customHeight="1" x14ac:dyDescent="0.2">
      <c r="A753" s="279"/>
      <c r="B753" s="277"/>
      <c r="C753" s="277"/>
      <c r="D753" s="277"/>
      <c r="E753" s="277"/>
      <c r="F753" s="277"/>
      <c r="G753" s="277"/>
      <c r="H753" s="292"/>
      <c r="I753" s="277"/>
      <c r="J753" s="277"/>
      <c r="K753" s="277"/>
      <c r="L753" s="293"/>
      <c r="N753" s="35"/>
      <c r="O753" s="36" t="s">
        <v>45</v>
      </c>
      <c r="P753" s="36"/>
      <c r="Q753" s="36"/>
      <c r="R753" s="36" t="str">
        <f t="shared" si="172"/>
        <v/>
      </c>
      <c r="S753" s="27"/>
      <c r="T753" s="36" t="s">
        <v>45</v>
      </c>
      <c r="U753" s="64"/>
      <c r="V753" s="38"/>
      <c r="W753" s="64" t="str">
        <f t="shared" si="173"/>
        <v/>
      </c>
      <c r="X753" s="38"/>
      <c r="Y753" s="64" t="str">
        <f t="shared" si="174"/>
        <v/>
      </c>
      <c r="Z753" s="40"/>
    </row>
    <row r="754" spans="1:26" s="25" customFormat="1" ht="18" customHeight="1" x14ac:dyDescent="0.2">
      <c r="A754" s="279"/>
      <c r="B754" s="397" t="s">
        <v>40</v>
      </c>
      <c r="C754" s="398"/>
      <c r="D754" s="277"/>
      <c r="E754" s="277"/>
      <c r="F754" s="294" t="s">
        <v>62</v>
      </c>
      <c r="G754" s="295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>0</v>
      </c>
      <c r="H754" s="292"/>
      <c r="I754" s="296">
        <v>31</v>
      </c>
      <c r="J754" s="297" t="s">
        <v>59</v>
      </c>
      <c r="K754" s="298">
        <f>K750*I754</f>
        <v>24800</v>
      </c>
      <c r="L754" s="299"/>
      <c r="N754" s="35"/>
      <c r="O754" s="36" t="s">
        <v>46</v>
      </c>
      <c r="P754" s="36"/>
      <c r="Q754" s="36"/>
      <c r="R754" s="36" t="str">
        <f t="shared" si="172"/>
        <v/>
      </c>
      <c r="S754" s="27"/>
      <c r="T754" s="36" t="s">
        <v>46</v>
      </c>
      <c r="U754" s="64"/>
      <c r="V754" s="38"/>
      <c r="W754" s="64" t="str">
        <f t="shared" si="173"/>
        <v/>
      </c>
      <c r="X754" s="38"/>
      <c r="Y754" s="64" t="str">
        <f t="shared" si="174"/>
        <v/>
      </c>
      <c r="Z754" s="40"/>
    </row>
    <row r="755" spans="1:26" s="25" customFormat="1" ht="18" customHeight="1" x14ac:dyDescent="0.2">
      <c r="A755" s="279"/>
      <c r="B755" s="300"/>
      <c r="C755" s="300"/>
      <c r="D755" s="277"/>
      <c r="E755" s="277"/>
      <c r="F755" s="294" t="s">
        <v>18</v>
      </c>
      <c r="G755" s="295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292"/>
      <c r="I755" s="296"/>
      <c r="J755" s="297" t="s">
        <v>60</v>
      </c>
      <c r="K755" s="301">
        <f>K750/8*I755</f>
        <v>0</v>
      </c>
      <c r="L755" s="302"/>
      <c r="N755" s="35"/>
      <c r="O755" s="36" t="s">
        <v>47</v>
      </c>
      <c r="P755" s="36"/>
      <c r="Q755" s="36"/>
      <c r="R755" s="36" t="str">
        <f t="shared" si="172"/>
        <v/>
      </c>
      <c r="S755" s="27"/>
      <c r="T755" s="36" t="s">
        <v>47</v>
      </c>
      <c r="U755" s="64"/>
      <c r="V755" s="38"/>
      <c r="W755" s="64" t="str">
        <f t="shared" si="173"/>
        <v/>
      </c>
      <c r="X755" s="38"/>
      <c r="Y755" s="64" t="str">
        <f t="shared" si="174"/>
        <v/>
      </c>
      <c r="Z755" s="40"/>
    </row>
    <row r="756" spans="1:26" s="25" customFormat="1" ht="18" customHeight="1" x14ac:dyDescent="0.2">
      <c r="A756" s="279"/>
      <c r="B756" s="294" t="s">
        <v>7</v>
      </c>
      <c r="C756" s="300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277"/>
      <c r="E756" s="277"/>
      <c r="F756" s="294" t="s">
        <v>63</v>
      </c>
      <c r="G756" s="295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>0</v>
      </c>
      <c r="H756" s="292"/>
      <c r="I756" s="388" t="s">
        <v>67</v>
      </c>
      <c r="J756" s="389"/>
      <c r="K756" s="301">
        <f>K754+K755</f>
        <v>24800</v>
      </c>
      <c r="L756" s="302"/>
      <c r="N756" s="35"/>
      <c r="O756" s="36" t="s">
        <v>48</v>
      </c>
      <c r="P756" s="36"/>
      <c r="Q756" s="36"/>
      <c r="R756" s="36" t="str">
        <f t="shared" si="172"/>
        <v/>
      </c>
      <c r="S756" s="27"/>
      <c r="T756" s="36" t="s">
        <v>48</v>
      </c>
      <c r="U756" s="64"/>
      <c r="V756" s="38"/>
      <c r="W756" s="64" t="str">
        <f t="shared" si="173"/>
        <v/>
      </c>
      <c r="X756" s="38"/>
      <c r="Y756" s="64" t="str">
        <f t="shared" si="174"/>
        <v/>
      </c>
      <c r="Z756" s="40"/>
    </row>
    <row r="757" spans="1:26" s="25" customFormat="1" ht="18" customHeight="1" x14ac:dyDescent="0.2">
      <c r="A757" s="279"/>
      <c r="B757" s="294" t="s">
        <v>6</v>
      </c>
      <c r="C757" s="300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277"/>
      <c r="E757" s="277"/>
      <c r="F757" s="294" t="s">
        <v>19</v>
      </c>
      <c r="G757" s="295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292"/>
      <c r="I757" s="388" t="s">
        <v>68</v>
      </c>
      <c r="J757" s="389"/>
      <c r="K757" s="295">
        <f>G757</f>
        <v>0</v>
      </c>
      <c r="L757" s="303"/>
      <c r="N757" s="35"/>
      <c r="O757" s="36" t="s">
        <v>49</v>
      </c>
      <c r="P757" s="36"/>
      <c r="Q757" s="36"/>
      <c r="R757" s="36" t="str">
        <f t="shared" si="172"/>
        <v/>
      </c>
      <c r="S757" s="27"/>
      <c r="T757" s="36" t="s">
        <v>49</v>
      </c>
      <c r="U757" s="64"/>
      <c r="V757" s="38"/>
      <c r="W757" s="64" t="str">
        <f t="shared" si="173"/>
        <v/>
      </c>
      <c r="X757" s="38"/>
      <c r="Y757" s="64" t="str">
        <f t="shared" si="174"/>
        <v/>
      </c>
      <c r="Z757" s="40"/>
    </row>
    <row r="758" spans="1:26" s="25" customFormat="1" ht="18" customHeight="1" x14ac:dyDescent="0.2">
      <c r="A758" s="279"/>
      <c r="B758" s="312" t="s">
        <v>66</v>
      </c>
      <c r="C758" s="300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>0</v>
      </c>
      <c r="D758" s="277"/>
      <c r="E758" s="277"/>
      <c r="F758" s="294" t="s">
        <v>65</v>
      </c>
      <c r="G758" s="295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>0</v>
      </c>
      <c r="H758" s="277"/>
      <c r="I758" s="393" t="s">
        <v>61</v>
      </c>
      <c r="J758" s="395"/>
      <c r="K758" s="234"/>
      <c r="L758" s="304"/>
      <c r="N758" s="35"/>
      <c r="O758" s="36" t="s">
        <v>54</v>
      </c>
      <c r="P758" s="36"/>
      <c r="Q758" s="36"/>
      <c r="R758" s="36" t="str">
        <f t="shared" si="172"/>
        <v/>
      </c>
      <c r="S758" s="27"/>
      <c r="T758" s="36" t="s">
        <v>54</v>
      </c>
      <c r="U758" s="64"/>
      <c r="V758" s="38"/>
      <c r="W758" s="64" t="str">
        <f t="shared" si="173"/>
        <v/>
      </c>
      <c r="X758" s="38"/>
      <c r="Y758" s="64" t="str">
        <f t="shared" si="174"/>
        <v/>
      </c>
      <c r="Z758" s="40"/>
    </row>
    <row r="759" spans="1:26" s="25" customFormat="1" ht="18" customHeight="1" x14ac:dyDescent="0.2">
      <c r="A759" s="279"/>
      <c r="B759" s="277"/>
      <c r="C759" s="277"/>
      <c r="D759" s="277"/>
      <c r="E759" s="277"/>
      <c r="F759" s="277"/>
      <c r="G759" s="277"/>
      <c r="H759" s="277"/>
      <c r="I759" s="277"/>
      <c r="J759" s="277"/>
      <c r="K759" s="277"/>
      <c r="L759" s="291"/>
      <c r="N759" s="35"/>
      <c r="O759" s="36" t="s">
        <v>50</v>
      </c>
      <c r="P759" s="36"/>
      <c r="Q759" s="36"/>
      <c r="R759" s="36" t="str">
        <f t="shared" si="172"/>
        <v/>
      </c>
      <c r="S759" s="27"/>
      <c r="T759" s="36" t="s">
        <v>50</v>
      </c>
      <c r="U759" s="64"/>
      <c r="V759" s="38"/>
      <c r="W759" s="64" t="str">
        <f t="shared" si="173"/>
        <v/>
      </c>
      <c r="X759" s="38"/>
      <c r="Y759" s="64" t="str">
        <f t="shared" si="174"/>
        <v/>
      </c>
      <c r="Z759" s="40"/>
    </row>
    <row r="760" spans="1:26" s="25" customFormat="1" ht="18" customHeight="1" x14ac:dyDescent="0.2">
      <c r="A760" s="279"/>
      <c r="B760" s="404" t="s">
        <v>82</v>
      </c>
      <c r="C760" s="404"/>
      <c r="D760" s="404"/>
      <c r="E760" s="404"/>
      <c r="F760" s="404"/>
      <c r="G760" s="404"/>
      <c r="H760" s="404"/>
      <c r="I760" s="404"/>
      <c r="J760" s="404"/>
      <c r="K760" s="404"/>
      <c r="L760" s="291"/>
      <c r="N760" s="35"/>
      <c r="O760" s="36" t="s">
        <v>55</v>
      </c>
      <c r="P760" s="36"/>
      <c r="Q760" s="36"/>
      <c r="R760" s="36" t="str">
        <f t="shared" si="172"/>
        <v/>
      </c>
      <c r="S760" s="27"/>
      <c r="T760" s="36" t="s">
        <v>55</v>
      </c>
      <c r="U760" s="64"/>
      <c r="V760" s="38"/>
      <c r="W760" s="64" t="str">
        <f t="shared" si="173"/>
        <v/>
      </c>
      <c r="X760" s="38"/>
      <c r="Y760" s="64" t="str">
        <f t="shared" si="174"/>
        <v/>
      </c>
      <c r="Z760" s="40"/>
    </row>
    <row r="761" spans="1:26" s="25" customFormat="1" ht="18" customHeight="1" x14ac:dyDescent="0.2">
      <c r="A761" s="279"/>
      <c r="B761" s="404"/>
      <c r="C761" s="404"/>
      <c r="D761" s="404"/>
      <c r="E761" s="404"/>
      <c r="F761" s="404"/>
      <c r="G761" s="404"/>
      <c r="H761" s="404"/>
      <c r="I761" s="404"/>
      <c r="J761" s="404"/>
      <c r="K761" s="404"/>
      <c r="L761" s="291"/>
      <c r="N761" s="35"/>
      <c r="O761" s="36" t="s">
        <v>56</v>
      </c>
      <c r="P761" s="36"/>
      <c r="Q761" s="36"/>
      <c r="R761" s="36" t="str">
        <f t="shared" si="172"/>
        <v/>
      </c>
      <c r="S761" s="27"/>
      <c r="T761" s="36" t="s">
        <v>56</v>
      </c>
      <c r="U761" s="64"/>
      <c r="V761" s="38"/>
      <c r="W761" s="64" t="str">
        <f t="shared" si="173"/>
        <v/>
      </c>
      <c r="X761" s="38"/>
      <c r="Y761" s="64" t="str">
        <f t="shared" si="174"/>
        <v/>
      </c>
      <c r="Z761" s="40"/>
    </row>
    <row r="762" spans="1:26" s="25" customFormat="1" ht="18" customHeight="1" thickBot="1" x14ac:dyDescent="0.25">
      <c r="A762" s="305"/>
      <c r="B762" s="313"/>
      <c r="C762" s="313"/>
      <c r="D762" s="313"/>
      <c r="E762" s="313"/>
      <c r="F762" s="313"/>
      <c r="G762" s="313"/>
      <c r="H762" s="313"/>
      <c r="I762" s="313"/>
      <c r="J762" s="313"/>
      <c r="K762" s="313"/>
      <c r="L762" s="307"/>
      <c r="N762" s="41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3"/>
    </row>
    <row r="763" spans="1:26" s="25" customFormat="1" ht="18" customHeight="1" x14ac:dyDescent="0.2">
      <c r="A763" s="417" t="s">
        <v>38</v>
      </c>
      <c r="B763" s="418"/>
      <c r="C763" s="418"/>
      <c r="D763" s="418"/>
      <c r="E763" s="418"/>
      <c r="F763" s="418"/>
      <c r="G763" s="418"/>
      <c r="H763" s="418"/>
      <c r="I763" s="418"/>
      <c r="J763" s="418"/>
      <c r="K763" s="418"/>
      <c r="L763" s="419"/>
      <c r="M763" s="24"/>
      <c r="N763" s="28"/>
      <c r="O763" s="385" t="s">
        <v>40</v>
      </c>
      <c r="P763" s="386"/>
      <c r="Q763" s="386"/>
      <c r="R763" s="387"/>
      <c r="S763" s="29"/>
      <c r="T763" s="385" t="s">
        <v>41</v>
      </c>
      <c r="U763" s="386"/>
      <c r="V763" s="386"/>
      <c r="W763" s="386"/>
      <c r="X763" s="386"/>
      <c r="Y763" s="387"/>
      <c r="Z763" s="27"/>
    </row>
    <row r="764" spans="1:26" s="25" customFormat="1" ht="18" customHeight="1" x14ac:dyDescent="0.2">
      <c r="A764" s="279"/>
      <c r="B764" s="277"/>
      <c r="C764" s="396" t="s">
        <v>212</v>
      </c>
      <c r="D764" s="396"/>
      <c r="E764" s="396"/>
      <c r="F764" s="396"/>
      <c r="G764" s="280" t="str">
        <f>$J$1</f>
        <v>January</v>
      </c>
      <c r="H764" s="399">
        <f>$K$1</f>
        <v>2024</v>
      </c>
      <c r="I764" s="399"/>
      <c r="J764" s="277"/>
      <c r="K764" s="281"/>
      <c r="L764" s="282"/>
      <c r="M764" s="26"/>
      <c r="N764" s="31"/>
      <c r="O764" s="32" t="s">
        <v>51</v>
      </c>
      <c r="P764" s="32" t="s">
        <v>7</v>
      </c>
      <c r="Q764" s="32" t="s">
        <v>6</v>
      </c>
      <c r="R764" s="32" t="s">
        <v>52</v>
      </c>
      <c r="S764" s="33"/>
      <c r="T764" s="32" t="s">
        <v>51</v>
      </c>
      <c r="U764" s="32" t="s">
        <v>53</v>
      </c>
      <c r="V764" s="32" t="s">
        <v>18</v>
      </c>
      <c r="W764" s="32" t="s">
        <v>17</v>
      </c>
      <c r="X764" s="32" t="s">
        <v>19</v>
      </c>
      <c r="Y764" s="32" t="s">
        <v>57</v>
      </c>
      <c r="Z764" s="27"/>
    </row>
    <row r="765" spans="1:26" s="25" customFormat="1" ht="18" customHeight="1" x14ac:dyDescent="0.2">
      <c r="A765" s="279"/>
      <c r="B765" s="277"/>
      <c r="C765" s="277"/>
      <c r="D765" s="283"/>
      <c r="E765" s="283"/>
      <c r="F765" s="283"/>
      <c r="G765" s="283"/>
      <c r="H765" s="283"/>
      <c r="I765" s="277"/>
      <c r="J765" s="284" t="s">
        <v>1</v>
      </c>
      <c r="K765" s="285"/>
      <c r="L765" s="286"/>
      <c r="N765" s="35"/>
      <c r="O765" s="36" t="s">
        <v>43</v>
      </c>
      <c r="P765" s="36"/>
      <c r="Q765" s="36"/>
      <c r="R765" s="36">
        <v>0</v>
      </c>
      <c r="S765" s="37"/>
      <c r="T765" s="36" t="s">
        <v>43</v>
      </c>
      <c r="U765" s="38"/>
      <c r="V765" s="38"/>
      <c r="W765" s="38">
        <f>V765+U765</f>
        <v>0</v>
      </c>
      <c r="X765" s="38"/>
      <c r="Y765" s="38">
        <f>W765-X765</f>
        <v>0</v>
      </c>
      <c r="Z765" s="27"/>
    </row>
    <row r="766" spans="1:26" s="25" customFormat="1" ht="18" customHeight="1" x14ac:dyDescent="0.2">
      <c r="A766" s="279"/>
      <c r="B766" s="277" t="s">
        <v>0</v>
      </c>
      <c r="C766" s="276">
        <v>13</v>
      </c>
      <c r="D766" s="277"/>
      <c r="E766" s="277"/>
      <c r="F766" s="277"/>
      <c r="G766" s="277"/>
      <c r="H766" s="287"/>
      <c r="I766" s="283"/>
      <c r="J766" s="277"/>
      <c r="K766" s="277"/>
      <c r="L766" s="288"/>
      <c r="M766" s="24"/>
      <c r="N766" s="39"/>
      <c r="O766" s="36" t="s">
        <v>69</v>
      </c>
      <c r="P766" s="36"/>
      <c r="Q766" s="36"/>
      <c r="R766" s="36">
        <v>0</v>
      </c>
      <c r="S766" s="27"/>
      <c r="T766" s="36" t="s">
        <v>69</v>
      </c>
      <c r="U766" s="64">
        <f>Y765</f>
        <v>0</v>
      </c>
      <c r="V766" s="38"/>
      <c r="W766" s="64">
        <f>IF(U766="","",U766+V766)</f>
        <v>0</v>
      </c>
      <c r="X766" s="38"/>
      <c r="Y766" s="64">
        <f>IF(W766="","",W766-X766)</f>
        <v>0</v>
      </c>
      <c r="Z766" s="27"/>
    </row>
    <row r="767" spans="1:26" s="25" customFormat="1" ht="18" customHeight="1" x14ac:dyDescent="0.2">
      <c r="A767" s="279"/>
      <c r="B767" s="289" t="s">
        <v>39</v>
      </c>
      <c r="C767" s="290"/>
      <c r="D767" s="277"/>
      <c r="E767" s="277"/>
      <c r="F767" s="403" t="s">
        <v>41</v>
      </c>
      <c r="G767" s="403"/>
      <c r="H767" s="277"/>
      <c r="I767" s="403" t="s">
        <v>42</v>
      </c>
      <c r="J767" s="403"/>
      <c r="K767" s="403"/>
      <c r="L767" s="291"/>
      <c r="N767" s="35"/>
      <c r="O767" s="36" t="s">
        <v>44</v>
      </c>
      <c r="P767" s="36"/>
      <c r="Q767" s="36"/>
      <c r="R767" s="36">
        <v>0</v>
      </c>
      <c r="S767" s="27"/>
      <c r="T767" s="36" t="s">
        <v>44</v>
      </c>
      <c r="U767" s="64">
        <f>IF($J$1="April",Y766,Y766)</f>
        <v>0</v>
      </c>
      <c r="V767" s="38"/>
      <c r="W767" s="64">
        <f t="shared" ref="W767:W776" si="175">IF(U767="","",U767+V767)</f>
        <v>0</v>
      </c>
      <c r="X767" s="38"/>
      <c r="Y767" s="64">
        <f t="shared" ref="Y767:Y776" si="176">IF(W767="","",W767-X767)</f>
        <v>0</v>
      </c>
      <c r="Z767" s="27"/>
    </row>
    <row r="768" spans="1:26" s="25" customFormat="1" ht="18" customHeight="1" x14ac:dyDescent="0.2">
      <c r="A768" s="279"/>
      <c r="B768" s="277"/>
      <c r="C768" s="277"/>
      <c r="D768" s="277"/>
      <c r="E768" s="277"/>
      <c r="F768" s="277"/>
      <c r="G768" s="277"/>
      <c r="H768" s="292"/>
      <c r="I768" s="277"/>
      <c r="J768" s="277"/>
      <c r="K768" s="277"/>
      <c r="L768" s="293"/>
      <c r="N768" s="35"/>
      <c r="O768" s="36" t="s">
        <v>45</v>
      </c>
      <c r="P768" s="36"/>
      <c r="Q768" s="36"/>
      <c r="R768" s="36" t="str">
        <f t="shared" ref="R768:R776" si="177">IF(Q768="","",R767-Q768)</f>
        <v/>
      </c>
      <c r="S768" s="27"/>
      <c r="T768" s="36" t="s">
        <v>45</v>
      </c>
      <c r="U768" s="64">
        <f>IF($J$1="April",Y767,Y767)</f>
        <v>0</v>
      </c>
      <c r="V768" s="38"/>
      <c r="W768" s="64">
        <f t="shared" si="175"/>
        <v>0</v>
      </c>
      <c r="X768" s="38"/>
      <c r="Y768" s="64">
        <f t="shared" si="176"/>
        <v>0</v>
      </c>
      <c r="Z768" s="27"/>
    </row>
    <row r="769" spans="1:27" s="25" customFormat="1" ht="18" customHeight="1" x14ac:dyDescent="0.2">
      <c r="A769" s="279"/>
      <c r="B769" s="397" t="s">
        <v>40</v>
      </c>
      <c r="C769" s="398"/>
      <c r="D769" s="277"/>
      <c r="E769" s="277"/>
      <c r="F769" s="294" t="s">
        <v>62</v>
      </c>
      <c r="G769" s="295">
        <f>IF($J$1="January",U765,IF($J$1="February",U766,IF($J$1="March",U767,IF($J$1="April",U768,IF($J$1="May",U769,IF($J$1="June",U770,IF($J$1="July",U771,IF($J$1="August",U772,IF($J$1="August",U772,IF($J$1="September",U773,IF($J$1="October",U774,IF($J$1="November",U775,IF($J$1="December",U776)))))))))))))</f>
        <v>0</v>
      </c>
      <c r="H769" s="292"/>
      <c r="I769" s="296"/>
      <c r="J769" s="297" t="s">
        <v>59</v>
      </c>
      <c r="K769" s="298">
        <f>K765/$K$2*I769</f>
        <v>0</v>
      </c>
      <c r="L769" s="299"/>
      <c r="N769" s="35"/>
      <c r="O769" s="36" t="s">
        <v>46</v>
      </c>
      <c r="P769" s="36"/>
      <c r="Q769" s="36"/>
      <c r="R769" s="36" t="str">
        <f t="shared" si="177"/>
        <v/>
      </c>
      <c r="S769" s="27"/>
      <c r="T769" s="36" t="s">
        <v>46</v>
      </c>
      <c r="U769" s="64">
        <f>IF($J$1="May",Y768,Y768)</f>
        <v>0</v>
      </c>
      <c r="V769" s="38"/>
      <c r="W769" s="64">
        <f t="shared" si="175"/>
        <v>0</v>
      </c>
      <c r="X769" s="38"/>
      <c r="Y769" s="64">
        <f t="shared" si="176"/>
        <v>0</v>
      </c>
      <c r="Z769" s="27"/>
    </row>
    <row r="770" spans="1:27" s="25" customFormat="1" ht="18" customHeight="1" x14ac:dyDescent="0.2">
      <c r="A770" s="279"/>
      <c r="B770" s="300"/>
      <c r="C770" s="300"/>
      <c r="D770" s="277"/>
      <c r="E770" s="277"/>
      <c r="F770" s="294" t="s">
        <v>18</v>
      </c>
      <c r="G770" s="295">
        <f>IF($J$1="January",V765,IF($J$1="February",V766,IF($J$1="March",V767,IF($J$1="April",V768,IF($J$1="May",V769,IF($J$1="June",V770,IF($J$1="July",V771,IF($J$1="August",V772,IF($J$1="August",V772,IF($J$1="September",V773,IF($J$1="October",V774,IF($J$1="November",V775,IF($J$1="December",V776)))))))))))))</f>
        <v>0</v>
      </c>
      <c r="H770" s="292"/>
      <c r="I770" s="314"/>
      <c r="J770" s="297" t="s">
        <v>60</v>
      </c>
      <c r="K770" s="301">
        <f>K765/$K$2/8*I770</f>
        <v>0</v>
      </c>
      <c r="L770" s="302"/>
      <c r="N770" s="35"/>
      <c r="O770" s="36" t="s">
        <v>47</v>
      </c>
      <c r="P770" s="36"/>
      <c r="Q770" s="36"/>
      <c r="R770" s="36" t="str">
        <f t="shared" si="177"/>
        <v/>
      </c>
      <c r="S770" s="27"/>
      <c r="T770" s="36" t="s">
        <v>47</v>
      </c>
      <c r="U770" s="64">
        <f>IF($J$1="May",Y769,Y769)</f>
        <v>0</v>
      </c>
      <c r="V770" s="38"/>
      <c r="W770" s="64">
        <f t="shared" si="175"/>
        <v>0</v>
      </c>
      <c r="X770" s="38"/>
      <c r="Y770" s="64">
        <f t="shared" si="176"/>
        <v>0</v>
      </c>
      <c r="Z770" s="27"/>
    </row>
    <row r="771" spans="1:27" s="25" customFormat="1" ht="18" customHeight="1" x14ac:dyDescent="0.2">
      <c r="A771" s="279"/>
      <c r="B771" s="294" t="s">
        <v>7</v>
      </c>
      <c r="C771" s="300">
        <f>IF($J$1="January",P765,IF($J$1="February",P766,IF($J$1="March",P767,IF($J$1="April",P768,IF($J$1="May",P769,IF($J$1="June",P770,IF($J$1="July",P771,IF($J$1="August",P772,IF($J$1="August",P772,IF($J$1="September",P773,IF($J$1="October",P774,IF($J$1="November",P775,IF($J$1="December",P776)))))))))))))</f>
        <v>0</v>
      </c>
      <c r="D771" s="277"/>
      <c r="E771" s="277"/>
      <c r="F771" s="294" t="s">
        <v>63</v>
      </c>
      <c r="G771" s="295">
        <f>IF($J$1="January",W765,IF($J$1="February",W766,IF($J$1="March",W767,IF($J$1="April",W768,IF($J$1="May",W769,IF($J$1="June",W770,IF($J$1="July",W771,IF($J$1="August",W772,IF($J$1="August",W772,IF($J$1="September",W773,IF($J$1="October",W774,IF($J$1="November",W775,IF($J$1="December",W776)))))))))))))</f>
        <v>0</v>
      </c>
      <c r="H771" s="292"/>
      <c r="I771" s="388" t="s">
        <v>67</v>
      </c>
      <c r="J771" s="389"/>
      <c r="K771" s="301">
        <f>K769+K770</f>
        <v>0</v>
      </c>
      <c r="L771" s="302"/>
      <c r="N771" s="35"/>
      <c r="O771" s="36" t="s">
        <v>48</v>
      </c>
      <c r="P771" s="36"/>
      <c r="Q771" s="36"/>
      <c r="R771" s="36" t="str">
        <f t="shared" si="177"/>
        <v/>
      </c>
      <c r="S771" s="27"/>
      <c r="T771" s="36" t="s">
        <v>48</v>
      </c>
      <c r="U771" s="64" t="str">
        <f>IF($J$1="July",Y770,"")</f>
        <v/>
      </c>
      <c r="V771" s="38"/>
      <c r="W771" s="64" t="str">
        <f t="shared" si="175"/>
        <v/>
      </c>
      <c r="X771" s="38"/>
      <c r="Y771" s="64" t="str">
        <f t="shared" si="176"/>
        <v/>
      </c>
      <c r="Z771" s="27"/>
    </row>
    <row r="772" spans="1:27" s="25" customFormat="1" ht="18" customHeight="1" x14ac:dyDescent="0.2">
      <c r="A772" s="279"/>
      <c r="B772" s="294" t="s">
        <v>6</v>
      </c>
      <c r="C772" s="300">
        <f>IF($J$1="January",Q765,IF($J$1="February",Q766,IF($J$1="March",Q767,IF($J$1="April",Q768,IF($J$1="May",Q769,IF($J$1="June",Q770,IF($J$1="July",Q771,IF($J$1="August",Q772,IF($J$1="August",Q772,IF($J$1="September",Q773,IF($J$1="October",Q774,IF($J$1="November",Q775,IF($J$1="December",Q776)))))))))))))</f>
        <v>0</v>
      </c>
      <c r="D772" s="277"/>
      <c r="E772" s="277"/>
      <c r="F772" s="294" t="s">
        <v>19</v>
      </c>
      <c r="G772" s="295">
        <f>IF($J$1="January",X765,IF($J$1="February",X766,IF($J$1="March",X767,IF($J$1="April",X768,IF($J$1="May",X769,IF($J$1="June",X770,IF($J$1="July",X771,IF($J$1="August",X772,IF($J$1="August",X772,IF($J$1="September",X773,IF($J$1="October",X774,IF($J$1="November",X775,IF($J$1="December",X776)))))))))))))</f>
        <v>0</v>
      </c>
      <c r="H772" s="292"/>
      <c r="I772" s="388" t="s">
        <v>68</v>
      </c>
      <c r="J772" s="389"/>
      <c r="K772" s="295">
        <f>G772</f>
        <v>0</v>
      </c>
      <c r="L772" s="303"/>
      <c r="N772" s="35"/>
      <c r="O772" s="36" t="s">
        <v>49</v>
      </c>
      <c r="P772" s="36"/>
      <c r="Q772" s="36"/>
      <c r="R772" s="36" t="str">
        <f t="shared" si="177"/>
        <v/>
      </c>
      <c r="S772" s="27"/>
      <c r="T772" s="36" t="s">
        <v>49</v>
      </c>
      <c r="U772" s="64" t="str">
        <f>IF($J$1="August",Y771,"")</f>
        <v/>
      </c>
      <c r="V772" s="38"/>
      <c r="W772" s="64" t="str">
        <f t="shared" si="175"/>
        <v/>
      </c>
      <c r="X772" s="38"/>
      <c r="Y772" s="64" t="str">
        <f t="shared" si="176"/>
        <v/>
      </c>
      <c r="Z772" s="27"/>
    </row>
    <row r="773" spans="1:27" s="25" customFormat="1" ht="18" customHeight="1" x14ac:dyDescent="0.2">
      <c r="A773" s="279"/>
      <c r="B773" s="312" t="s">
        <v>66</v>
      </c>
      <c r="C773" s="300">
        <f>IF($J$1="January",R765,IF($J$1="February",R766,IF($J$1="March",R767,IF($J$1="April",R768,IF($J$1="May",R769,IF($J$1="June",R770,IF($J$1="July",R771,IF($J$1="August",R772,IF($J$1="August",R772,IF($J$1="September",R773,IF($J$1="October",R774,IF($J$1="November",R775,IF($J$1="December",R776)))))))))))))</f>
        <v>0</v>
      </c>
      <c r="D773" s="277"/>
      <c r="E773" s="277"/>
      <c r="F773" s="294" t="s">
        <v>65</v>
      </c>
      <c r="G773" s="295">
        <f>IF($J$1="January",Y765,IF($J$1="February",Y766,IF($J$1="March",Y767,IF($J$1="April",Y768,IF($J$1="May",Y769,IF($J$1="June",Y770,IF($J$1="July",Y771,IF($J$1="August",Y772,IF($J$1="August",Y772,IF($J$1="September",Y773,IF($J$1="October",Y774,IF($J$1="November",Y775,IF($J$1="December",Y776)))))))))))))</f>
        <v>0</v>
      </c>
      <c r="H773" s="277"/>
      <c r="I773" s="393" t="s">
        <v>61</v>
      </c>
      <c r="J773" s="395"/>
      <c r="K773" s="234">
        <f>K771-K772</f>
        <v>0</v>
      </c>
      <c r="L773" s="304"/>
      <c r="N773" s="35"/>
      <c r="O773" s="36" t="s">
        <v>54</v>
      </c>
      <c r="P773" s="36"/>
      <c r="Q773" s="36"/>
      <c r="R773" s="36" t="str">
        <f t="shared" si="177"/>
        <v/>
      </c>
      <c r="S773" s="27"/>
      <c r="T773" s="36" t="s">
        <v>54</v>
      </c>
      <c r="U773" s="64" t="str">
        <f>IF($J$1="Sept",Y772,"")</f>
        <v/>
      </c>
      <c r="V773" s="38"/>
      <c r="W773" s="64" t="str">
        <f t="shared" si="175"/>
        <v/>
      </c>
      <c r="X773" s="38"/>
      <c r="Y773" s="64" t="str">
        <f t="shared" si="176"/>
        <v/>
      </c>
      <c r="Z773" s="27"/>
    </row>
    <row r="774" spans="1:27" s="25" customFormat="1" ht="18" customHeight="1" x14ac:dyDescent="0.2">
      <c r="A774" s="279"/>
      <c r="B774" s="277"/>
      <c r="C774" s="277"/>
      <c r="D774" s="277"/>
      <c r="E774" s="277"/>
      <c r="F774" s="277"/>
      <c r="G774" s="277"/>
      <c r="H774" s="277"/>
      <c r="I774" s="277"/>
      <c r="J774" s="277"/>
      <c r="K774" s="277"/>
      <c r="L774" s="291"/>
      <c r="N774" s="35"/>
      <c r="O774" s="36" t="s">
        <v>50</v>
      </c>
      <c r="P774" s="36"/>
      <c r="Q774" s="36"/>
      <c r="R774" s="36" t="str">
        <f t="shared" si="177"/>
        <v/>
      </c>
      <c r="S774" s="27"/>
      <c r="T774" s="36" t="s">
        <v>50</v>
      </c>
      <c r="U774" s="64" t="str">
        <f>IF($J$1="October",Y773,"")</f>
        <v/>
      </c>
      <c r="V774" s="38"/>
      <c r="W774" s="64" t="str">
        <f t="shared" si="175"/>
        <v/>
      </c>
      <c r="X774" s="38"/>
      <c r="Y774" s="64" t="str">
        <f t="shared" si="176"/>
        <v/>
      </c>
      <c r="Z774" s="27"/>
    </row>
    <row r="775" spans="1:27" s="25" customFormat="1" ht="18" customHeight="1" x14ac:dyDescent="0.2">
      <c r="A775" s="279"/>
      <c r="B775" s="404" t="s">
        <v>82</v>
      </c>
      <c r="C775" s="404"/>
      <c r="D775" s="404"/>
      <c r="E775" s="404"/>
      <c r="F775" s="404"/>
      <c r="G775" s="404"/>
      <c r="H775" s="404"/>
      <c r="I775" s="404"/>
      <c r="J775" s="404"/>
      <c r="K775" s="404"/>
      <c r="L775" s="291"/>
      <c r="N775" s="35"/>
      <c r="O775" s="36" t="s">
        <v>55</v>
      </c>
      <c r="P775" s="36"/>
      <c r="Q775" s="36"/>
      <c r="R775" s="36" t="str">
        <f t="shared" si="177"/>
        <v/>
      </c>
      <c r="S775" s="27"/>
      <c r="T775" s="36" t="s">
        <v>55</v>
      </c>
      <c r="U775" s="64" t="str">
        <f>IF($J$1="November",Y774,"")</f>
        <v/>
      </c>
      <c r="V775" s="38"/>
      <c r="W775" s="64" t="str">
        <f t="shared" si="175"/>
        <v/>
      </c>
      <c r="X775" s="38"/>
      <c r="Y775" s="64" t="str">
        <f t="shared" si="176"/>
        <v/>
      </c>
      <c r="Z775" s="27"/>
    </row>
    <row r="776" spans="1:27" s="25" customFormat="1" ht="18" customHeight="1" x14ac:dyDescent="0.2">
      <c r="A776" s="279"/>
      <c r="B776" s="404"/>
      <c r="C776" s="404"/>
      <c r="D776" s="404"/>
      <c r="E776" s="404"/>
      <c r="F776" s="404"/>
      <c r="G776" s="404"/>
      <c r="H776" s="404"/>
      <c r="I776" s="404"/>
      <c r="J776" s="404"/>
      <c r="K776" s="404"/>
      <c r="L776" s="291"/>
      <c r="N776" s="35"/>
      <c r="O776" s="36" t="s">
        <v>56</v>
      </c>
      <c r="P776" s="36"/>
      <c r="Q776" s="36"/>
      <c r="R776" s="36" t="str">
        <f t="shared" si="177"/>
        <v/>
      </c>
      <c r="S776" s="27"/>
      <c r="T776" s="36" t="s">
        <v>56</v>
      </c>
      <c r="U776" s="64" t="str">
        <f>IF($J$1="Dec",Y775,"")</f>
        <v/>
      </c>
      <c r="V776" s="38"/>
      <c r="W776" s="64" t="str">
        <f t="shared" si="175"/>
        <v/>
      </c>
      <c r="X776" s="38"/>
      <c r="Y776" s="64" t="str">
        <f t="shared" si="176"/>
        <v/>
      </c>
      <c r="Z776" s="27"/>
    </row>
    <row r="777" spans="1:27" s="25" customFormat="1" ht="18" customHeight="1" thickBot="1" x14ac:dyDescent="0.25">
      <c r="A777" s="305"/>
      <c r="B777" s="313"/>
      <c r="C777" s="313"/>
      <c r="D777" s="313"/>
      <c r="E777" s="313"/>
      <c r="F777" s="313"/>
      <c r="G777" s="313"/>
      <c r="H777" s="313"/>
      <c r="I777" s="313"/>
      <c r="J777" s="313"/>
      <c r="K777" s="313"/>
      <c r="L777" s="307"/>
      <c r="N777" s="41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27"/>
    </row>
    <row r="778" spans="1:27" ht="18" customHeight="1" thickBot="1" x14ac:dyDescent="0.35"/>
    <row r="779" spans="1:27" s="25" customFormat="1" ht="18" customHeight="1" thickBot="1" x14ac:dyDescent="0.25">
      <c r="A779" s="390" t="s">
        <v>38</v>
      </c>
      <c r="B779" s="391"/>
      <c r="C779" s="391"/>
      <c r="D779" s="391"/>
      <c r="E779" s="391"/>
      <c r="F779" s="391"/>
      <c r="G779" s="391"/>
      <c r="H779" s="391"/>
      <c r="I779" s="391"/>
      <c r="J779" s="391"/>
      <c r="K779" s="391"/>
      <c r="L779" s="392"/>
      <c r="M779" s="24"/>
      <c r="N779" s="28"/>
      <c r="O779" s="385" t="s">
        <v>40</v>
      </c>
      <c r="P779" s="386"/>
      <c r="Q779" s="386"/>
      <c r="R779" s="387"/>
      <c r="S779" s="29"/>
      <c r="T779" s="385" t="s">
        <v>41</v>
      </c>
      <c r="U779" s="386"/>
      <c r="V779" s="386"/>
      <c r="W779" s="386"/>
      <c r="X779" s="386"/>
      <c r="Y779" s="387"/>
      <c r="Z779" s="30"/>
      <c r="AA779" s="24"/>
    </row>
    <row r="780" spans="1:27" s="25" customFormat="1" ht="18" customHeight="1" x14ac:dyDescent="0.2">
      <c r="A780" s="279"/>
      <c r="B780" s="277"/>
      <c r="C780" s="396" t="s">
        <v>212</v>
      </c>
      <c r="D780" s="396"/>
      <c r="E780" s="396"/>
      <c r="F780" s="396"/>
      <c r="G780" s="280" t="str">
        <f>$J$1</f>
        <v>January</v>
      </c>
      <c r="H780" s="399">
        <f>$K$1</f>
        <v>2024</v>
      </c>
      <c r="I780" s="399"/>
      <c r="J780" s="277"/>
      <c r="K780" s="281"/>
      <c r="L780" s="282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9"/>
      <c r="B781" s="277"/>
      <c r="C781" s="277"/>
      <c r="D781" s="283"/>
      <c r="E781" s="283"/>
      <c r="F781" s="283"/>
      <c r="G781" s="283"/>
      <c r="H781" s="283"/>
      <c r="I781" s="277"/>
      <c r="J781" s="284" t="s">
        <v>1</v>
      </c>
      <c r="K781" s="285"/>
      <c r="L781" s="286"/>
      <c r="N781" s="35"/>
      <c r="O781" s="36" t="s">
        <v>43</v>
      </c>
      <c r="P781" s="36"/>
      <c r="Q781" s="36"/>
      <c r="R781" s="36">
        <v>0</v>
      </c>
      <c r="S781" s="37"/>
      <c r="T781" s="36" t="s">
        <v>43</v>
      </c>
      <c r="U781" s="38"/>
      <c r="V781" s="38"/>
      <c r="W781" s="38">
        <f>V781+U781</f>
        <v>0</v>
      </c>
      <c r="X781" s="38"/>
      <c r="Y781" s="38">
        <f>W781-X781</f>
        <v>0</v>
      </c>
      <c r="Z781" s="34"/>
    </row>
    <row r="782" spans="1:27" s="25" customFormat="1" ht="18" customHeight="1" x14ac:dyDescent="0.2">
      <c r="A782" s="279"/>
      <c r="B782" s="277" t="s">
        <v>0</v>
      </c>
      <c r="C782" s="276" t="s">
        <v>210</v>
      </c>
      <c r="D782" s="277"/>
      <c r="E782" s="277"/>
      <c r="F782" s="277"/>
      <c r="G782" s="277"/>
      <c r="H782" s="287"/>
      <c r="I782" s="283"/>
      <c r="J782" s="277"/>
      <c r="K782" s="277"/>
      <c r="L782" s="288"/>
      <c r="M782" s="24"/>
      <c r="N782" s="39"/>
      <c r="O782" s="36" t="s">
        <v>69</v>
      </c>
      <c r="P782" s="36"/>
      <c r="Q782" s="36"/>
      <c r="R782" s="36">
        <v>0</v>
      </c>
      <c r="S782" s="27"/>
      <c r="T782" s="36" t="s">
        <v>69</v>
      </c>
      <c r="U782" s="64">
        <f>Y781</f>
        <v>0</v>
      </c>
      <c r="V782" s="38"/>
      <c r="W782" s="64">
        <f>IF(U782="","",U782+V782)</f>
        <v>0</v>
      </c>
      <c r="X782" s="38"/>
      <c r="Y782" s="64">
        <f>IF(W782="","",W782-X782)</f>
        <v>0</v>
      </c>
      <c r="Z782" s="40"/>
      <c r="AA782" s="24"/>
    </row>
    <row r="783" spans="1:27" s="25" customFormat="1" ht="18" customHeight="1" x14ac:dyDescent="0.2">
      <c r="A783" s="279"/>
      <c r="B783" s="289" t="s">
        <v>39</v>
      </c>
      <c r="C783" s="290"/>
      <c r="D783" s="277"/>
      <c r="E783" s="277"/>
      <c r="F783" s="393" t="s">
        <v>41</v>
      </c>
      <c r="G783" s="395"/>
      <c r="H783" s="277"/>
      <c r="I783" s="393" t="s">
        <v>42</v>
      </c>
      <c r="J783" s="394"/>
      <c r="K783" s="395"/>
      <c r="L783" s="291"/>
      <c r="N783" s="35"/>
      <c r="O783" s="36" t="s">
        <v>44</v>
      </c>
      <c r="P783" s="36"/>
      <c r="Q783" s="36"/>
      <c r="R783" s="36" t="str">
        <f>IF(Q783="","",R782-Q783)</f>
        <v/>
      </c>
      <c r="S783" s="27"/>
      <c r="T783" s="36" t="s">
        <v>44</v>
      </c>
      <c r="U783" s="64">
        <f>IF($J$1="April",Y782,Y782)</f>
        <v>0</v>
      </c>
      <c r="V783" s="38"/>
      <c r="W783" s="64">
        <f t="shared" ref="W783:W792" si="178">IF(U783="","",U783+V783)</f>
        <v>0</v>
      </c>
      <c r="X783" s="38"/>
      <c r="Y783" s="64">
        <f t="shared" ref="Y783:Y792" si="179">IF(W783="","",W783-X783)</f>
        <v>0</v>
      </c>
      <c r="Z783" s="40"/>
    </row>
    <row r="784" spans="1:27" s="25" customFormat="1" ht="18" customHeight="1" x14ac:dyDescent="0.2">
      <c r="A784" s="279"/>
      <c r="B784" s="277"/>
      <c r="C784" s="277"/>
      <c r="D784" s="277"/>
      <c r="E784" s="277"/>
      <c r="F784" s="277"/>
      <c r="G784" s="277"/>
      <c r="H784" s="292"/>
      <c r="I784" s="277"/>
      <c r="J784" s="277"/>
      <c r="K784" s="277"/>
      <c r="L784" s="293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4">
        <f>IF($J$1="April",Y783,Y783)</f>
        <v>0</v>
      </c>
      <c r="V784" s="38"/>
      <c r="W784" s="64">
        <f t="shared" si="178"/>
        <v>0</v>
      </c>
      <c r="X784" s="38"/>
      <c r="Y784" s="64">
        <f t="shared" si="179"/>
        <v>0</v>
      </c>
      <c r="Z784" s="40"/>
    </row>
    <row r="785" spans="1:27" s="25" customFormat="1" ht="18" customHeight="1" x14ac:dyDescent="0.2">
      <c r="A785" s="279"/>
      <c r="B785" s="397" t="s">
        <v>40</v>
      </c>
      <c r="C785" s="398"/>
      <c r="D785" s="277"/>
      <c r="E785" s="277"/>
      <c r="F785" s="294" t="s">
        <v>62</v>
      </c>
      <c r="G785" s="295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92"/>
      <c r="I785" s="296"/>
      <c r="J785" s="297" t="s">
        <v>59</v>
      </c>
      <c r="K785" s="298">
        <f>K781/$K$2*I785</f>
        <v>0</v>
      </c>
      <c r="L785" s="299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4">
        <f>IF($J$1="May",Y784,Y784)</f>
        <v>0</v>
      </c>
      <c r="V785" s="38"/>
      <c r="W785" s="64">
        <f t="shared" si="178"/>
        <v>0</v>
      </c>
      <c r="X785" s="38"/>
      <c r="Y785" s="64">
        <f t="shared" si="179"/>
        <v>0</v>
      </c>
      <c r="Z785" s="40"/>
    </row>
    <row r="786" spans="1:27" s="25" customFormat="1" ht="18" customHeight="1" x14ac:dyDescent="0.2">
      <c r="A786" s="279"/>
      <c r="B786" s="300"/>
      <c r="C786" s="300"/>
      <c r="D786" s="277"/>
      <c r="E786" s="277"/>
      <c r="F786" s="294" t="s">
        <v>18</v>
      </c>
      <c r="G786" s="295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92"/>
      <c r="I786" s="296"/>
      <c r="J786" s="297" t="s">
        <v>60</v>
      </c>
      <c r="K786" s="301">
        <f>K781/$K$2/8*I786</f>
        <v>0</v>
      </c>
      <c r="L786" s="302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4">
        <f>IF($J$1="May",Y785,Y785)</f>
        <v>0</v>
      </c>
      <c r="V786" s="38"/>
      <c r="W786" s="64">
        <f t="shared" si="178"/>
        <v>0</v>
      </c>
      <c r="X786" s="38"/>
      <c r="Y786" s="64">
        <f t="shared" si="179"/>
        <v>0</v>
      </c>
      <c r="Z786" s="40"/>
    </row>
    <row r="787" spans="1:27" s="25" customFormat="1" ht="18" customHeight="1" x14ac:dyDescent="0.2">
      <c r="A787" s="279"/>
      <c r="B787" s="294" t="s">
        <v>7</v>
      </c>
      <c r="C787" s="300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277"/>
      <c r="E787" s="277"/>
      <c r="F787" s="294" t="s">
        <v>63</v>
      </c>
      <c r="G787" s="295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292"/>
      <c r="I787" s="388" t="s">
        <v>67</v>
      </c>
      <c r="J787" s="389"/>
      <c r="K787" s="301">
        <f>K785+K786</f>
        <v>0</v>
      </c>
      <c r="L787" s="302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4" t="str">
        <f>IF($J$1="July",Y786,"")</f>
        <v/>
      </c>
      <c r="V787" s="38"/>
      <c r="W787" s="64" t="str">
        <f t="shared" si="178"/>
        <v/>
      </c>
      <c r="X787" s="38"/>
      <c r="Y787" s="64" t="str">
        <f t="shared" si="179"/>
        <v/>
      </c>
      <c r="Z787" s="40"/>
    </row>
    <row r="788" spans="1:27" s="25" customFormat="1" ht="18" customHeight="1" x14ac:dyDescent="0.2">
      <c r="A788" s="279"/>
      <c r="B788" s="294" t="s">
        <v>6</v>
      </c>
      <c r="C788" s="300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7"/>
      <c r="E788" s="277"/>
      <c r="F788" s="294" t="s">
        <v>19</v>
      </c>
      <c r="G788" s="295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92"/>
      <c r="I788" s="388" t="s">
        <v>68</v>
      </c>
      <c r="J788" s="389"/>
      <c r="K788" s="295">
        <f>G788</f>
        <v>0</v>
      </c>
      <c r="L788" s="303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4" t="str">
        <f>IF($J$1="August",Y787,"")</f>
        <v/>
      </c>
      <c r="V788" s="38"/>
      <c r="W788" s="64" t="str">
        <f t="shared" si="178"/>
        <v/>
      </c>
      <c r="X788" s="38"/>
      <c r="Y788" s="64" t="str">
        <f t="shared" si="179"/>
        <v/>
      </c>
      <c r="Z788" s="40"/>
    </row>
    <row r="789" spans="1:27" s="25" customFormat="1" ht="18" customHeight="1" x14ac:dyDescent="0.2">
      <c r="A789" s="279"/>
      <c r="B789" s="309" t="s">
        <v>66</v>
      </c>
      <c r="C789" s="300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7"/>
      <c r="E789" s="277"/>
      <c r="F789" s="309" t="s">
        <v>201</v>
      </c>
      <c r="G789" s="295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7"/>
      <c r="I789" s="393" t="s">
        <v>61</v>
      </c>
      <c r="J789" s="395"/>
      <c r="K789" s="234">
        <f>K787-K788</f>
        <v>0</v>
      </c>
      <c r="L789" s="304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4" t="str">
        <f>IF($J$1="September",Y788,"")</f>
        <v/>
      </c>
      <c r="V789" s="38"/>
      <c r="W789" s="64" t="str">
        <f t="shared" si="178"/>
        <v/>
      </c>
      <c r="X789" s="38"/>
      <c r="Y789" s="64" t="str">
        <f t="shared" si="179"/>
        <v/>
      </c>
      <c r="Z789" s="40"/>
    </row>
    <row r="790" spans="1:27" s="25" customFormat="1" ht="18" customHeight="1" x14ac:dyDescent="0.2">
      <c r="A790" s="279"/>
      <c r="B790" s="277"/>
      <c r="C790" s="277"/>
      <c r="D790" s="277"/>
      <c r="E790" s="277"/>
      <c r="F790" s="277"/>
      <c r="G790" s="277"/>
      <c r="H790" s="277"/>
      <c r="I790" s="277"/>
      <c r="J790" s="277"/>
      <c r="K790" s="277"/>
      <c r="L790" s="291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4" t="str">
        <f>IF($J$1="October",Y789,"")</f>
        <v/>
      </c>
      <c r="V790" s="38"/>
      <c r="W790" s="64" t="str">
        <f t="shared" si="178"/>
        <v/>
      </c>
      <c r="X790" s="38"/>
      <c r="Y790" s="64" t="str">
        <f t="shared" si="179"/>
        <v/>
      </c>
      <c r="Z790" s="40"/>
    </row>
    <row r="791" spans="1:27" s="25" customFormat="1" ht="18" customHeight="1" x14ac:dyDescent="0.3">
      <c r="A791" s="279"/>
      <c r="B791" s="275" t="s">
        <v>82</v>
      </c>
      <c r="C791" s="275"/>
      <c r="D791" s="275"/>
      <c r="E791" s="275"/>
      <c r="F791" s="275"/>
      <c r="G791" s="275"/>
      <c r="H791" s="275"/>
      <c r="I791" s="275"/>
      <c r="J791" s="275"/>
      <c r="K791" s="275"/>
      <c r="L791" s="291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4" t="str">
        <f>IF($J$1="November",Y790,"")</f>
        <v/>
      </c>
      <c r="V791" s="38"/>
      <c r="W791" s="64" t="str">
        <f t="shared" si="178"/>
        <v/>
      </c>
      <c r="X791" s="38"/>
      <c r="Y791" s="64" t="str">
        <f t="shared" si="179"/>
        <v/>
      </c>
      <c r="Z791" s="40"/>
    </row>
    <row r="792" spans="1:27" s="25" customFormat="1" ht="18" customHeight="1" thickBot="1" x14ac:dyDescent="0.35">
      <c r="A792" s="305"/>
      <c r="B792" s="306"/>
      <c r="C792" s="306"/>
      <c r="D792" s="306"/>
      <c r="E792" s="306"/>
      <c r="F792" s="306"/>
      <c r="G792" s="306"/>
      <c r="H792" s="306"/>
      <c r="I792" s="306"/>
      <c r="J792" s="306"/>
      <c r="K792" s="306"/>
      <c r="L792" s="307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4" t="str">
        <f>IF($J$1="Dec",Y791,"")</f>
        <v/>
      </c>
      <c r="V792" s="38"/>
      <c r="W792" s="64" t="str">
        <f t="shared" si="178"/>
        <v/>
      </c>
      <c r="X792" s="38"/>
      <c r="Y792" s="64" t="str">
        <f t="shared" si="179"/>
        <v/>
      </c>
      <c r="Z792" s="40"/>
    </row>
    <row r="793" spans="1:27" s="25" customFormat="1" ht="18" customHeight="1" thickBot="1" x14ac:dyDescent="0.25">
      <c r="A793" s="305"/>
      <c r="B793" s="313"/>
      <c r="C793" s="313"/>
      <c r="D793" s="313"/>
      <c r="E793" s="313"/>
      <c r="F793" s="313"/>
      <c r="G793" s="313"/>
      <c r="H793" s="313"/>
      <c r="I793" s="313"/>
      <c r="J793" s="313"/>
      <c r="K793" s="313"/>
      <c r="L793" s="307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7"/>
      <c r="B794" s="277"/>
      <c r="C794" s="277"/>
      <c r="D794" s="277"/>
      <c r="E794" s="277"/>
      <c r="F794" s="277"/>
      <c r="G794" s="277"/>
      <c r="H794" s="277"/>
      <c r="I794" s="277"/>
      <c r="J794" s="277"/>
      <c r="K794" s="277"/>
      <c r="L794" s="27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7"/>
      <c r="B795" s="277"/>
      <c r="C795" s="277"/>
      <c r="D795" s="277"/>
      <c r="E795" s="277"/>
      <c r="F795" s="277"/>
      <c r="G795" s="277"/>
      <c r="H795" s="277"/>
      <c r="I795" s="277"/>
      <c r="J795" s="277"/>
      <c r="K795" s="277"/>
      <c r="L795" s="27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23" t="s">
        <v>38</v>
      </c>
      <c r="B796" s="424"/>
      <c r="C796" s="424"/>
      <c r="D796" s="424"/>
      <c r="E796" s="424"/>
      <c r="F796" s="424"/>
      <c r="G796" s="424"/>
      <c r="H796" s="424"/>
      <c r="I796" s="424"/>
      <c r="J796" s="424"/>
      <c r="K796" s="424"/>
      <c r="L796" s="425"/>
      <c r="M796" s="24"/>
      <c r="N796" s="28"/>
      <c r="O796" s="385" t="s">
        <v>40</v>
      </c>
      <c r="P796" s="386"/>
      <c r="Q796" s="386"/>
      <c r="R796" s="387"/>
      <c r="S796" s="29"/>
      <c r="T796" s="385" t="s">
        <v>41</v>
      </c>
      <c r="U796" s="386"/>
      <c r="V796" s="386"/>
      <c r="W796" s="386"/>
      <c r="X796" s="386"/>
      <c r="Y796" s="387"/>
      <c r="Z796" s="30"/>
      <c r="AA796" s="24"/>
    </row>
    <row r="797" spans="1:27" s="25" customFormat="1" ht="18" customHeight="1" x14ac:dyDescent="0.2">
      <c r="A797" s="279"/>
      <c r="B797" s="277"/>
      <c r="C797" s="396" t="s">
        <v>212</v>
      </c>
      <c r="D797" s="396"/>
      <c r="E797" s="396"/>
      <c r="F797" s="396"/>
      <c r="G797" s="280" t="str">
        <f>$J$1</f>
        <v>January</v>
      </c>
      <c r="H797" s="399">
        <f>$K$1</f>
        <v>2024</v>
      </c>
      <c r="I797" s="399"/>
      <c r="J797" s="277"/>
      <c r="K797" s="281"/>
      <c r="L797" s="282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9"/>
      <c r="B798" s="277"/>
      <c r="C798" s="277"/>
      <c r="D798" s="283"/>
      <c r="E798" s="283"/>
      <c r="F798" s="283"/>
      <c r="G798" s="283"/>
      <c r="H798" s="283"/>
      <c r="I798" s="277"/>
      <c r="J798" s="284" t="s">
        <v>1</v>
      </c>
      <c r="K798" s="285"/>
      <c r="L798" s="286"/>
      <c r="N798" s="35"/>
      <c r="O798" s="36" t="s">
        <v>43</v>
      </c>
      <c r="P798" s="36"/>
      <c r="Q798" s="36"/>
      <c r="R798" s="36">
        <v>15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9"/>
      <c r="B799" s="277" t="s">
        <v>0</v>
      </c>
      <c r="C799" s="276" t="s">
        <v>209</v>
      </c>
      <c r="D799" s="277"/>
      <c r="E799" s="277"/>
      <c r="F799" s="277"/>
      <c r="G799" s="277"/>
      <c r="H799" s="287"/>
      <c r="I799" s="283"/>
      <c r="J799" s="277"/>
      <c r="K799" s="277"/>
      <c r="L799" s="288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4">
        <f>Y798</f>
        <v>0</v>
      </c>
      <c r="V799" s="38"/>
      <c r="W799" s="64">
        <f>IF(U799="","",U799+V799)</f>
        <v>0</v>
      </c>
      <c r="X799" s="38"/>
      <c r="Y799" s="64">
        <f>IF(W799="","",W799-X799)</f>
        <v>0</v>
      </c>
      <c r="Z799" s="40"/>
      <c r="AA799" s="24"/>
    </row>
    <row r="800" spans="1:27" s="25" customFormat="1" ht="18" customHeight="1" x14ac:dyDescent="0.2">
      <c r="A800" s="279"/>
      <c r="B800" s="289" t="s">
        <v>39</v>
      </c>
      <c r="C800" s="290"/>
      <c r="D800" s="277"/>
      <c r="E800" s="277"/>
      <c r="F800" s="403" t="s">
        <v>41</v>
      </c>
      <c r="G800" s="403"/>
      <c r="H800" s="277"/>
      <c r="I800" s="403" t="s">
        <v>42</v>
      </c>
      <c r="J800" s="403"/>
      <c r="K800" s="403"/>
      <c r="L800" s="291"/>
      <c r="N800" s="35"/>
      <c r="O800" s="36" t="s">
        <v>44</v>
      </c>
      <c r="P800" s="36"/>
      <c r="Q800" s="36"/>
      <c r="R800" s="36" t="str">
        <f t="shared" ref="R800:R809" si="180">IF(Q800="","",R799-Q800)</f>
        <v/>
      </c>
      <c r="S800" s="27"/>
      <c r="T800" s="36" t="s">
        <v>44</v>
      </c>
      <c r="U800" s="64">
        <f>IF($J$1="April",Y799,Y799)</f>
        <v>0</v>
      </c>
      <c r="V800" s="38"/>
      <c r="W800" s="64">
        <f t="shared" ref="W800:W809" si="181">IF(U800="","",U800+V800)</f>
        <v>0</v>
      </c>
      <c r="X800" s="38"/>
      <c r="Y800" s="64">
        <f t="shared" ref="Y800:Y809" si="182">IF(W800="","",W800-X800)</f>
        <v>0</v>
      </c>
      <c r="Z800" s="40"/>
    </row>
    <row r="801" spans="1:27" s="25" customFormat="1" ht="18" customHeight="1" x14ac:dyDescent="0.2">
      <c r="A801" s="279"/>
      <c r="B801" s="277"/>
      <c r="C801" s="277"/>
      <c r="D801" s="277"/>
      <c r="E801" s="277"/>
      <c r="F801" s="277"/>
      <c r="G801" s="277"/>
      <c r="H801" s="292"/>
      <c r="I801" s="277"/>
      <c r="J801" s="277"/>
      <c r="K801" s="277"/>
      <c r="L801" s="293"/>
      <c r="N801" s="35"/>
      <c r="O801" s="36" t="s">
        <v>45</v>
      </c>
      <c r="P801" s="36"/>
      <c r="Q801" s="36"/>
      <c r="R801" s="36" t="str">
        <f t="shared" si="180"/>
        <v/>
      </c>
      <c r="S801" s="27"/>
      <c r="T801" s="36" t="s">
        <v>45</v>
      </c>
      <c r="U801" s="64">
        <f>IF($J$1="April",Y800,Y800)</f>
        <v>0</v>
      </c>
      <c r="V801" s="38"/>
      <c r="W801" s="64">
        <f t="shared" si="181"/>
        <v>0</v>
      </c>
      <c r="X801" s="38"/>
      <c r="Y801" s="64">
        <f t="shared" si="182"/>
        <v>0</v>
      </c>
      <c r="Z801" s="40"/>
    </row>
    <row r="802" spans="1:27" s="25" customFormat="1" ht="18" customHeight="1" x14ac:dyDescent="0.2">
      <c r="A802" s="279"/>
      <c r="B802" s="397" t="s">
        <v>40</v>
      </c>
      <c r="C802" s="398"/>
      <c r="D802" s="277"/>
      <c r="E802" s="277"/>
      <c r="F802" s="294" t="s">
        <v>62</v>
      </c>
      <c r="G802" s="295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92"/>
      <c r="I802" s="296"/>
      <c r="J802" s="297" t="s">
        <v>59</v>
      </c>
      <c r="K802" s="298">
        <f>K798/$K$2*I802</f>
        <v>0</v>
      </c>
      <c r="L802" s="299"/>
      <c r="N802" s="35"/>
      <c r="O802" s="36" t="s">
        <v>46</v>
      </c>
      <c r="P802" s="36"/>
      <c r="Q802" s="36"/>
      <c r="R802" s="36" t="str">
        <f t="shared" si="180"/>
        <v/>
      </c>
      <c r="S802" s="27"/>
      <c r="T802" s="36" t="s">
        <v>46</v>
      </c>
      <c r="U802" s="64">
        <f>IF($J$1="May",Y801,Y801)</f>
        <v>0</v>
      </c>
      <c r="V802" s="38"/>
      <c r="W802" s="64">
        <f t="shared" si="181"/>
        <v>0</v>
      </c>
      <c r="X802" s="38"/>
      <c r="Y802" s="64">
        <f t="shared" si="182"/>
        <v>0</v>
      </c>
      <c r="Z802" s="40"/>
    </row>
    <row r="803" spans="1:27" s="25" customFormat="1" ht="18" customHeight="1" x14ac:dyDescent="0.2">
      <c r="A803" s="279"/>
      <c r="B803" s="300"/>
      <c r="C803" s="300"/>
      <c r="D803" s="277"/>
      <c r="E803" s="277"/>
      <c r="F803" s="294" t="s">
        <v>18</v>
      </c>
      <c r="G803" s="295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92"/>
      <c r="I803" s="296"/>
      <c r="J803" s="297" t="s">
        <v>60</v>
      </c>
      <c r="K803" s="301">
        <f>K798/$K$2/8*I803</f>
        <v>0</v>
      </c>
      <c r="L803" s="302"/>
      <c r="N803" s="35"/>
      <c r="O803" s="36" t="s">
        <v>47</v>
      </c>
      <c r="P803" s="36"/>
      <c r="Q803" s="36"/>
      <c r="R803" s="36" t="str">
        <f t="shared" si="180"/>
        <v/>
      </c>
      <c r="S803" s="27"/>
      <c r="T803" s="36" t="s">
        <v>47</v>
      </c>
      <c r="U803" s="64">
        <f>IF($J$1="May",Y802,Y802)</f>
        <v>0</v>
      </c>
      <c r="V803" s="38"/>
      <c r="W803" s="64">
        <f t="shared" si="181"/>
        <v>0</v>
      </c>
      <c r="X803" s="38"/>
      <c r="Y803" s="64">
        <f t="shared" si="182"/>
        <v>0</v>
      </c>
      <c r="Z803" s="40"/>
    </row>
    <row r="804" spans="1:27" s="25" customFormat="1" ht="18" customHeight="1" x14ac:dyDescent="0.2">
      <c r="A804" s="279"/>
      <c r="B804" s="294" t="s">
        <v>7</v>
      </c>
      <c r="C804" s="300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7"/>
      <c r="E804" s="277"/>
      <c r="F804" s="294" t="s">
        <v>63</v>
      </c>
      <c r="G804" s="295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92"/>
      <c r="I804" s="388" t="s">
        <v>67</v>
      </c>
      <c r="J804" s="389"/>
      <c r="K804" s="301">
        <f>K802+K803</f>
        <v>0</v>
      </c>
      <c r="L804" s="302"/>
      <c r="N804" s="35"/>
      <c r="O804" s="36" t="s">
        <v>48</v>
      </c>
      <c r="P804" s="36"/>
      <c r="Q804" s="36"/>
      <c r="R804" s="36" t="str">
        <f t="shared" si="180"/>
        <v/>
      </c>
      <c r="S804" s="27"/>
      <c r="T804" s="36" t="s">
        <v>48</v>
      </c>
      <c r="U804" s="64" t="str">
        <f>IF($J$1="September",Y803,"")</f>
        <v/>
      </c>
      <c r="V804" s="38"/>
      <c r="W804" s="64" t="str">
        <f t="shared" si="181"/>
        <v/>
      </c>
      <c r="X804" s="38"/>
      <c r="Y804" s="64" t="str">
        <f t="shared" si="182"/>
        <v/>
      </c>
      <c r="Z804" s="40"/>
    </row>
    <row r="805" spans="1:27" s="25" customFormat="1" ht="18" customHeight="1" x14ac:dyDescent="0.2">
      <c r="A805" s="279"/>
      <c r="B805" s="294" t="s">
        <v>6</v>
      </c>
      <c r="C805" s="300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7"/>
      <c r="E805" s="277"/>
      <c r="F805" s="294" t="s">
        <v>19</v>
      </c>
      <c r="G805" s="295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92"/>
      <c r="I805" s="388" t="s">
        <v>68</v>
      </c>
      <c r="J805" s="389"/>
      <c r="K805" s="295">
        <f>G805</f>
        <v>0</v>
      </c>
      <c r="L805" s="303"/>
      <c r="N805" s="35"/>
      <c r="O805" s="36" t="s">
        <v>49</v>
      </c>
      <c r="P805" s="36"/>
      <c r="Q805" s="36"/>
      <c r="R805" s="36" t="str">
        <f t="shared" si="180"/>
        <v/>
      </c>
      <c r="S805" s="27"/>
      <c r="T805" s="36" t="s">
        <v>49</v>
      </c>
      <c r="U805" s="64" t="str">
        <f>IF($J$1="September",Y804,"")</f>
        <v/>
      </c>
      <c r="V805" s="38"/>
      <c r="W805" s="64" t="str">
        <f t="shared" si="181"/>
        <v/>
      </c>
      <c r="X805" s="38"/>
      <c r="Y805" s="64" t="str">
        <f t="shared" si="182"/>
        <v/>
      </c>
      <c r="Z805" s="40"/>
    </row>
    <row r="806" spans="1:27" s="25" customFormat="1" ht="18" customHeight="1" x14ac:dyDescent="0.2">
      <c r="A806" s="279"/>
      <c r="B806" s="312" t="s">
        <v>66</v>
      </c>
      <c r="C806" s="300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15</v>
      </c>
      <c r="D806" s="277"/>
      <c r="E806" s="277"/>
      <c r="F806" s="294" t="s">
        <v>65</v>
      </c>
      <c r="G806" s="295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7"/>
      <c r="I806" s="393" t="s">
        <v>61</v>
      </c>
      <c r="J806" s="395"/>
      <c r="K806" s="234">
        <f>K804-K805</f>
        <v>0</v>
      </c>
      <c r="L806" s="304"/>
      <c r="N806" s="35"/>
      <c r="O806" s="36" t="s">
        <v>54</v>
      </c>
      <c r="P806" s="36"/>
      <c r="Q806" s="36"/>
      <c r="R806" s="36" t="str">
        <f t="shared" si="180"/>
        <v/>
      </c>
      <c r="S806" s="27"/>
      <c r="T806" s="36" t="s">
        <v>54</v>
      </c>
      <c r="U806" s="64" t="str">
        <f>IF($J$1="Sept",Y805,"")</f>
        <v/>
      </c>
      <c r="V806" s="38"/>
      <c r="W806" s="64" t="str">
        <f t="shared" si="181"/>
        <v/>
      </c>
      <c r="X806" s="38"/>
      <c r="Y806" s="64" t="str">
        <f t="shared" si="182"/>
        <v/>
      </c>
      <c r="Z806" s="40"/>
    </row>
    <row r="807" spans="1:27" s="25" customFormat="1" ht="18" customHeight="1" x14ac:dyDescent="0.2">
      <c r="A807" s="279"/>
      <c r="B807" s="277"/>
      <c r="C807" s="277"/>
      <c r="D807" s="277"/>
      <c r="E807" s="277"/>
      <c r="F807" s="277"/>
      <c r="G807" s="277"/>
      <c r="H807" s="277"/>
      <c r="I807" s="277"/>
      <c r="J807" s="277"/>
      <c r="K807" s="277"/>
      <c r="L807" s="291"/>
      <c r="N807" s="35"/>
      <c r="O807" s="36" t="s">
        <v>50</v>
      </c>
      <c r="P807" s="36"/>
      <c r="Q807" s="36"/>
      <c r="R807" s="36" t="str">
        <f t="shared" si="180"/>
        <v/>
      </c>
      <c r="S807" s="27"/>
      <c r="T807" s="36" t="s">
        <v>50</v>
      </c>
      <c r="U807" s="64" t="str">
        <f>IF($J$1="October",Y806,"")</f>
        <v/>
      </c>
      <c r="V807" s="38"/>
      <c r="W807" s="64" t="str">
        <f t="shared" si="181"/>
        <v/>
      </c>
      <c r="X807" s="38"/>
      <c r="Y807" s="64" t="str">
        <f t="shared" si="182"/>
        <v/>
      </c>
      <c r="Z807" s="40"/>
    </row>
    <row r="808" spans="1:27" s="25" customFormat="1" ht="18" customHeight="1" x14ac:dyDescent="0.2">
      <c r="A808" s="279"/>
      <c r="B808" s="404" t="s">
        <v>82</v>
      </c>
      <c r="C808" s="404"/>
      <c r="D808" s="404"/>
      <c r="E808" s="404"/>
      <c r="F808" s="404"/>
      <c r="G808" s="404"/>
      <c r="H808" s="404"/>
      <c r="I808" s="404"/>
      <c r="J808" s="404"/>
      <c r="K808" s="404"/>
      <c r="L808" s="291"/>
      <c r="N808" s="35"/>
      <c r="O808" s="36" t="s">
        <v>55</v>
      </c>
      <c r="P808" s="36"/>
      <c r="Q808" s="36"/>
      <c r="R808" s="36" t="str">
        <f t="shared" si="180"/>
        <v/>
      </c>
      <c r="S808" s="27"/>
      <c r="T808" s="36" t="s">
        <v>55</v>
      </c>
      <c r="U808" s="64" t="str">
        <f>IF($J$1="November",Y807,"")</f>
        <v/>
      </c>
      <c r="V808" s="38"/>
      <c r="W808" s="64" t="str">
        <f t="shared" si="181"/>
        <v/>
      </c>
      <c r="X808" s="38"/>
      <c r="Y808" s="64" t="str">
        <f t="shared" si="182"/>
        <v/>
      </c>
      <c r="Z808" s="40"/>
    </row>
    <row r="809" spans="1:27" s="25" customFormat="1" ht="18" customHeight="1" x14ac:dyDescent="0.2">
      <c r="A809" s="279"/>
      <c r="B809" s="404"/>
      <c r="C809" s="404"/>
      <c r="D809" s="404"/>
      <c r="E809" s="404"/>
      <c r="F809" s="404"/>
      <c r="G809" s="404"/>
      <c r="H809" s="404"/>
      <c r="I809" s="404"/>
      <c r="J809" s="404"/>
      <c r="K809" s="404"/>
      <c r="L809" s="291"/>
      <c r="N809" s="35"/>
      <c r="O809" s="36" t="s">
        <v>56</v>
      </c>
      <c r="P809" s="36"/>
      <c r="Q809" s="36"/>
      <c r="R809" s="36" t="str">
        <f t="shared" si="180"/>
        <v/>
      </c>
      <c r="S809" s="27"/>
      <c r="T809" s="36" t="s">
        <v>56</v>
      </c>
      <c r="U809" s="64" t="str">
        <f>IF($J$1="Dec",Y808,"")</f>
        <v/>
      </c>
      <c r="V809" s="38"/>
      <c r="W809" s="64" t="str">
        <f t="shared" si="181"/>
        <v/>
      </c>
      <c r="X809" s="38"/>
      <c r="Y809" s="64" t="str">
        <f t="shared" si="182"/>
        <v/>
      </c>
      <c r="Z809" s="40"/>
    </row>
    <row r="810" spans="1:27" s="25" customFormat="1" ht="18" customHeight="1" thickBot="1" x14ac:dyDescent="0.25">
      <c r="A810" s="305"/>
      <c r="B810" s="313"/>
      <c r="C810" s="313"/>
      <c r="D810" s="313"/>
      <c r="E810" s="313"/>
      <c r="F810" s="313"/>
      <c r="G810" s="313"/>
      <c r="H810" s="313"/>
      <c r="I810" s="313"/>
      <c r="J810" s="313"/>
      <c r="K810" s="313"/>
      <c r="L810" s="307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7"/>
      <c r="B811" s="277"/>
      <c r="C811" s="277"/>
      <c r="D811" s="277"/>
      <c r="E811" s="277"/>
      <c r="F811" s="277"/>
      <c r="G811" s="277"/>
      <c r="H811" s="277"/>
      <c r="I811" s="277"/>
      <c r="J811" s="277"/>
      <c r="K811" s="277"/>
      <c r="L811" s="27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1" t="s">
        <v>38</v>
      </c>
      <c r="B812" s="412"/>
      <c r="C812" s="412"/>
      <c r="D812" s="412"/>
      <c r="E812" s="412"/>
      <c r="F812" s="412"/>
      <c r="G812" s="412"/>
      <c r="H812" s="412"/>
      <c r="I812" s="412"/>
      <c r="J812" s="412"/>
      <c r="K812" s="412"/>
      <c r="L812" s="413"/>
      <c r="M812" s="24"/>
      <c r="N812" s="28"/>
      <c r="O812" s="385" t="s">
        <v>40</v>
      </c>
      <c r="P812" s="386"/>
      <c r="Q812" s="386"/>
      <c r="R812" s="387"/>
      <c r="S812" s="29"/>
      <c r="T812" s="385" t="s">
        <v>41</v>
      </c>
      <c r="U812" s="386"/>
      <c r="V812" s="386"/>
      <c r="W812" s="386"/>
      <c r="X812" s="386"/>
      <c r="Y812" s="387"/>
      <c r="Z812" s="30"/>
      <c r="AA812" s="24"/>
    </row>
    <row r="813" spans="1:27" s="25" customFormat="1" ht="18" customHeight="1" x14ac:dyDescent="0.2">
      <c r="A813" s="279"/>
      <c r="B813" s="277"/>
      <c r="C813" s="396" t="s">
        <v>212</v>
      </c>
      <c r="D813" s="396"/>
      <c r="E813" s="396"/>
      <c r="F813" s="396"/>
      <c r="G813" s="280" t="str">
        <f>$J$1</f>
        <v>January</v>
      </c>
      <c r="H813" s="399">
        <f>$K$1</f>
        <v>2024</v>
      </c>
      <c r="I813" s="399"/>
      <c r="J813" s="277"/>
      <c r="K813" s="281"/>
      <c r="L813" s="282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9"/>
      <c r="B814" s="277"/>
      <c r="C814" s="277"/>
      <c r="D814" s="283"/>
      <c r="E814" s="283"/>
      <c r="F814" s="283"/>
      <c r="G814" s="283"/>
      <c r="H814" s="283"/>
      <c r="I814" s="277"/>
      <c r="J814" s="284" t="s">
        <v>1</v>
      </c>
      <c r="K814" s="285"/>
      <c r="L814" s="286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9"/>
      <c r="B815" s="277" t="s">
        <v>0</v>
      </c>
      <c r="C815" s="276" t="s">
        <v>208</v>
      </c>
      <c r="D815" s="277"/>
      <c r="E815" s="277"/>
      <c r="F815" s="277"/>
      <c r="G815" s="277"/>
      <c r="H815" s="287"/>
      <c r="I815" s="283"/>
      <c r="J815" s="277"/>
      <c r="K815" s="277"/>
      <c r="L815" s="288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4" t="str">
        <f>IF($J$1="January","",Y814)</f>
        <v/>
      </c>
      <c r="V815" s="38"/>
      <c r="W815" s="64" t="str">
        <f>IF(U815="","",U815+V815)</f>
        <v/>
      </c>
      <c r="X815" s="38"/>
      <c r="Y815" s="64" t="str">
        <f>IF(W815="","",W815-X815)</f>
        <v/>
      </c>
      <c r="Z815" s="40"/>
      <c r="AA815" s="24"/>
    </row>
    <row r="816" spans="1:27" s="25" customFormat="1" ht="18" customHeight="1" x14ac:dyDescent="0.2">
      <c r="A816" s="279"/>
      <c r="B816" s="289" t="s">
        <v>39</v>
      </c>
      <c r="C816" s="290"/>
      <c r="D816" s="277"/>
      <c r="E816" s="277"/>
      <c r="F816" s="403" t="s">
        <v>41</v>
      </c>
      <c r="G816" s="403"/>
      <c r="H816" s="277"/>
      <c r="I816" s="403" t="s">
        <v>42</v>
      </c>
      <c r="J816" s="403"/>
      <c r="K816" s="403"/>
      <c r="L816" s="291"/>
      <c r="N816" s="35"/>
      <c r="O816" s="36" t="s">
        <v>44</v>
      </c>
      <c r="P816" s="36">
        <v>31</v>
      </c>
      <c r="Q816" s="36">
        <v>0</v>
      </c>
      <c r="R816" s="36">
        <f t="shared" ref="R816" si="183">IF(Q816="","",R815-Q816)</f>
        <v>12</v>
      </c>
      <c r="S816" s="27"/>
      <c r="T816" s="36" t="s">
        <v>44</v>
      </c>
      <c r="U816" s="64" t="str">
        <f>IF($J$1="February","",Y815)</f>
        <v/>
      </c>
      <c r="V816" s="38"/>
      <c r="W816" s="64" t="str">
        <f t="shared" ref="W816:W825" si="184">IF(U816="","",U816+V816)</f>
        <v/>
      </c>
      <c r="X816" s="38"/>
      <c r="Y816" s="64" t="str">
        <f t="shared" ref="Y816:Y825" si="185">IF(W816="","",W816-X816)</f>
        <v/>
      </c>
      <c r="Z816" s="40"/>
    </row>
    <row r="817" spans="1:27" s="25" customFormat="1" ht="18" customHeight="1" x14ac:dyDescent="0.2">
      <c r="A817" s="279"/>
      <c r="B817" s="277"/>
      <c r="C817" s="277"/>
      <c r="D817" s="277"/>
      <c r="E817" s="277"/>
      <c r="F817" s="277"/>
      <c r="G817" s="277"/>
      <c r="H817" s="292"/>
      <c r="I817" s="277"/>
      <c r="J817" s="277"/>
      <c r="K817" s="277"/>
      <c r="L817" s="293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4" t="str">
        <f>IF($J$1="March","",Y816)</f>
        <v/>
      </c>
      <c r="V817" s="38"/>
      <c r="W817" s="64" t="str">
        <f t="shared" si="184"/>
        <v/>
      </c>
      <c r="X817" s="38"/>
      <c r="Y817" s="64" t="str">
        <f t="shared" si="185"/>
        <v/>
      </c>
      <c r="Z817" s="40"/>
    </row>
    <row r="818" spans="1:27" s="25" customFormat="1" ht="18" customHeight="1" x14ac:dyDescent="0.2">
      <c r="A818" s="279"/>
      <c r="B818" s="397" t="s">
        <v>40</v>
      </c>
      <c r="C818" s="398"/>
      <c r="D818" s="277"/>
      <c r="E818" s="277"/>
      <c r="F818" s="294" t="s">
        <v>62</v>
      </c>
      <c r="G818" s="295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92"/>
      <c r="I818" s="296">
        <f>IF(C822&gt;0,$K$2,C820)</f>
        <v>31</v>
      </c>
      <c r="J818" s="297" t="s">
        <v>59</v>
      </c>
      <c r="K818" s="298">
        <f>K814/$K$2*I818</f>
        <v>0</v>
      </c>
      <c r="L818" s="299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4" t="str">
        <f>IF($J$1="April","",Y817)</f>
        <v/>
      </c>
      <c r="V818" s="38"/>
      <c r="W818" s="64" t="str">
        <f t="shared" si="184"/>
        <v/>
      </c>
      <c r="X818" s="38"/>
      <c r="Y818" s="64" t="str">
        <f t="shared" si="185"/>
        <v/>
      </c>
      <c r="Z818" s="40"/>
    </row>
    <row r="819" spans="1:27" s="25" customFormat="1" ht="18" customHeight="1" x14ac:dyDescent="0.2">
      <c r="A819" s="279"/>
      <c r="B819" s="300"/>
      <c r="C819" s="300"/>
      <c r="D819" s="277"/>
      <c r="E819" s="277"/>
      <c r="F819" s="294" t="s">
        <v>18</v>
      </c>
      <c r="G819" s="295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92"/>
      <c r="I819" s="314"/>
      <c r="J819" s="297" t="s">
        <v>60</v>
      </c>
      <c r="K819" s="301">
        <f>K814/$K$2/8*I819</f>
        <v>0</v>
      </c>
      <c r="L819" s="302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4" t="str">
        <f>IF($J$1="May","",Y818)</f>
        <v/>
      </c>
      <c r="V819" s="38"/>
      <c r="W819" s="64" t="str">
        <f t="shared" si="184"/>
        <v/>
      </c>
      <c r="X819" s="38"/>
      <c r="Y819" s="64" t="str">
        <f t="shared" si="185"/>
        <v/>
      </c>
      <c r="Z819" s="40"/>
    </row>
    <row r="820" spans="1:27" s="25" customFormat="1" ht="18" customHeight="1" x14ac:dyDescent="0.2">
      <c r="A820" s="279"/>
      <c r="B820" s="294" t="s">
        <v>7</v>
      </c>
      <c r="C820" s="300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29</v>
      </c>
      <c r="D820" s="277"/>
      <c r="E820" s="277"/>
      <c r="F820" s="294" t="s">
        <v>63</v>
      </c>
      <c r="G820" s="295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92"/>
      <c r="I820" s="388" t="s">
        <v>67</v>
      </c>
      <c r="J820" s="389"/>
      <c r="K820" s="301">
        <f>K818+K819</f>
        <v>0</v>
      </c>
      <c r="L820" s="302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4" t="str">
        <f>IF($J$1="June","",Y819)</f>
        <v/>
      </c>
      <c r="V820" s="38"/>
      <c r="W820" s="64" t="str">
        <f t="shared" si="184"/>
        <v/>
      </c>
      <c r="X820" s="38"/>
      <c r="Y820" s="64" t="str">
        <f t="shared" si="185"/>
        <v/>
      </c>
      <c r="Z820" s="40"/>
    </row>
    <row r="821" spans="1:27" s="25" customFormat="1" ht="18" customHeight="1" x14ac:dyDescent="0.2">
      <c r="A821" s="279"/>
      <c r="B821" s="294" t="s">
        <v>6</v>
      </c>
      <c r="C821" s="300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7"/>
      <c r="E821" s="277"/>
      <c r="F821" s="294" t="s">
        <v>19</v>
      </c>
      <c r="G821" s="295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92"/>
      <c r="I821" s="388" t="s">
        <v>68</v>
      </c>
      <c r="J821" s="389"/>
      <c r="K821" s="295">
        <f>G821</f>
        <v>0</v>
      </c>
      <c r="L821" s="303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4" t="str">
        <f>IF($J$1="July","",Y820)</f>
        <v/>
      </c>
      <c r="V821" s="38"/>
      <c r="W821" s="64" t="str">
        <f t="shared" si="184"/>
        <v/>
      </c>
      <c r="X821" s="38"/>
      <c r="Y821" s="64" t="str">
        <f t="shared" si="185"/>
        <v/>
      </c>
      <c r="Z821" s="40"/>
    </row>
    <row r="822" spans="1:27" s="25" customFormat="1" ht="18" customHeight="1" x14ac:dyDescent="0.2">
      <c r="A822" s="279"/>
      <c r="B822" s="312" t="s">
        <v>66</v>
      </c>
      <c r="C822" s="300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13</v>
      </c>
      <c r="D822" s="277"/>
      <c r="E822" s="277"/>
      <c r="F822" s="294" t="s">
        <v>65</v>
      </c>
      <c r="G822" s="295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7"/>
      <c r="I822" s="393" t="s">
        <v>61</v>
      </c>
      <c r="J822" s="395"/>
      <c r="K822" s="234"/>
      <c r="L822" s="304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4" t="str">
        <f>IF($J$1="August","",Y821)</f>
        <v/>
      </c>
      <c r="V822" s="38"/>
      <c r="W822" s="64" t="str">
        <f t="shared" si="184"/>
        <v/>
      </c>
      <c r="X822" s="38"/>
      <c r="Y822" s="64" t="str">
        <f t="shared" si="185"/>
        <v/>
      </c>
      <c r="Z822" s="40"/>
    </row>
    <row r="823" spans="1:27" s="25" customFormat="1" ht="18" customHeight="1" x14ac:dyDescent="0.2">
      <c r="A823" s="279"/>
      <c r="B823" s="277"/>
      <c r="C823" s="277"/>
      <c r="D823" s="277"/>
      <c r="E823" s="277"/>
      <c r="F823" s="277"/>
      <c r="G823" s="277"/>
      <c r="H823" s="277"/>
      <c r="I823" s="277"/>
      <c r="J823" s="311"/>
      <c r="K823" s="311"/>
      <c r="L823" s="291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4" t="str">
        <f>IF($J$1="September","",Y822)</f>
        <v/>
      </c>
      <c r="V823" s="38"/>
      <c r="W823" s="64" t="str">
        <f t="shared" si="184"/>
        <v/>
      </c>
      <c r="X823" s="38"/>
      <c r="Y823" s="64" t="str">
        <f t="shared" si="185"/>
        <v/>
      </c>
      <c r="Z823" s="40"/>
    </row>
    <row r="824" spans="1:27" s="25" customFormat="1" ht="18" customHeight="1" x14ac:dyDescent="0.2">
      <c r="A824" s="279"/>
      <c r="B824" s="404" t="s">
        <v>82</v>
      </c>
      <c r="C824" s="404"/>
      <c r="D824" s="404"/>
      <c r="E824" s="404"/>
      <c r="F824" s="404"/>
      <c r="G824" s="404"/>
      <c r="H824" s="404"/>
      <c r="I824" s="404"/>
      <c r="J824" s="404"/>
      <c r="K824" s="404"/>
      <c r="L824" s="291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4" t="str">
        <f>IF($J$1="October","",Y823)</f>
        <v/>
      </c>
      <c r="V824" s="38"/>
      <c r="W824" s="64" t="str">
        <f t="shared" si="184"/>
        <v/>
      </c>
      <c r="X824" s="38"/>
      <c r="Y824" s="64" t="str">
        <f t="shared" si="185"/>
        <v/>
      </c>
      <c r="Z824" s="40"/>
    </row>
    <row r="825" spans="1:27" s="25" customFormat="1" ht="18" customHeight="1" x14ac:dyDescent="0.2">
      <c r="A825" s="279"/>
      <c r="B825" s="404"/>
      <c r="C825" s="404"/>
      <c r="D825" s="404"/>
      <c r="E825" s="404"/>
      <c r="F825" s="404"/>
      <c r="G825" s="404"/>
      <c r="H825" s="404"/>
      <c r="I825" s="404"/>
      <c r="J825" s="404"/>
      <c r="K825" s="404"/>
      <c r="L825" s="291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4" t="str">
        <f>IF($J$1="November","",Y824)</f>
        <v/>
      </c>
      <c r="V825" s="38"/>
      <c r="W825" s="64" t="str">
        <f t="shared" si="184"/>
        <v/>
      </c>
      <c r="X825" s="38"/>
      <c r="Y825" s="64" t="str">
        <f t="shared" si="185"/>
        <v/>
      </c>
      <c r="Z825" s="40"/>
    </row>
    <row r="826" spans="1:27" s="25" customFormat="1" ht="18" customHeight="1" thickBot="1" x14ac:dyDescent="0.25">
      <c r="A826" s="305"/>
      <c r="B826" s="313"/>
      <c r="C826" s="313"/>
      <c r="D826" s="313"/>
      <c r="E826" s="313"/>
      <c r="F826" s="313"/>
      <c r="G826" s="313"/>
      <c r="H826" s="313"/>
      <c r="I826" s="313"/>
      <c r="J826" s="313"/>
      <c r="K826" s="313"/>
      <c r="L826" s="307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7"/>
      <c r="B827" s="277"/>
      <c r="C827" s="277"/>
      <c r="D827" s="277"/>
      <c r="E827" s="277"/>
      <c r="F827" s="277"/>
      <c r="G827" s="277"/>
      <c r="H827" s="277"/>
      <c r="I827" s="277"/>
      <c r="J827" s="277"/>
      <c r="K827" s="277"/>
      <c r="L827" s="27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14" t="s">
        <v>38</v>
      </c>
      <c r="B828" s="415"/>
      <c r="C828" s="415"/>
      <c r="D828" s="415"/>
      <c r="E828" s="415"/>
      <c r="F828" s="415"/>
      <c r="G828" s="415"/>
      <c r="H828" s="415"/>
      <c r="I828" s="415"/>
      <c r="J828" s="415"/>
      <c r="K828" s="415"/>
      <c r="L828" s="416"/>
      <c r="M828" s="24"/>
      <c r="N828" s="28"/>
      <c r="O828" s="385" t="s">
        <v>40</v>
      </c>
      <c r="P828" s="386"/>
      <c r="Q828" s="386"/>
      <c r="R828" s="387"/>
      <c r="S828" s="29"/>
      <c r="T828" s="385" t="s">
        <v>41</v>
      </c>
      <c r="U828" s="386"/>
      <c r="V828" s="386"/>
      <c r="W828" s="386"/>
      <c r="X828" s="386"/>
      <c r="Y828" s="387"/>
      <c r="Z828" s="30"/>
      <c r="AA828" s="24"/>
    </row>
    <row r="829" spans="1:27" s="25" customFormat="1" ht="18" customHeight="1" x14ac:dyDescent="0.2">
      <c r="A829" s="279"/>
      <c r="B829" s="277"/>
      <c r="C829" s="396" t="s">
        <v>212</v>
      </c>
      <c r="D829" s="396"/>
      <c r="E829" s="396"/>
      <c r="F829" s="396"/>
      <c r="G829" s="280" t="str">
        <f>$J$1</f>
        <v>January</v>
      </c>
      <c r="H829" s="399">
        <f>$K$1</f>
        <v>2024</v>
      </c>
      <c r="I829" s="399"/>
      <c r="J829" s="277"/>
      <c r="K829" s="281"/>
      <c r="L829" s="282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9"/>
      <c r="B830" s="277"/>
      <c r="C830" s="277"/>
      <c r="D830" s="283"/>
      <c r="E830" s="283"/>
      <c r="F830" s="283"/>
      <c r="G830" s="283"/>
      <c r="H830" s="283"/>
      <c r="I830" s="277"/>
      <c r="J830" s="284" t="s">
        <v>1</v>
      </c>
      <c r="K830" s="285"/>
      <c r="L830" s="286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9"/>
      <c r="B831" s="277" t="s">
        <v>0</v>
      </c>
      <c r="C831" s="276" t="s">
        <v>207</v>
      </c>
      <c r="D831" s="277"/>
      <c r="E831" s="277"/>
      <c r="F831" s="277"/>
      <c r="G831" s="277"/>
      <c r="H831" s="287"/>
      <c r="I831" s="283"/>
      <c r="J831" s="277"/>
      <c r="K831" s="277"/>
      <c r="L831" s="288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4">
        <f>Y830</f>
        <v>0</v>
      </c>
      <c r="V831" s="38"/>
      <c r="W831" s="64">
        <f>IF(U831="","",U831+V831)</f>
        <v>0</v>
      </c>
      <c r="X831" s="38"/>
      <c r="Y831" s="64">
        <f>IF(W831="","",W831-X831)</f>
        <v>0</v>
      </c>
      <c r="Z831" s="40"/>
      <c r="AA831" s="24"/>
    </row>
    <row r="832" spans="1:27" s="25" customFormat="1" ht="18" customHeight="1" x14ac:dyDescent="0.2">
      <c r="A832" s="279"/>
      <c r="B832" s="289" t="s">
        <v>39</v>
      </c>
      <c r="C832" s="315"/>
      <c r="D832" s="277"/>
      <c r="E832" s="277"/>
      <c r="F832" s="403" t="s">
        <v>41</v>
      </c>
      <c r="G832" s="403"/>
      <c r="H832" s="277"/>
      <c r="I832" s="403" t="s">
        <v>42</v>
      </c>
      <c r="J832" s="403"/>
      <c r="K832" s="403"/>
      <c r="L832" s="291"/>
      <c r="N832" s="35"/>
      <c r="O832" s="36" t="s">
        <v>44</v>
      </c>
      <c r="P832" s="36"/>
      <c r="Q832" s="36"/>
      <c r="R832" s="36" t="str">
        <f t="shared" ref="R832:R841" si="186">IF(Q832="","",R831-Q832)</f>
        <v/>
      </c>
      <c r="S832" s="27"/>
      <c r="T832" s="36" t="s">
        <v>44</v>
      </c>
      <c r="U832" s="64">
        <f>IF($J$1="April",Y831,Y831)</f>
        <v>0</v>
      </c>
      <c r="V832" s="38"/>
      <c r="W832" s="64">
        <f t="shared" ref="W832:W841" si="187">IF(U832="","",U832+V832)</f>
        <v>0</v>
      </c>
      <c r="X832" s="38"/>
      <c r="Y832" s="64">
        <f t="shared" ref="Y832:Y841" si="188">IF(W832="","",W832-X832)</f>
        <v>0</v>
      </c>
      <c r="Z832" s="40"/>
    </row>
    <row r="833" spans="1:26" s="25" customFormat="1" ht="18" customHeight="1" x14ac:dyDescent="0.2">
      <c r="A833" s="279"/>
      <c r="B833" s="277"/>
      <c r="C833" s="277"/>
      <c r="D833" s="277"/>
      <c r="E833" s="277"/>
      <c r="F833" s="277"/>
      <c r="G833" s="277"/>
      <c r="H833" s="292"/>
      <c r="I833" s="277"/>
      <c r="J833" s="277"/>
      <c r="K833" s="277"/>
      <c r="L833" s="293"/>
      <c r="N833" s="35"/>
      <c r="O833" s="36" t="s">
        <v>45</v>
      </c>
      <c r="P833" s="36"/>
      <c r="Q833" s="36"/>
      <c r="R833" s="36" t="str">
        <f t="shared" si="186"/>
        <v/>
      </c>
      <c r="S833" s="27"/>
      <c r="T833" s="36" t="s">
        <v>45</v>
      </c>
      <c r="U833" s="64">
        <f>IF($J$1="April",Y832,Y832)</f>
        <v>0</v>
      </c>
      <c r="V833" s="38"/>
      <c r="W833" s="64">
        <f t="shared" si="187"/>
        <v>0</v>
      </c>
      <c r="X833" s="38"/>
      <c r="Y833" s="64">
        <f t="shared" si="188"/>
        <v>0</v>
      </c>
      <c r="Z833" s="40"/>
    </row>
    <row r="834" spans="1:26" s="25" customFormat="1" ht="18" customHeight="1" x14ac:dyDescent="0.2">
      <c r="A834" s="279"/>
      <c r="B834" s="397" t="s">
        <v>40</v>
      </c>
      <c r="C834" s="398"/>
      <c r="D834" s="277"/>
      <c r="E834" s="277"/>
      <c r="F834" s="294" t="s">
        <v>62</v>
      </c>
      <c r="G834" s="295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92"/>
      <c r="I834" s="296"/>
      <c r="J834" s="297" t="s">
        <v>59</v>
      </c>
      <c r="K834" s="298">
        <f>K830/$K$2*I834</f>
        <v>0</v>
      </c>
      <c r="L834" s="299"/>
      <c r="N834" s="35"/>
      <c r="O834" s="36" t="s">
        <v>46</v>
      </c>
      <c r="P834" s="36"/>
      <c r="Q834" s="36"/>
      <c r="R834" s="36" t="str">
        <f t="shared" si="186"/>
        <v/>
      </c>
      <c r="S834" s="27"/>
      <c r="T834" s="36" t="s">
        <v>46</v>
      </c>
      <c r="U834" s="64">
        <f>IF($J$1="May",Y833,Y833)</f>
        <v>0</v>
      </c>
      <c r="V834" s="38"/>
      <c r="W834" s="64">
        <f t="shared" si="187"/>
        <v>0</v>
      </c>
      <c r="X834" s="38"/>
      <c r="Y834" s="64">
        <f t="shared" si="188"/>
        <v>0</v>
      </c>
      <c r="Z834" s="40"/>
    </row>
    <row r="835" spans="1:26" s="25" customFormat="1" ht="18" customHeight="1" x14ac:dyDescent="0.2">
      <c r="A835" s="279"/>
      <c r="B835" s="300"/>
      <c r="C835" s="300"/>
      <c r="D835" s="277"/>
      <c r="E835" s="277"/>
      <c r="F835" s="294" t="s">
        <v>18</v>
      </c>
      <c r="G835" s="295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92"/>
      <c r="I835" s="296"/>
      <c r="J835" s="297" t="s">
        <v>60</v>
      </c>
      <c r="K835" s="301"/>
      <c r="L835" s="302"/>
      <c r="N835" s="35"/>
      <c r="O835" s="36" t="s">
        <v>47</v>
      </c>
      <c r="P835" s="36"/>
      <c r="Q835" s="36"/>
      <c r="R835" s="36" t="str">
        <f t="shared" si="186"/>
        <v/>
      </c>
      <c r="S835" s="27"/>
      <c r="T835" s="36" t="s">
        <v>47</v>
      </c>
      <c r="U835" s="64">
        <f>IF($J$1="May",Y834,Y834)</f>
        <v>0</v>
      </c>
      <c r="V835" s="38"/>
      <c r="W835" s="64">
        <f t="shared" si="187"/>
        <v>0</v>
      </c>
      <c r="X835" s="38"/>
      <c r="Y835" s="64">
        <f t="shared" si="188"/>
        <v>0</v>
      </c>
      <c r="Z835" s="40"/>
    </row>
    <row r="836" spans="1:26" s="25" customFormat="1" ht="18" customHeight="1" x14ac:dyDescent="0.2">
      <c r="A836" s="279"/>
      <c r="B836" s="294" t="s">
        <v>7</v>
      </c>
      <c r="C836" s="300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7"/>
      <c r="E836" s="277"/>
      <c r="F836" s="294" t="s">
        <v>63</v>
      </c>
      <c r="G836" s="295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92"/>
      <c r="I836" s="388" t="s">
        <v>67</v>
      </c>
      <c r="J836" s="389"/>
      <c r="K836" s="301">
        <f>K834+K835</f>
        <v>0</v>
      </c>
      <c r="L836" s="302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4">
        <f>IF($J$1="May",Y835,Y835)</f>
        <v>0</v>
      </c>
      <c r="V836" s="38"/>
      <c r="W836" s="64">
        <f t="shared" si="187"/>
        <v>0</v>
      </c>
      <c r="X836" s="38"/>
      <c r="Y836" s="64">
        <f t="shared" si="188"/>
        <v>0</v>
      </c>
      <c r="Z836" s="40"/>
    </row>
    <row r="837" spans="1:26" s="25" customFormat="1" ht="18" customHeight="1" x14ac:dyDescent="0.2">
      <c r="A837" s="279"/>
      <c r="B837" s="294" t="s">
        <v>6</v>
      </c>
      <c r="C837" s="300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7"/>
      <c r="E837" s="277"/>
      <c r="F837" s="294" t="s">
        <v>19</v>
      </c>
      <c r="G837" s="295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92"/>
      <c r="I837" s="388" t="s">
        <v>68</v>
      </c>
      <c r="J837" s="389"/>
      <c r="K837" s="295">
        <f>G837</f>
        <v>0</v>
      </c>
      <c r="L837" s="303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4" t="str">
        <f>IF($J$1="September",Y836,"")</f>
        <v/>
      </c>
      <c r="V837" s="38"/>
      <c r="W837" s="64" t="str">
        <f t="shared" si="187"/>
        <v/>
      </c>
      <c r="X837" s="38"/>
      <c r="Y837" s="64" t="str">
        <f t="shared" si="188"/>
        <v/>
      </c>
      <c r="Z837" s="40"/>
    </row>
    <row r="838" spans="1:26" s="25" customFormat="1" ht="18" customHeight="1" x14ac:dyDescent="0.2">
      <c r="A838" s="279"/>
      <c r="B838" s="312" t="s">
        <v>66</v>
      </c>
      <c r="C838" s="300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15</v>
      </c>
      <c r="D838" s="277"/>
      <c r="E838" s="277"/>
      <c r="F838" s="294" t="s">
        <v>65</v>
      </c>
      <c r="G838" s="295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7"/>
      <c r="I838" s="393" t="s">
        <v>61</v>
      </c>
      <c r="J838" s="395"/>
      <c r="K838" s="234">
        <f>K836-K837</f>
        <v>0</v>
      </c>
      <c r="L838" s="304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4" t="str">
        <f>IF($J$1="September",Y837,"")</f>
        <v/>
      </c>
      <c r="V838" s="38"/>
      <c r="W838" s="64" t="str">
        <f t="shared" si="187"/>
        <v/>
      </c>
      <c r="X838" s="38"/>
      <c r="Y838" s="64" t="str">
        <f t="shared" si="188"/>
        <v/>
      </c>
      <c r="Z838" s="40"/>
    </row>
    <row r="839" spans="1:26" s="25" customFormat="1" ht="18" customHeight="1" x14ac:dyDescent="0.2">
      <c r="A839" s="279"/>
      <c r="B839" s="277"/>
      <c r="C839" s="277"/>
      <c r="D839" s="277"/>
      <c r="E839" s="277"/>
      <c r="F839" s="277"/>
      <c r="G839" s="277"/>
      <c r="H839" s="277"/>
      <c r="I839" s="277"/>
      <c r="J839" s="277"/>
      <c r="K839" s="277"/>
      <c r="L839" s="291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4" t="str">
        <f>IF($J$1="October",Y838,"")</f>
        <v/>
      </c>
      <c r="V839" s="38"/>
      <c r="W839" s="64" t="str">
        <f t="shared" si="187"/>
        <v/>
      </c>
      <c r="X839" s="38"/>
      <c r="Y839" s="64" t="str">
        <f t="shared" si="188"/>
        <v/>
      </c>
      <c r="Z839" s="40"/>
    </row>
    <row r="840" spans="1:26" s="25" customFormat="1" ht="18" customHeight="1" x14ac:dyDescent="0.2">
      <c r="A840" s="279"/>
      <c r="B840" s="404" t="s">
        <v>82</v>
      </c>
      <c r="C840" s="404"/>
      <c r="D840" s="404"/>
      <c r="E840" s="404"/>
      <c r="F840" s="404"/>
      <c r="G840" s="404"/>
      <c r="H840" s="404"/>
      <c r="I840" s="404"/>
      <c r="J840" s="404"/>
      <c r="K840" s="404"/>
      <c r="L840" s="291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4" t="str">
        <f>IF($J$1="November",Y839,"")</f>
        <v/>
      </c>
      <c r="V840" s="38"/>
      <c r="W840" s="64" t="str">
        <f t="shared" si="187"/>
        <v/>
      </c>
      <c r="X840" s="38"/>
      <c r="Y840" s="64" t="str">
        <f t="shared" si="188"/>
        <v/>
      </c>
      <c r="Z840" s="40"/>
    </row>
    <row r="841" spans="1:26" s="25" customFormat="1" ht="18" customHeight="1" x14ac:dyDescent="0.2">
      <c r="A841" s="279"/>
      <c r="B841" s="404"/>
      <c r="C841" s="404"/>
      <c r="D841" s="404"/>
      <c r="E841" s="404"/>
      <c r="F841" s="404"/>
      <c r="G841" s="404"/>
      <c r="H841" s="404"/>
      <c r="I841" s="404"/>
      <c r="J841" s="404"/>
      <c r="K841" s="404"/>
      <c r="L841" s="291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4" t="str">
        <f>IF($J$1="Dec",Y840,"")</f>
        <v/>
      </c>
      <c r="V841" s="38"/>
      <c r="W841" s="64" t="str">
        <f t="shared" si="187"/>
        <v/>
      </c>
      <c r="X841" s="38"/>
      <c r="Y841" s="64" t="str">
        <f t="shared" si="188"/>
        <v/>
      </c>
      <c r="Z841" s="40"/>
    </row>
    <row r="842" spans="1:26" s="25" customFormat="1" ht="18" customHeight="1" thickBot="1" x14ac:dyDescent="0.25">
      <c r="A842" s="305"/>
      <c r="B842" s="313"/>
      <c r="C842" s="313"/>
      <c r="D842" s="313"/>
      <c r="E842" s="313"/>
      <c r="F842" s="313"/>
      <c r="G842" s="313"/>
      <c r="H842" s="313"/>
      <c r="I842" s="313"/>
      <c r="J842" s="313"/>
      <c r="K842" s="313"/>
      <c r="L842" s="307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7"/>
      <c r="B843" s="277"/>
      <c r="C843" s="277"/>
      <c r="D843" s="277"/>
      <c r="E843" s="277"/>
      <c r="F843" s="277"/>
      <c r="G843" s="277"/>
      <c r="H843" s="277"/>
      <c r="I843" s="277"/>
      <c r="J843" s="277"/>
      <c r="K843" s="277"/>
      <c r="L843" s="27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7" customFormat="1" ht="18" customHeight="1" x14ac:dyDescent="0.2">
      <c r="A844" s="308"/>
      <c r="B844" s="308"/>
      <c r="C844" s="308"/>
      <c r="D844" s="308"/>
      <c r="E844" s="308"/>
      <c r="F844" s="308"/>
      <c r="G844" s="308"/>
      <c r="H844" s="308"/>
      <c r="I844" s="308"/>
      <c r="J844" s="308"/>
      <c r="K844" s="308"/>
      <c r="L844" s="30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s="25" customFormat="1" ht="18" customHeight="1" x14ac:dyDescent="0.2">
      <c r="A845" s="277"/>
      <c r="B845" s="277"/>
      <c r="C845" s="277"/>
      <c r="D845" s="277"/>
      <c r="E845" s="277"/>
      <c r="F845" s="277"/>
      <c r="G845" s="277"/>
      <c r="H845" s="277"/>
      <c r="I845" s="277"/>
      <c r="J845" s="277"/>
      <c r="K845" s="277"/>
      <c r="L845" s="27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7" customFormat="1" ht="18" customHeight="1" x14ac:dyDescent="0.2">
      <c r="A846" s="308"/>
      <c r="B846" s="308"/>
      <c r="C846" s="308"/>
      <c r="D846" s="308"/>
      <c r="E846" s="308"/>
      <c r="F846" s="308"/>
      <c r="G846" s="308"/>
      <c r="H846" s="308"/>
      <c r="I846" s="308"/>
      <c r="J846" s="308"/>
      <c r="K846" s="308"/>
      <c r="L846" s="30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O701:R701"/>
    <mergeCell ref="T701:Y701"/>
    <mergeCell ref="I511:J511"/>
    <mergeCell ref="T717:Y717"/>
    <mergeCell ref="C503:F503"/>
    <mergeCell ref="B508:C508"/>
    <mergeCell ref="I540:J540"/>
    <mergeCell ref="C594:F594"/>
    <mergeCell ref="B568:C568"/>
    <mergeCell ref="I597:K597"/>
    <mergeCell ref="F597:G597"/>
    <mergeCell ref="B599:C599"/>
    <mergeCell ref="I710:J710"/>
    <mergeCell ref="I711:J711"/>
    <mergeCell ref="T671:Y671"/>
    <mergeCell ref="O671:R671"/>
    <mergeCell ref="T639:Y639"/>
    <mergeCell ref="F643:G643"/>
    <mergeCell ref="I643:K643"/>
    <mergeCell ref="H578:I578"/>
    <mergeCell ref="B629:C629"/>
    <mergeCell ref="B840:K841"/>
    <mergeCell ref="I536:K536"/>
    <mergeCell ref="F446:G446"/>
    <mergeCell ref="O472:R472"/>
    <mergeCell ref="I106:J106"/>
    <mergeCell ref="A277:L277"/>
    <mergeCell ref="B298:C298"/>
    <mergeCell ref="C293:F293"/>
    <mergeCell ref="F401:G401"/>
    <mergeCell ref="I555:J555"/>
    <mergeCell ref="I431:K431"/>
    <mergeCell ref="A487:L487"/>
    <mergeCell ref="B553:C553"/>
    <mergeCell ref="I556:J556"/>
    <mergeCell ref="A532:L532"/>
    <mergeCell ref="F536:G536"/>
    <mergeCell ref="A367:L367"/>
    <mergeCell ref="I437:J437"/>
    <mergeCell ref="C428:F428"/>
    <mergeCell ref="F296:G296"/>
    <mergeCell ref="O517:R517"/>
    <mergeCell ref="I465:J465"/>
    <mergeCell ref="B463:C463"/>
    <mergeCell ref="A593:L593"/>
    <mergeCell ref="C702:F702"/>
    <mergeCell ref="I664:J664"/>
    <mergeCell ref="I647:J647"/>
    <mergeCell ref="C829:F829"/>
    <mergeCell ref="I821:J821"/>
    <mergeCell ref="C675:E675"/>
    <mergeCell ref="I679:J679"/>
    <mergeCell ref="I680:J680"/>
    <mergeCell ref="F675:G675"/>
    <mergeCell ref="I756:J756"/>
    <mergeCell ref="I675:K675"/>
    <mergeCell ref="H672:I672"/>
    <mergeCell ref="I727:J727"/>
    <mergeCell ref="B651:K652"/>
    <mergeCell ref="I681:J681"/>
    <mergeCell ref="B677:C677"/>
    <mergeCell ref="C672:F672"/>
    <mergeCell ref="B818:C818"/>
    <mergeCell ref="I805:J805"/>
    <mergeCell ref="A796:L796"/>
    <mergeCell ref="I649:J649"/>
    <mergeCell ref="I721:K721"/>
    <mergeCell ref="H718:I718"/>
    <mergeCell ref="T217:Y217"/>
    <mergeCell ref="T292:Y292"/>
    <mergeCell ref="T562:Y562"/>
    <mergeCell ref="T187:Y187"/>
    <mergeCell ref="T457:Y457"/>
    <mergeCell ref="T412:Y412"/>
    <mergeCell ref="O457:R457"/>
    <mergeCell ref="T517:Y517"/>
    <mergeCell ref="T427:Y427"/>
    <mergeCell ref="T487:Y487"/>
    <mergeCell ref="O412:R412"/>
    <mergeCell ref="T472:Y472"/>
    <mergeCell ref="T442:Y442"/>
    <mergeCell ref="T202:Y202"/>
    <mergeCell ref="T337:Y337"/>
    <mergeCell ref="T502:Y502"/>
    <mergeCell ref="T232:Y232"/>
    <mergeCell ref="O442:R442"/>
    <mergeCell ref="T382:Y382"/>
    <mergeCell ref="O292:R292"/>
    <mergeCell ref="O337:R337"/>
    <mergeCell ref="T367:Y367"/>
    <mergeCell ref="O352:R352"/>
    <mergeCell ref="O232:R232"/>
    <mergeCell ref="C1:I1"/>
    <mergeCell ref="I663:J663"/>
    <mergeCell ref="B163:C163"/>
    <mergeCell ref="I41:K41"/>
    <mergeCell ref="F56:G56"/>
    <mergeCell ref="I551:K551"/>
    <mergeCell ref="C38:F38"/>
    <mergeCell ref="B43:C43"/>
    <mergeCell ref="I45:J45"/>
    <mergeCell ref="I197:J197"/>
    <mergeCell ref="H158:I158"/>
    <mergeCell ref="F161:G161"/>
    <mergeCell ref="I161:K161"/>
    <mergeCell ref="F566:G566"/>
    <mergeCell ref="H563:I563"/>
    <mergeCell ref="I659:K659"/>
    <mergeCell ref="I60:J60"/>
    <mergeCell ref="C83:F83"/>
    <mergeCell ref="A172:L172"/>
    <mergeCell ref="I461:K461"/>
    <mergeCell ref="I330:J330"/>
    <mergeCell ref="F627:G627"/>
    <mergeCell ref="I603:J603"/>
    <mergeCell ref="I601:J601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T593:Y593"/>
    <mergeCell ref="I510:J510"/>
    <mergeCell ref="I361:J361"/>
    <mergeCell ref="F416:G416"/>
    <mergeCell ref="I421:J421"/>
    <mergeCell ref="I521:K521"/>
    <mergeCell ref="H458:I458"/>
    <mergeCell ref="I272:J272"/>
    <mergeCell ref="I466:J466"/>
    <mergeCell ref="C278:F278"/>
    <mergeCell ref="I416:K416"/>
    <mergeCell ref="I390:J390"/>
    <mergeCell ref="I391:J391"/>
    <mergeCell ref="I392:J392"/>
    <mergeCell ref="I452:J452"/>
    <mergeCell ref="B433:C433"/>
    <mergeCell ref="F461:G461"/>
    <mergeCell ref="F431:G431"/>
    <mergeCell ref="T577:Y577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B834:C834"/>
    <mergeCell ref="B478:C478"/>
    <mergeCell ref="C797:F797"/>
    <mergeCell ref="H797:I797"/>
    <mergeCell ref="I709:J709"/>
    <mergeCell ref="C780:F780"/>
    <mergeCell ref="A547:L547"/>
    <mergeCell ref="I773:J773"/>
    <mergeCell ref="I737:K737"/>
    <mergeCell ref="C734:F734"/>
    <mergeCell ref="H734:I734"/>
    <mergeCell ref="A717:L717"/>
    <mergeCell ref="I633:J633"/>
    <mergeCell ref="I631:J631"/>
    <mergeCell ref="F612:G612"/>
    <mergeCell ref="B661:C661"/>
    <mergeCell ref="H594:I594"/>
    <mergeCell ref="I822:J822"/>
    <mergeCell ref="C813:F813"/>
    <mergeCell ref="B739:C739"/>
    <mergeCell ref="H829:I829"/>
    <mergeCell ref="H548:I548"/>
    <mergeCell ref="I512:J512"/>
    <mergeCell ref="C518:F518"/>
    <mergeCell ref="I696:J696"/>
    <mergeCell ref="F800:G800"/>
    <mergeCell ref="F783:G783"/>
    <mergeCell ref="B754:C754"/>
    <mergeCell ref="I742:J742"/>
    <mergeCell ref="I726:J726"/>
    <mergeCell ref="B824:K825"/>
    <mergeCell ref="A352:L352"/>
    <mergeCell ref="F341:G341"/>
    <mergeCell ref="I341:K341"/>
    <mergeCell ref="I435:J435"/>
    <mergeCell ref="I436:J436"/>
    <mergeCell ref="H398:I398"/>
    <mergeCell ref="I497:J497"/>
    <mergeCell ref="A472:L472"/>
    <mergeCell ref="B418:C418"/>
    <mergeCell ref="I467:J467"/>
    <mergeCell ref="I376:J376"/>
    <mergeCell ref="F356:G356"/>
    <mergeCell ref="I360:J360"/>
    <mergeCell ref="I616:J616"/>
    <mergeCell ref="B808:K809"/>
    <mergeCell ref="I648:J648"/>
    <mergeCell ref="B713:K714"/>
    <mergeCell ref="F832:G832"/>
    <mergeCell ref="B802:C802"/>
    <mergeCell ref="B769:C769"/>
    <mergeCell ref="I771:J771"/>
    <mergeCell ref="F721:G721"/>
    <mergeCell ref="I752:K752"/>
    <mergeCell ref="F752:G752"/>
    <mergeCell ref="I788:J788"/>
    <mergeCell ref="B729:K730"/>
    <mergeCell ref="A763:L763"/>
    <mergeCell ref="I767:K767"/>
    <mergeCell ref="A733:L733"/>
    <mergeCell ref="H813:I813"/>
    <mergeCell ref="I783:K783"/>
    <mergeCell ref="C764:F764"/>
    <mergeCell ref="A812:L812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I695:J695"/>
    <mergeCell ref="I480:J480"/>
    <mergeCell ref="I451:J451"/>
    <mergeCell ref="F521:G521"/>
    <mergeCell ref="I281:K281"/>
    <mergeCell ref="B283:C283"/>
    <mergeCell ref="F506:G506"/>
    <mergeCell ref="I506:K506"/>
    <mergeCell ref="I482:J482"/>
    <mergeCell ref="I690:K690"/>
    <mergeCell ref="B692:C692"/>
    <mergeCell ref="F551:G551"/>
    <mergeCell ref="F311:G311"/>
    <mergeCell ref="H308:I308"/>
    <mergeCell ref="C323:F323"/>
    <mergeCell ref="H323:I323"/>
    <mergeCell ref="I296:K296"/>
    <mergeCell ref="I326:K326"/>
    <mergeCell ref="I331:J331"/>
    <mergeCell ref="I332:J332"/>
    <mergeCell ref="C687:F687"/>
    <mergeCell ref="H687:I687"/>
    <mergeCell ref="A562:L562"/>
    <mergeCell ref="I572:J572"/>
    <mergeCell ref="F581:G581"/>
    <mergeCell ref="I581:K581"/>
    <mergeCell ref="H233:I233"/>
    <mergeCell ref="I236:K236"/>
    <mergeCell ref="C338:F338"/>
    <mergeCell ref="F281:G281"/>
    <mergeCell ref="H278:I278"/>
    <mergeCell ref="C233:F233"/>
    <mergeCell ref="B268:C268"/>
    <mergeCell ref="I450:J450"/>
    <mergeCell ref="H428:I428"/>
    <mergeCell ref="F371:G371"/>
    <mergeCell ref="I371:K371"/>
    <mergeCell ref="I617:J617"/>
    <mergeCell ref="H383:I383"/>
    <mergeCell ref="F386:G386"/>
    <mergeCell ref="C263:F263"/>
    <mergeCell ref="C308:F308"/>
    <mergeCell ref="I270:J270"/>
    <mergeCell ref="I315:J315"/>
    <mergeCell ref="O7:R7"/>
    <mergeCell ref="A7:L7"/>
    <mergeCell ref="O247:R247"/>
    <mergeCell ref="I181:J181"/>
    <mergeCell ref="I212:J212"/>
    <mergeCell ref="I401:K401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38:J838"/>
    <mergeCell ref="I832:K832"/>
    <mergeCell ref="H656:I656"/>
    <mergeCell ref="A655:L655"/>
    <mergeCell ref="B448:C448"/>
    <mergeCell ref="C458:F458"/>
    <mergeCell ref="C473:F473"/>
    <mergeCell ref="I407:J407"/>
    <mergeCell ref="A427:L427"/>
    <mergeCell ref="I665:J665"/>
    <mergeCell ref="F659:G659"/>
    <mergeCell ref="I571:J571"/>
    <mergeCell ref="C609:F609"/>
    <mergeCell ref="A442:L442"/>
    <mergeCell ref="C443:F443"/>
    <mergeCell ref="A502:L502"/>
    <mergeCell ref="I446:K446"/>
    <mergeCell ref="C563:F563"/>
    <mergeCell ref="I481:J481"/>
    <mergeCell ref="H518:I518"/>
    <mergeCell ref="I542:J542"/>
    <mergeCell ref="B538:C538"/>
    <mergeCell ref="B614:C614"/>
    <mergeCell ref="I526:J526"/>
    <mergeCell ref="I837:J837"/>
    <mergeCell ref="I806:J806"/>
    <mergeCell ref="I836:J836"/>
    <mergeCell ref="I422:J422"/>
    <mergeCell ref="H443:I443"/>
    <mergeCell ref="O547:R547"/>
    <mergeCell ref="O623:R623"/>
    <mergeCell ref="O532:R532"/>
    <mergeCell ref="O812:R812"/>
    <mergeCell ref="O655:R655"/>
    <mergeCell ref="O427:R427"/>
    <mergeCell ref="O733:R733"/>
    <mergeCell ref="A623:L623"/>
    <mergeCell ref="I602:J602"/>
    <mergeCell ref="H764:I764"/>
    <mergeCell ref="B785:C785"/>
    <mergeCell ref="B760:K761"/>
    <mergeCell ref="I787:J787"/>
    <mergeCell ref="I789:J789"/>
    <mergeCell ref="C533:F533"/>
    <mergeCell ref="H533:I533"/>
    <mergeCell ref="A701:L701"/>
    <mergeCell ref="B707:C707"/>
    <mergeCell ref="A828:L828"/>
    <mergeCell ref="O828:R828"/>
    <mergeCell ref="I804:J804"/>
    <mergeCell ref="F767:G767"/>
    <mergeCell ref="H780:I780"/>
    <mergeCell ref="H702:I702"/>
    <mergeCell ref="F705:G705"/>
    <mergeCell ref="I627:K627"/>
    <mergeCell ref="B523:C523"/>
    <mergeCell ref="I525:J525"/>
    <mergeCell ref="B589:K590"/>
    <mergeCell ref="C640:F640"/>
    <mergeCell ref="F737:G737"/>
    <mergeCell ref="A639:L639"/>
    <mergeCell ref="B583:C583"/>
    <mergeCell ref="I705:K705"/>
    <mergeCell ref="A577:L577"/>
    <mergeCell ref="C718:F718"/>
    <mergeCell ref="I585:J585"/>
    <mergeCell ref="A748:L748"/>
    <mergeCell ref="H749:I749"/>
    <mergeCell ref="C749:F749"/>
    <mergeCell ref="A608:L608"/>
    <mergeCell ref="I586:J586"/>
    <mergeCell ref="B775:K776"/>
    <mergeCell ref="O779:R779"/>
    <mergeCell ref="I757:J757"/>
    <mergeCell ref="O717:R717"/>
    <mergeCell ref="T608:Y608"/>
    <mergeCell ref="I725:J725"/>
    <mergeCell ref="I743:J743"/>
    <mergeCell ref="O593:R593"/>
    <mergeCell ref="I632:J632"/>
    <mergeCell ref="B667:K668"/>
    <mergeCell ref="T763:Y763"/>
    <mergeCell ref="O608:R608"/>
    <mergeCell ref="T655:Y655"/>
    <mergeCell ref="T623:Y623"/>
    <mergeCell ref="C624:F624"/>
    <mergeCell ref="H624:I624"/>
    <mergeCell ref="I612:K612"/>
    <mergeCell ref="A779:L779"/>
    <mergeCell ref="O686:R686"/>
    <mergeCell ref="B645:C645"/>
    <mergeCell ref="I694:J694"/>
    <mergeCell ref="A686:L686"/>
    <mergeCell ref="T686:Y686"/>
    <mergeCell ref="O763:R763"/>
    <mergeCell ref="B635:K636"/>
    <mergeCell ref="O127:R127"/>
    <mergeCell ref="I120:J120"/>
    <mergeCell ref="I121:J121"/>
    <mergeCell ref="C398:F398"/>
    <mergeCell ref="B373:C373"/>
    <mergeCell ref="B403:C403"/>
    <mergeCell ref="I377:J377"/>
    <mergeCell ref="O397:R397"/>
    <mergeCell ref="I386:K386"/>
    <mergeCell ref="B388:C388"/>
    <mergeCell ref="I375:J375"/>
    <mergeCell ref="C383:F383"/>
    <mergeCell ref="A397:L397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I302:J302"/>
    <mergeCell ref="I347:J347"/>
    <mergeCell ref="I317:J317"/>
    <mergeCell ref="F146:G146"/>
    <mergeCell ref="I146:K146"/>
    <mergeCell ref="H188:I188"/>
    <mergeCell ref="C188:F188"/>
    <mergeCell ref="O202:R202"/>
    <mergeCell ref="O187:R187"/>
    <mergeCell ref="O157:R157"/>
    <mergeCell ref="A232:L232"/>
    <mergeCell ref="I242:J242"/>
    <mergeCell ref="A247:L247"/>
    <mergeCell ref="F326:G326"/>
    <mergeCell ref="F236:G236"/>
    <mergeCell ref="H263:I263"/>
    <mergeCell ref="I271:J271"/>
    <mergeCell ref="B238:C238"/>
    <mergeCell ref="I255:J255"/>
    <mergeCell ref="I256:J256"/>
    <mergeCell ref="I257:J257"/>
    <mergeCell ref="F266:G266"/>
    <mergeCell ref="O639:R639"/>
    <mergeCell ref="C656:F656"/>
    <mergeCell ref="I495:J495"/>
    <mergeCell ref="I496:J496"/>
    <mergeCell ref="I420:J420"/>
    <mergeCell ref="A382:L382"/>
    <mergeCell ref="O562:R562"/>
    <mergeCell ref="I570:J570"/>
    <mergeCell ref="I566:K566"/>
    <mergeCell ref="H473:I473"/>
    <mergeCell ref="F476:G476"/>
    <mergeCell ref="I476:K476"/>
    <mergeCell ref="I405:J405"/>
    <mergeCell ref="I406:J406"/>
    <mergeCell ref="I541:J541"/>
    <mergeCell ref="O502:R502"/>
    <mergeCell ref="A412:L412"/>
    <mergeCell ref="T733:Y733"/>
    <mergeCell ref="T532:Y532"/>
    <mergeCell ref="I820:J820"/>
    <mergeCell ref="H609:I609"/>
    <mergeCell ref="O796:R796"/>
    <mergeCell ref="I772:J772"/>
    <mergeCell ref="A671:L671"/>
    <mergeCell ref="O748:R748"/>
    <mergeCell ref="C548:F548"/>
    <mergeCell ref="O577:R577"/>
    <mergeCell ref="I557:J557"/>
    <mergeCell ref="I587:J587"/>
    <mergeCell ref="I800:K800"/>
    <mergeCell ref="F816:G816"/>
    <mergeCell ref="C578:F578"/>
    <mergeCell ref="B723:C723"/>
    <mergeCell ref="I758:J758"/>
    <mergeCell ref="H640:I640"/>
    <mergeCell ref="I816:K816"/>
    <mergeCell ref="I741:J741"/>
    <mergeCell ref="F690:G690"/>
    <mergeCell ref="T748:Y748"/>
    <mergeCell ref="T547:Y547"/>
    <mergeCell ref="T779:Y779"/>
    <mergeCell ref="T796:Y796"/>
    <mergeCell ref="T7:Y7"/>
    <mergeCell ref="I30:J30"/>
    <mergeCell ref="I31:J31"/>
    <mergeCell ref="I618:J618"/>
    <mergeCell ref="A517:L517"/>
    <mergeCell ref="I527:J527"/>
    <mergeCell ref="C413:F413"/>
    <mergeCell ref="C488:F488"/>
    <mergeCell ref="H488:I488"/>
    <mergeCell ref="F491:G491"/>
    <mergeCell ref="H293:I293"/>
    <mergeCell ref="B493:C493"/>
    <mergeCell ref="I491:K491"/>
    <mergeCell ref="T397:Y397"/>
    <mergeCell ref="C353:F353"/>
    <mergeCell ref="I362:J362"/>
    <mergeCell ref="H503:I503"/>
    <mergeCell ref="A457:L457"/>
    <mergeCell ref="O487:R487"/>
    <mergeCell ref="H413:I413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  <mergeCell ref="O277:R277"/>
    <mergeCell ref="I240:J240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10" max="16383" man="1"/>
    <brk id="425" max="16383" man="1"/>
    <brk id="440" max="16383" man="1"/>
    <brk id="455" max="16383" man="1"/>
    <brk id="470" max="16383" man="1"/>
    <brk id="485" max="16383" man="1"/>
    <brk id="500" max="16383" man="1"/>
    <brk id="515" max="16383" man="1"/>
    <brk id="530" max="16383" man="1"/>
    <brk id="545" max="16383" man="1"/>
    <brk id="560" max="16383" man="1"/>
    <brk id="575" max="16383" man="1"/>
    <brk id="606" max="16383" man="1"/>
    <brk id="621" max="16383" man="1"/>
    <brk id="637" max="11" man="1"/>
    <brk id="653" max="11" man="1"/>
    <brk id="669" max="11" man="1"/>
    <brk id="715" max="11" man="1"/>
    <brk id="746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6" t="s">
        <v>136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  <c r="R1" s="426"/>
    </row>
    <row r="2" spans="1:26" ht="48.75" customHeight="1" x14ac:dyDescent="0.2">
      <c r="A2" s="109" t="s">
        <v>93</v>
      </c>
      <c r="B2" s="110" t="s">
        <v>107</v>
      </c>
      <c r="C2" s="110" t="s">
        <v>105</v>
      </c>
      <c r="D2" s="110" t="s">
        <v>106</v>
      </c>
      <c r="E2" s="110" t="s">
        <v>108</v>
      </c>
      <c r="F2" s="110" t="s">
        <v>109</v>
      </c>
      <c r="G2" s="110" t="s">
        <v>110</v>
      </c>
      <c r="H2" s="111" t="s">
        <v>111</v>
      </c>
      <c r="I2" s="111" t="s">
        <v>127</v>
      </c>
      <c r="J2" s="111" t="s">
        <v>132</v>
      </c>
      <c r="K2" s="111" t="s">
        <v>133</v>
      </c>
      <c r="L2" s="111" t="s">
        <v>134</v>
      </c>
      <c r="M2" s="111" t="s">
        <v>135</v>
      </c>
      <c r="N2" s="111" t="s">
        <v>141</v>
      </c>
      <c r="O2" s="111" t="s">
        <v>143</v>
      </c>
      <c r="P2" s="111" t="s">
        <v>148</v>
      </c>
      <c r="Q2" s="111" t="s">
        <v>149</v>
      </c>
      <c r="R2" s="115" t="s">
        <v>137</v>
      </c>
      <c r="S2" s="2"/>
      <c r="T2" s="11"/>
      <c r="U2" s="2"/>
      <c r="V2" s="2"/>
      <c r="W2" s="70"/>
      <c r="X2" s="2"/>
      <c r="Y2" s="2"/>
    </row>
    <row r="3" spans="1:26" ht="20.25" customHeight="1" x14ac:dyDescent="0.25">
      <c r="A3" s="113" t="s">
        <v>94</v>
      </c>
      <c r="B3" s="103">
        <v>100000</v>
      </c>
      <c r="C3" s="104">
        <v>100000</v>
      </c>
      <c r="D3" s="104">
        <v>100000</v>
      </c>
      <c r="E3" s="104">
        <v>100000</v>
      </c>
      <c r="F3" s="104">
        <v>100000</v>
      </c>
      <c r="G3" s="104">
        <v>100000</v>
      </c>
      <c r="H3" s="116">
        <v>100000</v>
      </c>
      <c r="I3" s="116">
        <v>100000</v>
      </c>
      <c r="J3" s="116">
        <v>100000</v>
      </c>
      <c r="K3" s="116">
        <v>0</v>
      </c>
      <c r="L3" s="116">
        <v>100000</v>
      </c>
      <c r="M3" s="116">
        <v>100000</v>
      </c>
      <c r="N3" s="116">
        <v>100000</v>
      </c>
      <c r="O3" s="116">
        <v>100000</v>
      </c>
      <c r="P3" s="116">
        <v>100000</v>
      </c>
      <c r="Q3" s="116">
        <v>100000</v>
      </c>
      <c r="R3" s="116">
        <f>Q3-P3</f>
        <v>0</v>
      </c>
      <c r="S3" s="2"/>
      <c r="T3" s="11"/>
      <c r="U3" s="2"/>
      <c r="V3" s="2"/>
      <c r="W3" s="70"/>
      <c r="X3" s="2"/>
      <c r="Y3" s="2"/>
      <c r="Z3" s="8"/>
    </row>
    <row r="4" spans="1:26" ht="20.25" customHeight="1" x14ac:dyDescent="0.25">
      <c r="A4" s="114" t="s">
        <v>34</v>
      </c>
      <c r="B4" s="105">
        <v>60000</v>
      </c>
      <c r="C4" s="106">
        <v>60000</v>
      </c>
      <c r="D4" s="106">
        <v>60000</v>
      </c>
      <c r="E4" s="106">
        <v>60000</v>
      </c>
      <c r="F4" s="106">
        <v>60000</v>
      </c>
      <c r="G4" s="106">
        <v>60000</v>
      </c>
      <c r="H4" s="117">
        <v>60000</v>
      </c>
      <c r="I4" s="117">
        <v>60000</v>
      </c>
      <c r="J4" s="117">
        <v>60000</v>
      </c>
      <c r="K4" s="117">
        <v>60000</v>
      </c>
      <c r="L4" s="116">
        <v>60000</v>
      </c>
      <c r="M4" s="116">
        <v>60000</v>
      </c>
      <c r="N4" s="116">
        <v>60000</v>
      </c>
      <c r="O4" s="116">
        <v>62000</v>
      </c>
      <c r="P4" s="116">
        <v>62000</v>
      </c>
      <c r="Q4" s="116">
        <v>62000</v>
      </c>
      <c r="R4" s="116">
        <f t="shared" ref="R4:R15" si="0">Q4-P4</f>
        <v>0</v>
      </c>
      <c r="S4" s="2"/>
      <c r="T4" s="70"/>
      <c r="U4" s="2"/>
      <c r="V4" s="2"/>
      <c r="W4" s="70"/>
      <c r="X4" s="2"/>
      <c r="Y4" s="2"/>
    </row>
    <row r="5" spans="1:26" ht="20.25" customHeight="1" x14ac:dyDescent="0.25">
      <c r="A5" s="112" t="s">
        <v>32</v>
      </c>
      <c r="B5" s="107">
        <v>73206</v>
      </c>
      <c r="C5" s="106">
        <v>87000</v>
      </c>
      <c r="D5" s="106">
        <v>65000</v>
      </c>
      <c r="E5" s="106">
        <v>67000</v>
      </c>
      <c r="F5" s="106">
        <v>65000</v>
      </c>
      <c r="G5" s="106">
        <v>66000</v>
      </c>
      <c r="H5" s="117">
        <v>88000</v>
      </c>
      <c r="I5" s="117">
        <v>103489.58333333333</v>
      </c>
      <c r="J5" s="117">
        <v>87822.580645161288</v>
      </c>
      <c r="K5" s="117">
        <v>84933.333333333328</v>
      </c>
      <c r="L5" s="116">
        <v>66000</v>
      </c>
      <c r="M5" s="116">
        <v>103483.87096774194</v>
      </c>
      <c r="N5" s="116">
        <v>118000</v>
      </c>
      <c r="O5" s="116">
        <v>117387.09677419355</v>
      </c>
      <c r="P5" s="116">
        <v>119000</v>
      </c>
      <c r="Q5" s="116">
        <v>94000</v>
      </c>
      <c r="R5" s="116">
        <f t="shared" si="0"/>
        <v>-25000</v>
      </c>
      <c r="S5" s="2"/>
      <c r="T5" s="70"/>
      <c r="U5" s="2"/>
      <c r="V5" s="2"/>
      <c r="W5" s="70"/>
      <c r="X5" s="2"/>
      <c r="Y5" s="2"/>
    </row>
    <row r="6" spans="1:26" ht="20.25" customHeight="1" x14ac:dyDescent="0.25">
      <c r="A6" s="112" t="s">
        <v>95</v>
      </c>
      <c r="B6" s="107">
        <v>147448.27586206896</v>
      </c>
      <c r="C6" s="106">
        <v>116709.67741935482</v>
      </c>
      <c r="D6" s="106">
        <v>32250</v>
      </c>
      <c r="E6" s="106">
        <v>32250</v>
      </c>
      <c r="F6" s="106">
        <v>32250</v>
      </c>
      <c r="G6" s="106">
        <v>32250</v>
      </c>
      <c r="H6" s="117">
        <v>32250</v>
      </c>
      <c r="I6" s="117">
        <v>29300</v>
      </c>
      <c r="J6" s="117">
        <v>31750</v>
      </c>
      <c r="K6" s="117">
        <v>40875</v>
      </c>
      <c r="L6" s="116">
        <v>31500</v>
      </c>
      <c r="M6" s="116">
        <v>31500</v>
      </c>
      <c r="N6" s="116">
        <v>31500</v>
      </c>
      <c r="O6" s="116">
        <v>31500</v>
      </c>
      <c r="P6" s="116">
        <f>'Salary Sheets'!Q27</f>
        <v>137098.79032258067</v>
      </c>
      <c r="Q6" s="116">
        <v>37258.06451612903</v>
      </c>
      <c r="R6" s="116">
        <f t="shared" si="0"/>
        <v>-99840.725806451635</v>
      </c>
      <c r="S6" s="70"/>
      <c r="T6" s="11"/>
      <c r="U6" s="2"/>
      <c r="V6" s="2"/>
      <c r="W6" s="70"/>
      <c r="X6" s="2"/>
      <c r="Y6" s="2"/>
    </row>
    <row r="7" spans="1:26" ht="20.25" customHeight="1" x14ac:dyDescent="0.25">
      <c r="A7" s="112" t="s">
        <v>96</v>
      </c>
      <c r="B7" s="107">
        <v>132799.31034482759</v>
      </c>
      <c r="C7" s="106">
        <v>63387.096774193546</v>
      </c>
      <c r="D7" s="106">
        <v>41481.25</v>
      </c>
      <c r="E7" s="106">
        <v>53254.032258064515</v>
      </c>
      <c r="F7" s="106">
        <v>42143.75</v>
      </c>
      <c r="G7" s="106">
        <v>30919.354838709678</v>
      </c>
      <c r="H7" s="117">
        <v>35761.088709677424</v>
      </c>
      <c r="I7" s="117">
        <v>99415.625</v>
      </c>
      <c r="J7" s="117">
        <v>97959.677419354834</v>
      </c>
      <c r="K7" s="117">
        <v>54868.75</v>
      </c>
      <c r="L7" s="116">
        <v>52703.629032258061</v>
      </c>
      <c r="M7" s="116">
        <v>53987.145161290318</v>
      </c>
      <c r="N7" s="116">
        <v>92420.758928571435</v>
      </c>
      <c r="O7" s="116">
        <v>81163.548387096773</v>
      </c>
      <c r="P7" s="116">
        <v>72583.333333333328</v>
      </c>
      <c r="Q7" s="116">
        <v>75645.161290322576</v>
      </c>
      <c r="R7" s="116">
        <f t="shared" si="0"/>
        <v>3061.8279569892475</v>
      </c>
      <c r="S7" s="70"/>
      <c r="T7" s="11"/>
      <c r="U7" s="75"/>
      <c r="V7" s="75"/>
      <c r="W7" s="75"/>
      <c r="X7" s="75"/>
      <c r="Y7" s="2"/>
    </row>
    <row r="8" spans="1:26" ht="20.25" customHeight="1" x14ac:dyDescent="0.25">
      <c r="A8" s="112" t="s">
        <v>33</v>
      </c>
      <c r="B8" s="107">
        <v>372668.96551724145</v>
      </c>
      <c r="C8" s="106">
        <v>306071.05846774194</v>
      </c>
      <c r="D8" s="106">
        <v>205928.33333333331</v>
      </c>
      <c r="E8" s="106">
        <v>255428.46774193548</v>
      </c>
      <c r="F8" s="106">
        <v>285739.58333333343</v>
      </c>
      <c r="G8" s="106">
        <v>169628.98387096776</v>
      </c>
      <c r="H8" s="117">
        <v>214618.54838709679</v>
      </c>
      <c r="I8" s="117">
        <v>263865.91666666669</v>
      </c>
      <c r="J8" s="117">
        <v>288039.31451612909</v>
      </c>
      <c r="K8" s="117">
        <v>261683.95833333337</v>
      </c>
      <c r="L8" s="116">
        <v>193254.97580645161</v>
      </c>
      <c r="M8" s="116">
        <v>212582.85483870967</v>
      </c>
      <c r="N8" s="116">
        <v>232213.1696428571</v>
      </c>
      <c r="O8" s="116">
        <v>241484.47580645161</v>
      </c>
      <c r="P8" s="116">
        <f>'Salary Sheets'!Q45</f>
        <v>305354.83870967745</v>
      </c>
      <c r="Q8" s="116">
        <v>201483.87096774194</v>
      </c>
      <c r="R8" s="116">
        <f t="shared" si="0"/>
        <v>-103870.96774193551</v>
      </c>
      <c r="S8" s="70"/>
      <c r="T8" s="11"/>
      <c r="U8" s="2"/>
      <c r="V8" s="2"/>
      <c r="W8" s="70"/>
      <c r="X8" s="2"/>
      <c r="Y8" s="2"/>
    </row>
    <row r="9" spans="1:26" ht="20.25" customHeight="1" x14ac:dyDescent="0.25">
      <c r="A9" s="112" t="s">
        <v>97</v>
      </c>
      <c r="B9" s="107">
        <v>120506.03448275861</v>
      </c>
      <c r="C9" s="106">
        <v>131841.12903225809</v>
      </c>
      <c r="D9" s="106">
        <v>104362.49999999999</v>
      </c>
      <c r="E9" s="106">
        <v>104752.41935483871</v>
      </c>
      <c r="F9" s="106">
        <v>113883.33333333334</v>
      </c>
      <c r="G9" s="106">
        <v>105737.90322580645</v>
      </c>
      <c r="H9" s="117">
        <v>103883.06451612903</v>
      </c>
      <c r="I9" s="117">
        <v>109841.66666666667</v>
      </c>
      <c r="J9" s="117">
        <v>117032.25806451612</v>
      </c>
      <c r="K9" s="117">
        <v>105759.16666666667</v>
      </c>
      <c r="L9" s="116">
        <v>119633.06451612904</v>
      </c>
      <c r="M9" s="116">
        <v>122745.96774193548</v>
      </c>
      <c r="N9" s="116">
        <v>113383.92857142855</v>
      </c>
      <c r="O9" s="116">
        <v>100282.25806451612</v>
      </c>
      <c r="P9" s="116">
        <v>116254.16666666666</v>
      </c>
      <c r="Q9" s="116">
        <v>121334.67741935483</v>
      </c>
      <c r="R9" s="116">
        <f t="shared" si="0"/>
        <v>5080.5107526881766</v>
      </c>
      <c r="S9" s="70"/>
      <c r="T9" s="11"/>
      <c r="U9" s="2"/>
      <c r="V9" s="2"/>
      <c r="W9" s="70"/>
      <c r="X9" s="2"/>
      <c r="Y9" s="2"/>
      <c r="Z9" s="11"/>
    </row>
    <row r="10" spans="1:26" ht="20.25" customHeight="1" x14ac:dyDescent="0.25">
      <c r="A10" s="112" t="s">
        <v>98</v>
      </c>
      <c r="B10" s="107">
        <v>93330.732758620696</v>
      </c>
      <c r="C10" s="106">
        <v>87991.93548387097</v>
      </c>
      <c r="D10" s="106">
        <v>61687.5</v>
      </c>
      <c r="E10" s="106">
        <v>72469.354838709682</v>
      </c>
      <c r="F10" s="106">
        <v>92054.166666666672</v>
      </c>
      <c r="G10" s="106">
        <v>92983.870967741939</v>
      </c>
      <c r="H10" s="117">
        <v>95745.967741935485</v>
      </c>
      <c r="I10" s="117">
        <v>91266.666666666657</v>
      </c>
      <c r="J10" s="117">
        <v>82338.709677419363</v>
      </c>
      <c r="K10" s="117">
        <v>87658.333333333328</v>
      </c>
      <c r="L10" s="116">
        <v>98245.967741935485</v>
      </c>
      <c r="M10" s="116">
        <v>104427.41935483871</v>
      </c>
      <c r="N10" s="116">
        <v>89080.357142857145</v>
      </c>
      <c r="O10" s="116">
        <v>87447.580645161288</v>
      </c>
      <c r="P10" s="116">
        <v>92458.333333333343</v>
      </c>
      <c r="Q10" s="116">
        <v>89770.161290322576</v>
      </c>
      <c r="R10" s="116">
        <f t="shared" si="0"/>
        <v>-2688.1720430107671</v>
      </c>
      <c r="S10" s="70"/>
      <c r="T10" s="11"/>
      <c r="U10" s="8"/>
      <c r="V10" s="8"/>
      <c r="W10" s="89"/>
      <c r="X10" s="8"/>
      <c r="Y10" s="2"/>
      <c r="Z10" s="11"/>
    </row>
    <row r="11" spans="1:26" ht="20.25" customHeight="1" x14ac:dyDescent="0.25">
      <c r="A11" s="112" t="s">
        <v>99</v>
      </c>
      <c r="B11" s="107">
        <v>47469.310344827587</v>
      </c>
      <c r="C11" s="106">
        <v>29145.16129032258</v>
      </c>
      <c r="D11" s="106">
        <v>27083.333333333332</v>
      </c>
      <c r="E11" s="106">
        <v>28830.645161290322</v>
      </c>
      <c r="F11" s="106">
        <v>27083.333333333332</v>
      </c>
      <c r="G11" s="106">
        <v>29145.16129032258</v>
      </c>
      <c r="H11" s="117">
        <v>45596.774193548386</v>
      </c>
      <c r="I11" s="117">
        <v>45641.666666666672</v>
      </c>
      <c r="J11" s="117">
        <v>48903.225806451621</v>
      </c>
      <c r="K11" s="117">
        <v>39968.75</v>
      </c>
      <c r="L11" s="116">
        <v>48483.870967741939</v>
      </c>
      <c r="M11" s="116">
        <v>52201.612903225803</v>
      </c>
      <c r="N11" s="116">
        <v>67227.678571428565</v>
      </c>
      <c r="O11" s="116">
        <v>107939.51612903226</v>
      </c>
      <c r="P11" s="116">
        <v>81066.666666666672</v>
      </c>
      <c r="Q11" s="116">
        <v>84967.741935483878</v>
      </c>
      <c r="R11" s="116">
        <f t="shared" si="0"/>
        <v>3901.075268817207</v>
      </c>
      <c r="S11" s="70"/>
      <c r="T11" s="11"/>
      <c r="U11" s="2"/>
      <c r="V11" s="2"/>
      <c r="W11" s="70"/>
      <c r="X11" s="2"/>
      <c r="Y11" s="8"/>
    </row>
    <row r="12" spans="1:26" ht="36" customHeight="1" x14ac:dyDescent="0.25">
      <c r="A12" s="224" t="s">
        <v>147</v>
      </c>
      <c r="B12" s="107"/>
      <c r="C12" s="106"/>
      <c r="D12" s="106"/>
      <c r="E12" s="106"/>
      <c r="F12" s="106"/>
      <c r="G12" s="106"/>
      <c r="H12" s="117"/>
      <c r="I12" s="117"/>
      <c r="J12" s="117"/>
      <c r="K12" s="117"/>
      <c r="L12" s="116"/>
      <c r="M12" s="116"/>
      <c r="N12" s="116"/>
      <c r="O12" s="116"/>
      <c r="P12" s="116">
        <f>'Salary Sheets'!Q78</f>
        <v>333229.83870967739</v>
      </c>
      <c r="Q12" s="116">
        <v>254832.25806451612</v>
      </c>
      <c r="R12" s="116">
        <f t="shared" si="0"/>
        <v>-78397.580645161273</v>
      </c>
      <c r="S12" s="70"/>
      <c r="T12" s="11"/>
      <c r="U12" s="2"/>
      <c r="V12" s="2"/>
      <c r="W12" s="70"/>
      <c r="X12" s="2"/>
      <c r="Y12" s="8"/>
    </row>
    <row r="13" spans="1:26" ht="20.25" customHeight="1" x14ac:dyDescent="0.25">
      <c r="A13" s="112" t="s">
        <v>150</v>
      </c>
      <c r="B13" s="107"/>
      <c r="C13" s="106"/>
      <c r="D13" s="106"/>
      <c r="E13" s="106"/>
      <c r="F13" s="106"/>
      <c r="G13" s="106"/>
      <c r="H13" s="117"/>
      <c r="I13" s="117"/>
      <c r="J13" s="117"/>
      <c r="K13" s="117"/>
      <c r="L13" s="116"/>
      <c r="M13" s="116"/>
      <c r="N13" s="116"/>
      <c r="O13" s="116"/>
      <c r="P13" s="116" t="e">
        <f>'Salary Sheets'!#REF!</f>
        <v>#REF!</v>
      </c>
      <c r="Q13" s="116" t="e">
        <f>'Salary Sheets'!#REF!</f>
        <v>#REF!</v>
      </c>
      <c r="R13" s="116" t="e">
        <f t="shared" si="0"/>
        <v>#REF!</v>
      </c>
      <c r="S13" s="70"/>
      <c r="T13" s="11"/>
      <c r="U13" s="2"/>
      <c r="V13" s="2"/>
      <c r="W13" s="70"/>
      <c r="X13" s="2"/>
      <c r="Y13" s="8"/>
    </row>
    <row r="14" spans="1:26" ht="20.25" customHeight="1" x14ac:dyDescent="0.25">
      <c r="A14" s="112" t="s">
        <v>146</v>
      </c>
      <c r="B14" s="107">
        <v>160366.37931034484</v>
      </c>
      <c r="C14" s="107">
        <v>169366.93548387097</v>
      </c>
      <c r="D14" s="107">
        <v>177360</v>
      </c>
      <c r="E14" s="107">
        <v>201414.11290322582</v>
      </c>
      <c r="F14" s="107">
        <v>185683.33333333334</v>
      </c>
      <c r="G14" s="107">
        <v>178671.93548387097</v>
      </c>
      <c r="H14" s="117">
        <v>186343.54838709679</v>
      </c>
      <c r="I14" s="117">
        <v>183710</v>
      </c>
      <c r="J14" s="117">
        <v>208798.38709677421</v>
      </c>
      <c r="K14" s="117">
        <v>172205.83333333334</v>
      </c>
      <c r="L14" s="116">
        <v>99483.870967741939</v>
      </c>
      <c r="M14" s="116">
        <v>104608.87096774192</v>
      </c>
      <c r="N14" s="116">
        <v>156408.92857142858</v>
      </c>
      <c r="O14" s="116">
        <v>106806.45161290321</v>
      </c>
      <c r="P14" s="116">
        <v>127450</v>
      </c>
      <c r="Q14" s="116">
        <v>0</v>
      </c>
      <c r="R14" s="116">
        <f t="shared" si="0"/>
        <v>-127450</v>
      </c>
      <c r="S14" s="2"/>
      <c r="T14" s="11"/>
      <c r="U14" s="2"/>
      <c r="V14" s="2"/>
      <c r="W14" s="70"/>
      <c r="X14" s="2"/>
      <c r="Y14" s="8"/>
      <c r="Z14" s="11"/>
    </row>
    <row r="15" spans="1:26" ht="31.5" x14ac:dyDescent="0.2">
      <c r="A15" s="118" t="s">
        <v>144</v>
      </c>
      <c r="B15" s="108">
        <v>214942.75862068965</v>
      </c>
      <c r="C15" s="107">
        <v>204628.70967741933</v>
      </c>
      <c r="D15" s="107">
        <v>91566.666666666672</v>
      </c>
      <c r="E15" s="107">
        <v>100387.09677419355</v>
      </c>
      <c r="F15" s="107">
        <v>41733.333333333336</v>
      </c>
      <c r="G15" s="107">
        <v>2580.6451612903224</v>
      </c>
      <c r="H15" s="117">
        <v>34870.967741935485</v>
      </c>
      <c r="I15" s="117">
        <v>61920.833333333336</v>
      </c>
      <c r="J15" s="117">
        <v>44959.677419354841</v>
      </c>
      <c r="K15" s="117">
        <v>38666.666666666672</v>
      </c>
      <c r="L15" s="116">
        <v>39516.129032258061</v>
      </c>
      <c r="M15" s="116">
        <v>43000</v>
      </c>
      <c r="N15" s="116">
        <v>50142.857142857145</v>
      </c>
      <c r="O15" s="116">
        <v>102443.54838709676</v>
      </c>
      <c r="P15" s="116" t="e">
        <f>'Salary Sheets'!#REF!</f>
        <v>#REF!</v>
      </c>
      <c r="Q15" s="116" t="e">
        <f>'Salary Sheets'!#REF!</f>
        <v>#REF!</v>
      </c>
      <c r="R15" s="116" t="e">
        <f t="shared" si="0"/>
        <v>#REF!</v>
      </c>
      <c r="S15" s="2"/>
      <c r="U15" s="8"/>
      <c r="V15" s="8"/>
      <c r="W15" s="89"/>
      <c r="X15" s="8"/>
      <c r="Y15" s="8"/>
      <c r="Z15" s="11"/>
    </row>
    <row r="16" spans="1:26" ht="29.25" customHeight="1" x14ac:dyDescent="0.2">
      <c r="A16" s="158" t="s">
        <v>100</v>
      </c>
      <c r="B16" s="158">
        <f t="shared" ref="B16:R16" si="1">SUM(B3:B15)</f>
        <v>1522737.7672413792</v>
      </c>
      <c r="C16" s="158">
        <f t="shared" si="1"/>
        <v>1356141.7036290322</v>
      </c>
      <c r="D16" s="158">
        <f t="shared" si="1"/>
        <v>966719.58333333326</v>
      </c>
      <c r="E16" s="158">
        <f t="shared" si="1"/>
        <v>1075786.1290322579</v>
      </c>
      <c r="F16" s="158">
        <f>SUM(F3:F15)</f>
        <v>1045570.8333333336</v>
      </c>
      <c r="G16" s="158">
        <f>SUM(G3:G15)</f>
        <v>867917.8548387097</v>
      </c>
      <c r="H16" s="158">
        <f>SUM(H3:H15)</f>
        <v>997069.95967741939</v>
      </c>
      <c r="I16" s="158">
        <f>SUM(I3:I15)</f>
        <v>1148451.9583333333</v>
      </c>
      <c r="J16" s="158">
        <f>SUM(J3:J15)</f>
        <v>1167603.8306451614</v>
      </c>
      <c r="K16" s="158">
        <f t="shared" si="1"/>
        <v>946619.79166666674</v>
      </c>
      <c r="L16" s="158">
        <f t="shared" ref="L16:P16" si="2">SUM(L3:L15)</f>
        <v>908821.50806451624</v>
      </c>
      <c r="M16" s="158">
        <f t="shared" si="2"/>
        <v>988537.74193548388</v>
      </c>
      <c r="N16" s="158">
        <f t="shared" si="2"/>
        <v>1110377.6785714284</v>
      </c>
      <c r="O16" s="158">
        <f t="shared" si="2"/>
        <v>1138454.4758064516</v>
      </c>
      <c r="P16" s="158" t="e">
        <f t="shared" si="2"/>
        <v>#REF!</v>
      </c>
      <c r="Q16" s="158" t="e">
        <f>SUM(Q3:Q15)</f>
        <v>#REF!</v>
      </c>
      <c r="R16" s="158" t="e">
        <f t="shared" si="1"/>
        <v>#REF!</v>
      </c>
      <c r="S16" s="8"/>
      <c r="W16" s="8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47"/>
  <sheetViews>
    <sheetView topLeftCell="A22" workbookViewId="0">
      <selection activeCell="D48" sqref="D48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6" t="s">
        <v>174</v>
      </c>
      <c r="B1" s="426"/>
      <c r="C1" s="426"/>
      <c r="D1" s="426"/>
      <c r="E1" s="426"/>
    </row>
    <row r="2" spans="1:5" ht="18" x14ac:dyDescent="0.2">
      <c r="A2" s="255" t="s">
        <v>184</v>
      </c>
      <c r="B2" s="254"/>
      <c r="C2" s="256" t="s">
        <v>182</v>
      </c>
      <c r="D2" s="256" t="s">
        <v>183</v>
      </c>
      <c r="E2" s="256" t="s">
        <v>2</v>
      </c>
    </row>
    <row r="3" spans="1:5" ht="15.75" customHeight="1" x14ac:dyDescent="0.25">
      <c r="A3" s="113" t="s">
        <v>125</v>
      </c>
      <c r="B3" s="429" t="s">
        <v>193</v>
      </c>
      <c r="C3" s="257">
        <v>24500</v>
      </c>
      <c r="D3" s="257">
        <v>2000</v>
      </c>
      <c r="E3" s="116">
        <f t="shared" ref="E3:E6" si="0">D3+C3</f>
        <v>26500</v>
      </c>
    </row>
    <row r="4" spans="1:5" ht="15.75" x14ac:dyDescent="0.25">
      <c r="A4" s="113" t="s">
        <v>138</v>
      </c>
      <c r="B4" s="430"/>
      <c r="C4" s="257">
        <v>25000</v>
      </c>
      <c r="D4" s="257">
        <v>2000</v>
      </c>
      <c r="E4" s="116">
        <f t="shared" si="0"/>
        <v>27000</v>
      </c>
    </row>
    <row r="5" spans="1:5" ht="15.75" x14ac:dyDescent="0.25">
      <c r="A5" s="113" t="s">
        <v>192</v>
      </c>
      <c r="B5" s="430"/>
      <c r="C5" s="257">
        <v>32500</v>
      </c>
      <c r="D5" s="257">
        <v>2000</v>
      </c>
      <c r="E5" s="116">
        <f t="shared" si="0"/>
        <v>34500</v>
      </c>
    </row>
    <row r="6" spans="1:5" ht="15.75" x14ac:dyDescent="0.25">
      <c r="A6" s="113" t="s">
        <v>168</v>
      </c>
      <c r="B6" s="431"/>
      <c r="C6" s="257">
        <v>21000</v>
      </c>
      <c r="D6" s="257">
        <v>1000</v>
      </c>
      <c r="E6" s="116">
        <f t="shared" si="0"/>
        <v>22000</v>
      </c>
    </row>
    <row r="7" spans="1:5" ht="20.25" customHeight="1" x14ac:dyDescent="0.25">
      <c r="A7" s="113" t="s">
        <v>175</v>
      </c>
      <c r="B7" s="441" t="s">
        <v>181</v>
      </c>
      <c r="C7" s="116">
        <v>40000</v>
      </c>
      <c r="D7" s="116">
        <v>5000</v>
      </c>
      <c r="E7" s="116">
        <f>D7+C7</f>
        <v>45000</v>
      </c>
    </row>
    <row r="8" spans="1:5" ht="20.25" customHeight="1" x14ac:dyDescent="0.25">
      <c r="A8" s="114" t="s">
        <v>176</v>
      </c>
      <c r="B8" s="442"/>
      <c r="C8" s="117">
        <v>55000</v>
      </c>
      <c r="D8" s="117">
        <v>5000</v>
      </c>
      <c r="E8" s="116">
        <f t="shared" ref="E8:E14" si="1">D8+C8</f>
        <v>60000</v>
      </c>
    </row>
    <row r="9" spans="1:5" ht="20.25" customHeight="1" x14ac:dyDescent="0.25">
      <c r="A9" s="112" t="s">
        <v>76</v>
      </c>
      <c r="B9" s="442"/>
      <c r="C9" s="117">
        <v>30000</v>
      </c>
      <c r="D9" s="117">
        <v>5000</v>
      </c>
      <c r="E9" s="116">
        <f t="shared" si="1"/>
        <v>35000</v>
      </c>
    </row>
    <row r="10" spans="1:5" ht="20.25" customHeight="1" x14ac:dyDescent="0.25">
      <c r="A10" s="112" t="s">
        <v>177</v>
      </c>
      <c r="B10" s="442"/>
      <c r="C10" s="117">
        <v>38000</v>
      </c>
      <c r="D10" s="117">
        <v>5000</v>
      </c>
      <c r="E10" s="116">
        <f t="shared" si="1"/>
        <v>43000</v>
      </c>
    </row>
    <row r="11" spans="1:5" ht="20.25" customHeight="1" x14ac:dyDescent="0.25">
      <c r="A11" s="112" t="s">
        <v>178</v>
      </c>
      <c r="B11" s="442"/>
      <c r="C11" s="117">
        <v>28000</v>
      </c>
      <c r="D11" s="117">
        <v>3000</v>
      </c>
      <c r="E11" s="116">
        <f t="shared" si="1"/>
        <v>31000</v>
      </c>
    </row>
    <row r="12" spans="1:5" ht="20.25" customHeight="1" x14ac:dyDescent="0.25">
      <c r="A12" s="112" t="s">
        <v>179</v>
      </c>
      <c r="B12" s="442"/>
      <c r="C12" s="117">
        <v>22000</v>
      </c>
      <c r="D12" s="117">
        <v>3000</v>
      </c>
      <c r="E12" s="116">
        <f t="shared" si="1"/>
        <v>25000</v>
      </c>
    </row>
    <row r="13" spans="1:5" ht="20.25" customHeight="1" x14ac:dyDescent="0.25">
      <c r="A13" s="112" t="s">
        <v>180</v>
      </c>
      <c r="B13" s="442"/>
      <c r="C13" s="117">
        <v>24000</v>
      </c>
      <c r="D13" s="117">
        <v>2000</v>
      </c>
      <c r="E13" s="116">
        <f t="shared" si="1"/>
        <v>26000</v>
      </c>
    </row>
    <row r="14" spans="1:5" ht="20.25" customHeight="1" x14ac:dyDescent="0.25">
      <c r="A14" s="267" t="s">
        <v>72</v>
      </c>
      <c r="B14" s="442"/>
      <c r="C14" s="268">
        <v>27000</v>
      </c>
      <c r="D14" s="268">
        <v>3000</v>
      </c>
      <c r="E14" s="258">
        <f t="shared" si="1"/>
        <v>30000</v>
      </c>
    </row>
    <row r="15" spans="1:5" ht="20.25" customHeight="1" x14ac:dyDescent="0.25">
      <c r="A15" s="269" t="s">
        <v>186</v>
      </c>
      <c r="B15" s="428" t="s">
        <v>185</v>
      </c>
      <c r="C15" s="270">
        <v>54000</v>
      </c>
      <c r="D15" s="270">
        <v>5000</v>
      </c>
      <c r="E15" s="270">
        <f t="shared" ref="E15:E32" si="2">D15+C15</f>
        <v>59000</v>
      </c>
    </row>
    <row r="16" spans="1:5" ht="36" customHeight="1" x14ac:dyDescent="0.25">
      <c r="A16" s="271" t="s">
        <v>187</v>
      </c>
      <c r="B16" s="428"/>
      <c r="C16" s="270">
        <v>27500</v>
      </c>
      <c r="D16" s="270">
        <v>2000</v>
      </c>
      <c r="E16" s="270">
        <f t="shared" si="2"/>
        <v>29500</v>
      </c>
    </row>
    <row r="17" spans="1:5" ht="20.25" customHeight="1" x14ac:dyDescent="0.25">
      <c r="A17" s="269" t="s">
        <v>188</v>
      </c>
      <c r="B17" s="428"/>
      <c r="C17" s="270">
        <v>22500</v>
      </c>
      <c r="D17" s="270">
        <v>2000</v>
      </c>
      <c r="E17" s="270">
        <f t="shared" si="2"/>
        <v>24500</v>
      </c>
    </row>
    <row r="18" spans="1:5" ht="21" customHeight="1" x14ac:dyDescent="0.25">
      <c r="A18" s="269" t="s">
        <v>189</v>
      </c>
      <c r="B18" s="428"/>
      <c r="C18" s="270">
        <v>22500</v>
      </c>
      <c r="D18" s="270">
        <v>2000</v>
      </c>
      <c r="E18" s="270">
        <f t="shared" si="2"/>
        <v>24500</v>
      </c>
    </row>
    <row r="19" spans="1:5" ht="24" customHeight="1" x14ac:dyDescent="0.25">
      <c r="A19" s="269" t="s">
        <v>73</v>
      </c>
      <c r="B19" s="432">
        <v>45017</v>
      </c>
      <c r="C19" s="270">
        <v>45000</v>
      </c>
      <c r="D19" s="270">
        <v>5000</v>
      </c>
      <c r="E19" s="270">
        <f t="shared" si="2"/>
        <v>50000</v>
      </c>
    </row>
    <row r="20" spans="1:5" ht="24" customHeight="1" x14ac:dyDescent="0.25">
      <c r="A20" s="269" t="s">
        <v>190</v>
      </c>
      <c r="B20" s="432"/>
      <c r="C20" s="270">
        <v>19000</v>
      </c>
      <c r="D20" s="270">
        <v>3000</v>
      </c>
      <c r="E20" s="270">
        <f t="shared" si="2"/>
        <v>22000</v>
      </c>
    </row>
    <row r="21" spans="1:5" ht="27.75" customHeight="1" x14ac:dyDescent="0.25">
      <c r="A21" s="269" t="s">
        <v>142</v>
      </c>
      <c r="B21" s="432"/>
      <c r="C21" s="270">
        <v>47000</v>
      </c>
      <c r="D21" s="270">
        <v>3000</v>
      </c>
      <c r="E21" s="270">
        <f t="shared" si="2"/>
        <v>50000</v>
      </c>
    </row>
    <row r="22" spans="1:5" ht="38.25" customHeight="1" x14ac:dyDescent="0.25">
      <c r="A22" s="269" t="s">
        <v>196</v>
      </c>
      <c r="B22" s="259">
        <v>45047</v>
      </c>
      <c r="C22" s="270">
        <v>25000</v>
      </c>
      <c r="D22" s="270">
        <v>30000</v>
      </c>
      <c r="E22" s="270">
        <f t="shared" si="2"/>
        <v>55000</v>
      </c>
    </row>
    <row r="23" spans="1:5" ht="15.75" x14ac:dyDescent="0.25">
      <c r="A23" s="269" t="s">
        <v>125</v>
      </c>
      <c r="B23" s="440" t="s">
        <v>203</v>
      </c>
      <c r="C23" s="270">
        <v>26500</v>
      </c>
      <c r="D23" s="270">
        <v>3000</v>
      </c>
      <c r="E23" s="270">
        <f t="shared" si="2"/>
        <v>29500</v>
      </c>
    </row>
    <row r="24" spans="1:5" ht="15.75" x14ac:dyDescent="0.25">
      <c r="A24" s="269" t="s">
        <v>138</v>
      </c>
      <c r="B24" s="440"/>
      <c r="C24" s="270">
        <v>27000</v>
      </c>
      <c r="D24" s="270">
        <v>3000</v>
      </c>
      <c r="E24" s="270">
        <f t="shared" si="2"/>
        <v>30000</v>
      </c>
    </row>
    <row r="25" spans="1:5" ht="15.75" x14ac:dyDescent="0.25">
      <c r="A25" s="269" t="s">
        <v>192</v>
      </c>
      <c r="B25" s="440"/>
      <c r="C25" s="270">
        <v>34500</v>
      </c>
      <c r="D25" s="270">
        <v>3000</v>
      </c>
      <c r="E25" s="270">
        <f t="shared" si="2"/>
        <v>37500</v>
      </c>
    </row>
    <row r="26" spans="1:5" ht="15.75" x14ac:dyDescent="0.25">
      <c r="A26" s="269" t="s">
        <v>168</v>
      </c>
      <c r="B26" s="440"/>
      <c r="C26" s="270">
        <v>22000</v>
      </c>
      <c r="D26" s="270">
        <v>3000</v>
      </c>
      <c r="E26" s="270">
        <f t="shared" si="2"/>
        <v>25000</v>
      </c>
    </row>
    <row r="27" spans="1:5" ht="15.75" customHeight="1" x14ac:dyDescent="0.25">
      <c r="A27" s="269" t="s">
        <v>176</v>
      </c>
      <c r="B27" s="437" t="s">
        <v>214</v>
      </c>
      <c r="C27" s="270">
        <v>60000</v>
      </c>
      <c r="D27" s="270">
        <v>5000</v>
      </c>
      <c r="E27" s="270">
        <f t="shared" si="2"/>
        <v>65000</v>
      </c>
    </row>
    <row r="28" spans="1:5" ht="15.75" x14ac:dyDescent="0.25">
      <c r="A28" s="269" t="s">
        <v>104</v>
      </c>
      <c r="B28" s="438"/>
      <c r="C28" s="270">
        <v>25000</v>
      </c>
      <c r="D28" s="270">
        <v>2000</v>
      </c>
      <c r="E28" s="270">
        <f t="shared" si="2"/>
        <v>27000</v>
      </c>
    </row>
    <row r="29" spans="1:5" ht="15.75" x14ac:dyDescent="0.25">
      <c r="A29" s="269" t="s">
        <v>72</v>
      </c>
      <c r="B29" s="438"/>
      <c r="C29" s="270">
        <v>30000</v>
      </c>
      <c r="D29" s="270">
        <v>5000</v>
      </c>
      <c r="E29" s="270">
        <f t="shared" si="2"/>
        <v>35000</v>
      </c>
    </row>
    <row r="30" spans="1:5" ht="15.75" x14ac:dyDescent="0.25">
      <c r="A30" s="269" t="s">
        <v>73</v>
      </c>
      <c r="B30" s="439"/>
      <c r="C30" s="270">
        <v>50000</v>
      </c>
      <c r="D30" s="270">
        <v>20000</v>
      </c>
      <c r="E30" s="270">
        <f t="shared" si="2"/>
        <v>70000</v>
      </c>
    </row>
    <row r="31" spans="1:5" ht="15.75" customHeight="1" x14ac:dyDescent="0.25">
      <c r="A31" s="322" t="s">
        <v>218</v>
      </c>
      <c r="B31" s="434" t="s">
        <v>216</v>
      </c>
      <c r="C31" s="323">
        <v>45000</v>
      </c>
      <c r="D31" s="323">
        <v>2000</v>
      </c>
      <c r="E31" s="323">
        <f t="shared" si="2"/>
        <v>47000</v>
      </c>
    </row>
    <row r="32" spans="1:5" ht="15.75" x14ac:dyDescent="0.25">
      <c r="A32" s="322" t="s">
        <v>166</v>
      </c>
      <c r="B32" s="435"/>
      <c r="C32" s="323">
        <v>38000</v>
      </c>
      <c r="D32" s="323">
        <v>3000</v>
      </c>
      <c r="E32" s="323">
        <f t="shared" si="2"/>
        <v>41000</v>
      </c>
    </row>
    <row r="33" spans="1:5" ht="15.75" x14ac:dyDescent="0.25">
      <c r="A33" s="322" t="s">
        <v>217</v>
      </c>
      <c r="B33" s="435"/>
      <c r="C33" s="323">
        <v>45000</v>
      </c>
      <c r="D33" s="323">
        <v>20000</v>
      </c>
      <c r="E33" s="323">
        <f t="shared" ref="E33:E47" si="3">D33+C33</f>
        <v>65000</v>
      </c>
    </row>
    <row r="34" spans="1:5" ht="15.75" x14ac:dyDescent="0.25">
      <c r="A34" s="322" t="s">
        <v>219</v>
      </c>
      <c r="B34" s="435"/>
      <c r="C34" s="323">
        <v>32000</v>
      </c>
      <c r="D34" s="323">
        <v>3000</v>
      </c>
      <c r="E34" s="323">
        <f t="shared" si="3"/>
        <v>35000</v>
      </c>
    </row>
    <row r="35" spans="1:5" ht="15.75" x14ac:dyDescent="0.25">
      <c r="A35" s="322" t="s">
        <v>220</v>
      </c>
      <c r="B35" s="435"/>
      <c r="C35" s="323">
        <v>23000</v>
      </c>
      <c r="D35" s="323">
        <v>12000</v>
      </c>
      <c r="E35" s="323">
        <f t="shared" si="3"/>
        <v>35000</v>
      </c>
    </row>
    <row r="36" spans="1:5" ht="15.75" x14ac:dyDescent="0.25">
      <c r="A36" s="322" t="s">
        <v>163</v>
      </c>
      <c r="B36" s="435"/>
      <c r="C36" s="323">
        <v>22000</v>
      </c>
      <c r="D36" s="323">
        <v>13000</v>
      </c>
      <c r="E36" s="323">
        <f t="shared" si="3"/>
        <v>35000</v>
      </c>
    </row>
    <row r="37" spans="1:5" ht="20.25" customHeight="1" x14ac:dyDescent="0.25">
      <c r="A37" s="269" t="s">
        <v>197</v>
      </c>
      <c r="B37" s="435"/>
      <c r="C37" s="270">
        <v>30000</v>
      </c>
      <c r="D37" s="270">
        <v>2000</v>
      </c>
      <c r="E37" s="270">
        <f t="shared" si="3"/>
        <v>32000</v>
      </c>
    </row>
    <row r="38" spans="1:5" ht="15.75" x14ac:dyDescent="0.25">
      <c r="A38" s="271" t="s">
        <v>187</v>
      </c>
      <c r="B38" s="435"/>
      <c r="C38" s="270">
        <v>29500</v>
      </c>
      <c r="D38" s="270">
        <v>2000</v>
      </c>
      <c r="E38" s="270">
        <f t="shared" si="3"/>
        <v>31500</v>
      </c>
    </row>
    <row r="39" spans="1:5" ht="20.25" customHeight="1" x14ac:dyDescent="0.25">
      <c r="A39" s="269" t="s">
        <v>188</v>
      </c>
      <c r="B39" s="435"/>
      <c r="C39" s="270">
        <v>24500</v>
      </c>
      <c r="D39" s="270">
        <v>2000</v>
      </c>
      <c r="E39" s="270">
        <f t="shared" si="3"/>
        <v>26500</v>
      </c>
    </row>
    <row r="40" spans="1:5" ht="21" customHeight="1" x14ac:dyDescent="0.25">
      <c r="A40" s="269" t="s">
        <v>189</v>
      </c>
      <c r="B40" s="436"/>
      <c r="C40" s="270">
        <v>24500</v>
      </c>
      <c r="D40" s="270">
        <v>2000</v>
      </c>
      <c r="E40" s="270">
        <f t="shared" si="3"/>
        <v>26500</v>
      </c>
    </row>
    <row r="41" spans="1:5" ht="15.75" x14ac:dyDescent="0.25">
      <c r="A41" s="269" t="s">
        <v>176</v>
      </c>
      <c r="B41" s="427">
        <v>45231</v>
      </c>
      <c r="C41" s="270">
        <v>65000</v>
      </c>
      <c r="D41" s="270">
        <v>10000</v>
      </c>
      <c r="E41" s="270">
        <f t="shared" si="3"/>
        <v>75000</v>
      </c>
    </row>
    <row r="42" spans="1:5" ht="15.75" x14ac:dyDescent="0.25">
      <c r="A42" s="269" t="s">
        <v>173</v>
      </c>
      <c r="B42" s="433"/>
      <c r="C42" s="270">
        <v>65000</v>
      </c>
      <c r="D42" s="270">
        <v>15000</v>
      </c>
      <c r="E42" s="270">
        <f t="shared" si="3"/>
        <v>80000</v>
      </c>
    </row>
    <row r="43" spans="1:5" ht="15.75" x14ac:dyDescent="0.25">
      <c r="A43" s="269" t="s">
        <v>224</v>
      </c>
      <c r="B43" s="427">
        <v>45231</v>
      </c>
      <c r="C43" s="270">
        <v>30000</v>
      </c>
      <c r="D43" s="270">
        <v>5000</v>
      </c>
      <c r="E43" s="270">
        <f t="shared" si="3"/>
        <v>35000</v>
      </c>
    </row>
    <row r="44" spans="1:5" ht="12.75" customHeight="1" x14ac:dyDescent="0.25">
      <c r="A44" s="269" t="s">
        <v>225</v>
      </c>
      <c r="B44" s="427"/>
      <c r="C44" s="270">
        <v>27000</v>
      </c>
      <c r="D44" s="270">
        <v>8000</v>
      </c>
      <c r="E44" s="270">
        <f t="shared" si="3"/>
        <v>35000</v>
      </c>
    </row>
    <row r="45" spans="1:5" ht="15.75" x14ac:dyDescent="0.25">
      <c r="A45" s="269" t="s">
        <v>74</v>
      </c>
      <c r="B45" s="427"/>
      <c r="C45" s="270">
        <v>20000</v>
      </c>
      <c r="D45" s="270">
        <v>5000</v>
      </c>
      <c r="E45" s="270">
        <f t="shared" si="3"/>
        <v>25000</v>
      </c>
    </row>
    <row r="46" spans="1:5" ht="15.75" x14ac:dyDescent="0.25">
      <c r="A46" s="269" t="s">
        <v>226</v>
      </c>
      <c r="B46" s="427"/>
      <c r="C46" s="270">
        <v>21000</v>
      </c>
      <c r="D46" s="270">
        <v>6000</v>
      </c>
      <c r="E46" s="270">
        <f t="shared" si="3"/>
        <v>27000</v>
      </c>
    </row>
    <row r="47" spans="1:5" ht="15.75" x14ac:dyDescent="0.25">
      <c r="A47" s="269" t="s">
        <v>190</v>
      </c>
      <c r="B47" s="427"/>
      <c r="C47" s="270">
        <v>22000</v>
      </c>
      <c r="D47" s="270">
        <v>5000</v>
      </c>
      <c r="E47" s="270">
        <f t="shared" si="3"/>
        <v>27000</v>
      </c>
    </row>
  </sheetData>
  <autoFilter ref="A2:E2" xr:uid="{69971A69-1AB5-4F7A-A4C2-73A1E09F711B}"/>
  <mergeCells count="10"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2024-01-06T10:23:48Z</cp:lastPrinted>
  <dcterms:created xsi:type="dcterms:W3CDTF">2007-01-04T05:01:09Z</dcterms:created>
  <dcterms:modified xsi:type="dcterms:W3CDTF">2024-02-02T13:27:07Z</dcterms:modified>
</cp:coreProperties>
</file>