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7"/>
  <workbookPr defaultThemeVersion="124226"/>
  <mc:AlternateContent xmlns:mc="http://schemas.openxmlformats.org/markup-compatibility/2006">
    <mc:Choice Requires="x15">
      <x15ac:absPath xmlns:x15ac="http://schemas.microsoft.com/office/spreadsheetml/2010/11/ac" url="D:\Pioneer\Running projects\Spar DHA Phase-II Karachi\"/>
    </mc:Choice>
  </mc:AlternateContent>
  <xr:revisionPtr revIDLastSave="0" documentId="13_ncr:1_{87E0C7E0-95AA-4F45-9BAE-0573B002F238}" xr6:coauthVersionLast="36" xr6:coauthVersionMax="47" xr10:uidLastSave="{00000000-0000-0000-0000-000000000000}"/>
  <bookViews>
    <workbookView xWindow="-120" yWindow="-120" windowWidth="29040" windowHeight="15840" tabRatio="602" xr2:uid="{00000000-000D-0000-FFFF-FFFF00000000}"/>
  </bookViews>
  <sheets>
    <sheet name="HVAC" sheetId="51" r:id="rId1"/>
    <sheet name="Sheet1" sheetId="52" r:id="rId2"/>
  </sheets>
  <externalReferences>
    <externalReference r:id="rId3"/>
  </externalReferences>
  <definedNames>
    <definedName name="_xlnm._FilterDatabase" localSheetId="0" hidden="1">HVAC!$C$59:$G$70</definedName>
    <definedName name="dlist" localSheetId="0">#REF!</definedName>
    <definedName name="dlist">#REF!</definedName>
    <definedName name="List">[1]Sheet4!$G$4:$G$10</definedName>
    <definedName name="_xlnm.Print_Area" localSheetId="0">HVAC!$A$1:$M$81</definedName>
    <definedName name="_xlnm.Print_Titles" localSheetId="0">HVAC!$1:$9</definedName>
    <definedName name="TO" localSheetId="0">#REF!</definedName>
    <definedName name="TO">#REF!</definedName>
  </definedNames>
  <calcPr calcId="191029" iterate="1"/>
</workbook>
</file>

<file path=xl/calcChain.xml><?xml version="1.0" encoding="utf-8"?>
<calcChain xmlns="http://schemas.openxmlformats.org/spreadsheetml/2006/main">
  <c r="K14" i="51" l="1"/>
  <c r="L14" i="51"/>
  <c r="K15" i="51"/>
  <c r="L15" i="51"/>
  <c r="K16" i="51"/>
  <c r="L16" i="51"/>
  <c r="K17" i="51"/>
  <c r="L17" i="51"/>
  <c r="K18" i="51"/>
  <c r="L18" i="51"/>
  <c r="K19" i="51"/>
  <c r="L19" i="51"/>
  <c r="K20" i="51"/>
  <c r="L20" i="51"/>
  <c r="K21" i="51"/>
  <c r="L21" i="51"/>
  <c r="K22" i="51"/>
  <c r="L22" i="51"/>
  <c r="K23" i="51"/>
  <c r="L23" i="51"/>
  <c r="K24" i="51"/>
  <c r="L24" i="51"/>
  <c r="K25" i="51"/>
  <c r="L25" i="51"/>
  <c r="K26" i="51"/>
  <c r="L26" i="51"/>
  <c r="K27" i="51"/>
  <c r="L27" i="51"/>
  <c r="K28" i="51"/>
  <c r="L28" i="51"/>
  <c r="K29" i="51"/>
  <c r="L29" i="51"/>
  <c r="K30" i="51"/>
  <c r="L30" i="51"/>
  <c r="K31" i="51"/>
  <c r="L31" i="51"/>
  <c r="K32" i="51"/>
  <c r="L32" i="51"/>
  <c r="K33" i="51"/>
  <c r="L33" i="51"/>
  <c r="K34" i="51"/>
  <c r="L34" i="51"/>
  <c r="K35" i="51"/>
  <c r="L35" i="51"/>
  <c r="K36" i="51"/>
  <c r="L36" i="51"/>
  <c r="K37" i="51"/>
  <c r="L37" i="51"/>
  <c r="K38" i="51"/>
  <c r="L38" i="51"/>
  <c r="K39" i="51"/>
  <c r="L39" i="51"/>
  <c r="K40" i="51"/>
  <c r="L40" i="51"/>
  <c r="K41" i="51"/>
  <c r="L41" i="51"/>
  <c r="K42" i="51"/>
  <c r="L42" i="51"/>
  <c r="K43" i="51"/>
  <c r="L43" i="51"/>
  <c r="K44" i="51"/>
  <c r="L44" i="51"/>
  <c r="K45" i="51"/>
  <c r="L45" i="51"/>
  <c r="K46" i="51"/>
  <c r="L46" i="51"/>
  <c r="K47" i="51"/>
  <c r="L47" i="51"/>
  <c r="K48" i="51"/>
  <c r="L48" i="51"/>
  <c r="K49" i="51"/>
  <c r="L49" i="51"/>
  <c r="K50" i="51"/>
  <c r="L50" i="51"/>
  <c r="K51" i="51"/>
  <c r="L51" i="51"/>
  <c r="K52" i="51"/>
  <c r="L52" i="51"/>
  <c r="K53" i="51"/>
  <c r="L53" i="51"/>
  <c r="K54" i="51"/>
  <c r="L54" i="51"/>
  <c r="K55" i="51"/>
  <c r="L55" i="51"/>
  <c r="K56" i="51"/>
  <c r="L56" i="51"/>
  <c r="K57" i="51"/>
  <c r="L57" i="51"/>
  <c r="K58" i="51"/>
  <c r="L58" i="51"/>
  <c r="K59" i="51"/>
  <c r="L59" i="51"/>
  <c r="K60" i="51"/>
  <c r="L60" i="51"/>
  <c r="K61" i="51"/>
  <c r="L61" i="51"/>
  <c r="K62" i="51"/>
  <c r="L62" i="51"/>
  <c r="K63" i="51"/>
  <c r="L63" i="51"/>
  <c r="K64" i="51"/>
  <c r="L64" i="51"/>
  <c r="K65" i="51"/>
  <c r="L65" i="51"/>
  <c r="K66" i="51"/>
  <c r="L66" i="51"/>
  <c r="K67" i="51"/>
  <c r="L67" i="51"/>
  <c r="K68" i="51"/>
  <c r="L68" i="51"/>
  <c r="K69" i="51"/>
  <c r="L69" i="51"/>
  <c r="K70" i="51"/>
  <c r="L70" i="51"/>
  <c r="K71" i="51"/>
  <c r="L71" i="51"/>
  <c r="K72" i="51"/>
  <c r="L72" i="51"/>
  <c r="K73" i="51"/>
  <c r="L73" i="51"/>
  <c r="K74" i="51"/>
  <c r="L74" i="51"/>
  <c r="K75" i="51"/>
  <c r="L75" i="51"/>
  <c r="K76" i="51"/>
  <c r="L76" i="51"/>
  <c r="K77" i="51"/>
  <c r="L77" i="51"/>
  <c r="K78" i="51"/>
  <c r="L78" i="51"/>
  <c r="K79" i="51"/>
  <c r="L79" i="51"/>
  <c r="K80" i="51"/>
  <c r="L80" i="51"/>
  <c r="L13" i="51"/>
  <c r="K13" i="51"/>
  <c r="J14" i="51"/>
  <c r="J15" i="51"/>
  <c r="J16" i="51"/>
  <c r="J17" i="51"/>
  <c r="J18" i="51"/>
  <c r="J19" i="51"/>
  <c r="J20" i="51"/>
  <c r="J21" i="51"/>
  <c r="J22" i="51"/>
  <c r="J23" i="51"/>
  <c r="J24" i="51"/>
  <c r="J25" i="51"/>
  <c r="J26" i="51"/>
  <c r="J27" i="51"/>
  <c r="J28" i="51"/>
  <c r="J29" i="51"/>
  <c r="J30" i="51"/>
  <c r="J31" i="51"/>
  <c r="J32" i="51"/>
  <c r="J33" i="51"/>
  <c r="J34" i="51"/>
  <c r="J35" i="51"/>
  <c r="J36" i="51"/>
  <c r="J37" i="51"/>
  <c r="J38" i="51"/>
  <c r="J39" i="51"/>
  <c r="J40" i="51"/>
  <c r="J41" i="51"/>
  <c r="J42" i="51"/>
  <c r="J43" i="51"/>
  <c r="J44" i="51"/>
  <c r="J45" i="51"/>
  <c r="J46" i="51"/>
  <c r="J47" i="51"/>
  <c r="J48" i="51"/>
  <c r="J49" i="51"/>
  <c r="J50" i="51"/>
  <c r="J51" i="51"/>
  <c r="J52" i="51"/>
  <c r="J53" i="51"/>
  <c r="J54" i="51"/>
  <c r="J55" i="51"/>
  <c r="J56" i="51"/>
  <c r="J57" i="51"/>
  <c r="J58" i="51"/>
  <c r="J59" i="51"/>
  <c r="J60" i="51"/>
  <c r="J61" i="51"/>
  <c r="J62" i="51"/>
  <c r="J63" i="51"/>
  <c r="J64" i="51"/>
  <c r="J65" i="51"/>
  <c r="J66" i="51"/>
  <c r="J67" i="51"/>
  <c r="J68" i="51"/>
  <c r="J69" i="51"/>
  <c r="J70" i="51"/>
  <c r="J71" i="51"/>
  <c r="J72" i="51"/>
  <c r="J73" i="51"/>
  <c r="J74" i="51"/>
  <c r="J75" i="51"/>
  <c r="J76" i="51"/>
  <c r="J77" i="51"/>
  <c r="J78" i="51"/>
  <c r="J79" i="51"/>
  <c r="J80" i="51"/>
  <c r="J13" i="51"/>
  <c r="H26" i="51" l="1"/>
  <c r="H29" i="51"/>
  <c r="H30" i="51"/>
  <c r="H28" i="51"/>
  <c r="D12" i="52" l="1"/>
  <c r="F25" i="52" l="1"/>
  <c r="F23" i="52"/>
  <c r="F19" i="52"/>
  <c r="F18" i="52"/>
  <c r="F17" i="52"/>
  <c r="F16" i="52"/>
  <c r="F15" i="52"/>
  <c r="F14" i="52"/>
  <c r="F13" i="52"/>
  <c r="F12" i="52"/>
  <c r="F22" i="52" s="1"/>
  <c r="F26" i="52" s="1"/>
  <c r="F11" i="52"/>
  <c r="F10" i="52"/>
  <c r="F9" i="52"/>
  <c r="F8" i="52"/>
  <c r="F7" i="52"/>
  <c r="F6" i="52"/>
  <c r="D15" i="52"/>
  <c r="D18" i="52"/>
  <c r="D14" i="52"/>
  <c r="D16" i="52"/>
  <c r="D19" i="52"/>
  <c r="D6" i="52"/>
  <c r="E18" i="52"/>
  <c r="E17" i="52"/>
  <c r="E16" i="52"/>
  <c r="E15" i="52"/>
  <c r="E14" i="52"/>
  <c r="L16" i="52" l="1"/>
  <c r="J38" i="52"/>
  <c r="H64" i="51" l="1"/>
  <c r="H41" i="51"/>
  <c r="H33" i="51"/>
  <c r="H31" i="51"/>
  <c r="M79" i="51" l="1"/>
  <c r="M78" i="51"/>
  <c r="M77" i="51"/>
  <c r="M76" i="51"/>
  <c r="M75" i="51"/>
  <c r="M73" i="51"/>
  <c r="M72" i="51"/>
  <c r="M71" i="51"/>
  <c r="M70" i="51"/>
  <c r="M69" i="51"/>
  <c r="M65" i="51"/>
  <c r="M62" i="51"/>
  <c r="M60" i="51"/>
  <c r="M55" i="51"/>
  <c r="M54" i="51"/>
  <c r="M53" i="51"/>
  <c r="M52" i="51"/>
  <c r="M51" i="51"/>
  <c r="M50" i="51"/>
  <c r="M49" i="51"/>
  <c r="M46" i="51"/>
  <c r="M43" i="51"/>
  <c r="M39" i="51"/>
  <c r="M37" i="51"/>
  <c r="M36" i="51"/>
  <c r="M34" i="51"/>
  <c r="M33" i="51"/>
  <c r="M32" i="51"/>
  <c r="M31" i="51"/>
  <c r="M30" i="51"/>
  <c r="M29" i="51"/>
  <c r="M28" i="51"/>
  <c r="M27" i="51"/>
  <c r="M26" i="51"/>
  <c r="M25" i="51"/>
  <c r="M22" i="51"/>
  <c r="M19" i="51"/>
  <c r="M18" i="51"/>
  <c r="M15" i="51"/>
  <c r="M14" i="51"/>
  <c r="M13" i="51"/>
  <c r="M59" i="51" l="1"/>
  <c r="M17" i="51"/>
  <c r="M16" i="51"/>
  <c r="M81" i="51" s="1"/>
  <c r="M80" i="51"/>
  <c r="M68" i="51"/>
  <c r="M67" i="51"/>
  <c r="M66" i="51"/>
  <c r="M64" i="51"/>
  <c r="M61" i="51"/>
  <c r="M58" i="51"/>
  <c r="M57" i="51"/>
  <c r="M56" i="51"/>
  <c r="M48" i="51"/>
  <c r="M44" i="51"/>
  <c r="M42" i="51"/>
  <c r="M41" i="51"/>
  <c r="M38" i="51"/>
  <c r="K81" i="51"/>
  <c r="M21" i="51"/>
  <c r="L81" i="51"/>
  <c r="E60" i="51" l="1"/>
  <c r="E64" i="51" l="1"/>
  <c r="E30" i="51" l="1"/>
  <c r="E26" i="51"/>
  <c r="A20" i="51" l="1"/>
  <c r="B21" i="51" s="1"/>
  <c r="B22" i="51" s="1"/>
  <c r="A23" i="51" l="1"/>
  <c r="A38" i="51" s="1"/>
  <c r="A39" i="51" s="1"/>
  <c r="A40" i="51" l="1"/>
  <c r="B41" i="51" s="1"/>
  <c r="B42" i="51" s="1"/>
  <c r="B43" i="51" s="1"/>
  <c r="B44" i="51" s="1"/>
  <c r="B13" i="51"/>
  <c r="B14" i="51" s="1"/>
  <c r="B15" i="51" s="1"/>
  <c r="B16" i="51" s="1"/>
  <c r="B17" i="51" s="1"/>
  <c r="B18" i="51" s="1"/>
  <c r="B19" i="51" s="1"/>
  <c r="A45" i="51" l="1"/>
  <c r="B25" i="51"/>
  <c r="B26" i="51" s="1"/>
  <c r="B27" i="51" s="1"/>
  <c r="B28" i="51" s="1"/>
  <c r="B29" i="51" s="1"/>
  <c r="B30" i="51" s="1"/>
  <c r="B31" i="51" s="1"/>
  <c r="B32" i="51" s="1"/>
  <c r="B33" i="51" s="1"/>
  <c r="B34" i="51" s="1"/>
  <c r="B36" i="51" s="1"/>
  <c r="B37" i="51" s="1"/>
  <c r="A47" i="51" l="1"/>
  <c r="A55" i="51" s="1"/>
  <c r="A56" i="51" s="1"/>
  <c r="A57" i="51" s="1"/>
  <c r="A58" i="51" s="1"/>
  <c r="B46" i="51"/>
  <c r="A59" i="51" l="1"/>
  <c r="A60" i="51" s="1"/>
  <c r="A61" i="51" s="1"/>
  <c r="A62" i="51" s="1"/>
  <c r="B48" i="51"/>
  <c r="B49" i="51" s="1"/>
  <c r="B50" i="51" s="1"/>
  <c r="B51" i="51" s="1"/>
  <c r="B52" i="51" s="1"/>
  <c r="B53" i="51" s="1"/>
  <c r="B54" i="51" s="1"/>
  <c r="A63" i="51" l="1"/>
  <c r="A68" i="51" s="1"/>
  <c r="B64" i="51" l="1"/>
  <c r="B65" i="51" s="1"/>
  <c r="B66" i="51" s="1"/>
  <c r="B67" i="51" s="1"/>
  <c r="A69" i="51"/>
  <c r="A70" i="51" s="1"/>
  <c r="A71" i="51" s="1"/>
  <c r="A72" i="51" l="1"/>
  <c r="A73" i="51" s="1"/>
  <c r="A74" i="51" s="1"/>
  <c r="B75" i="51" l="1"/>
  <c r="B76" i="51" s="1"/>
  <c r="A77" i="51"/>
  <c r="A78" i="51" s="1"/>
  <c r="A79" i="51" s="1"/>
  <c r="A80" i="51" s="1"/>
</calcChain>
</file>

<file path=xl/sharedStrings.xml><?xml version="1.0" encoding="utf-8"?>
<sst xmlns="http://schemas.openxmlformats.org/spreadsheetml/2006/main" count="193" uniqueCount="113">
  <si>
    <t>DESCRIPTION</t>
  </si>
  <si>
    <t>UNIT</t>
  </si>
  <si>
    <t>QTY</t>
  </si>
  <si>
    <t>RATE</t>
  </si>
  <si>
    <t>Job.</t>
  </si>
  <si>
    <t>Nos.</t>
  </si>
  <si>
    <t>MATERIAL</t>
  </si>
  <si>
    <t>LABOUR</t>
  </si>
  <si>
    <t>Lot</t>
  </si>
  <si>
    <t>Set</t>
  </si>
  <si>
    <t>No.</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</si>
  <si>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</si>
  <si>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 No.</t>
  </si>
  <si>
    <t>Supply &amp; installation of aluminum fabricated powder coated exhaust &amp; fresh Air louvers including wooden frame, rain protection sheet bird mesh etc complete in all respects ready to operate as per specification, drawings and as per instruction of consultant.</t>
  </si>
  <si>
    <t>Supply &amp; installation of air curtains including, supports, electrical connection etc, complete in all respects ready to operate as per drawings, specification &amp; as per instruction of consultant.</t>
  </si>
  <si>
    <t>Supply &amp; installation of 18 SWG powder quoted G.I. sheet metal tray with cover for refrigerant pipes and control wiring exposed to weather area and for main hall internal area complete in all respects including hangers, supports brackets complete in all respects ready to operate as per specification, drawings and as per instruction of consultant.</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</si>
  <si>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</si>
  <si>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1/4" dia</t>
  </si>
  <si>
    <t>3/8" dia</t>
  </si>
  <si>
    <t>1/2" dia</t>
  </si>
  <si>
    <t>5/8" dia</t>
  </si>
  <si>
    <t>3/4" dia</t>
  </si>
  <si>
    <t>7/8" dia</t>
  </si>
  <si>
    <t>Rft</t>
  </si>
  <si>
    <t>Sqft</t>
  </si>
  <si>
    <t>Sqin</t>
  </si>
  <si>
    <t>1 5/8" dia (also for 1-1/2")</t>
  </si>
  <si>
    <t>1 3/8" dia (also for 1-1/4")</t>
  </si>
  <si>
    <t>2 1/8" dia (also for 1-3/4")</t>
  </si>
  <si>
    <t>Rev.00</t>
  </si>
  <si>
    <t>All works shall be completed, tested and commissioned as per drawings, specifications and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</si>
  <si>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</si>
  <si>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r>
      <t xml:space="preserve">Unloading, rigging, lifting, placement, installation, testing and commissioning of </t>
    </r>
    <r>
      <rPr>
        <b/>
        <sz val="10"/>
        <rFont val="Arial"/>
        <family val="2"/>
      </rPr>
      <t>(OWNER SUPPLIED)</t>
    </r>
    <r>
      <rPr>
        <sz val="10"/>
        <rFont val="Arial"/>
        <family val="2"/>
      </rPr>
      <t xml:space="preserve"> VRF / VRV air conditioning units with multiple indoor evaporative units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r>
  </si>
  <si>
    <r>
      <t xml:space="preserve">Unloading, installation, testing and commissioning of </t>
    </r>
    <r>
      <rPr>
        <b/>
        <sz val="10"/>
        <rFont val="Arial"/>
        <family val="2"/>
      </rPr>
      <t>(OWNER SUPPLIED)</t>
    </r>
    <r>
      <rPr>
        <sz val="10"/>
        <rFont val="Arial"/>
        <family val="2"/>
      </rPr>
      <t xml:space="preserve"> single split  units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</si>
  <si>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t>ACMV Works</t>
  </si>
  <si>
    <t>A</t>
  </si>
  <si>
    <t>All hard pipes except 1/4"</t>
  </si>
  <si>
    <r>
      <t xml:space="preserve">Supply &amp; installation of refrigerant pipes for all units (liquid + gas) with 1/2" thick expended close cell rubber foam insulation, PVC tape wrapping including additional gas charging if required and installation of branch distributor (supplied with VRF / VRV units) complete in all respects ready to operate as per specification, drawings and as per instruction of consultant. 
</t>
    </r>
    <r>
      <rPr>
        <b/>
        <sz val="10"/>
        <rFont val="Arial"/>
        <family val="2"/>
      </rPr>
      <t>(VRF / VRV Units copper pipes sizes &amp; quantities shall be vary according to the equipment brand / selection)</t>
    </r>
  </si>
  <si>
    <t>B</t>
  </si>
  <si>
    <t>Supply &amp; installation of control wiring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</si>
  <si>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Supply &amp; installation of uPVC make class D SCH-40 pipe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</si>
  <si>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1" dia</t>
  </si>
  <si>
    <t>1.25" dia</t>
  </si>
  <si>
    <t>1.5" dia</t>
  </si>
  <si>
    <t>2" dia</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</si>
  <si>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</si>
  <si>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Supply, fabrication and installation of epoxy painted M.S sheet metal welded duct of (18 Gauge) for condensing units exhaust air, complete in all respects including all changes in direction, transformation, plenums chambers, connection pecs of hood round to square, supports &amp; hangers etc. complete in all respects ready to operate as per drawings, specification, instruction and approval of consultant.</t>
  </si>
  <si>
    <t>5 Feet length</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</si>
  <si>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</si>
  <si>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t>Rate only</t>
  </si>
  <si>
    <t>Grills</t>
  </si>
  <si>
    <t>Registers / Diffuser with Damper</t>
  </si>
  <si>
    <t>DHA, Karachi</t>
  </si>
  <si>
    <t>GF-FACU-01 (03 Indoors + 1 Outdoor Condensing Unit
Consisted of Different Modules)</t>
  </si>
  <si>
    <t>CU-01 (1-2) (07 Indoors + 1 Outdoor Condensing Unit
Consisted of Different Modules)</t>
  </si>
  <si>
    <t>CU-01 (2-2) (08 Indoors + 1 Outdoor Condensing Unit
Consisted of Different Modules)</t>
  </si>
  <si>
    <t>CU-02 (2-2) (08 Indoors + 1 Outdoor Condensing Unit
Consisted of Different Modules)</t>
  </si>
  <si>
    <t>CU-02 (1-2) (08 Indoors + 1 Outdoor Condensing Unit
Consisted of Different Modules)</t>
  </si>
  <si>
    <t>CU-03 (1-2) (13 Indoors + 1 Outdoor Condensing Unit
Consisted of Different Modules)</t>
  </si>
  <si>
    <t>CU-03 (2-2) (12 Indoors + 1 Outdoor Condensing Unit
Consisted of Different Modules)</t>
  </si>
  <si>
    <t>AC-01</t>
  </si>
  <si>
    <t>FS-01</t>
  </si>
  <si>
    <t>EAF-01</t>
  </si>
  <si>
    <t>EAF-02</t>
  </si>
  <si>
    <t>EAF-03</t>
  </si>
  <si>
    <t>EAF-04</t>
  </si>
  <si>
    <t>FAF-01</t>
  </si>
  <si>
    <t>1 1/8" dia (also for 1")</t>
  </si>
  <si>
    <t>Soft pipes for wall mounted single split unit only</t>
  </si>
  <si>
    <t>SPAR SUPERMARKET</t>
  </si>
  <si>
    <t>Supply, installation, testing and commissioning of ventilation fans as per mentioned in schedule, including supply &amp; installation of vibration isolator, flexible duct connection / connector, support &amp; hangers, power wiring from isolation box to unit (10' to 15' radius) etc, complete in all respects ready to operate as per drawings, specification and as per instruction of consultant.</t>
  </si>
  <si>
    <t>Supply &amp; installation of acoustical duct sound liner adhesive with aluminum facing 1/2" thick in supply air duct complete in all respects ready to operate as per specification, drawings and as per instruction of Consultant.</t>
  </si>
  <si>
    <t>Supply, fabrication and installation of M.S sheet metal welded duct of 2.0 mm (16 Gauge) thickness for kitchen exhasut duct, complete in all respects including 300x150mm access doors at all changes in direction, transformation, plenums chambers, connection pecs of hood round to square, supports &amp; hangers etc. complete in all respects ready to operate as per drawings, specification, instruction of consultant..</t>
  </si>
  <si>
    <t>Supply, fabrication and installation of 2" thick rockwool (double layar) insulation of 50kg/m3  density with wire mesh reinforcement over M.S sheet metal ducts of kitchen exhaust air duct, complete in all respects ready to operate as per drawings, specification, instruction of consultant.</t>
  </si>
  <si>
    <t>Supply, fabrication and installation of 26 SWG gauge G.I. cladding for over rockwool insulation etc. complete in all respects ready to operate as per drawings, specification, instruction of consultant.</t>
  </si>
  <si>
    <t>S.S Mesh with G.I Frame</t>
  </si>
  <si>
    <t>20" x 22"</t>
  </si>
  <si>
    <t>50" x 10"</t>
  </si>
  <si>
    <t>Supply, fabrication and installation of machine made G.I sheet metal duct different  sections supply, return, fresh &amp; exhaust air  including plenums, splitter dampers, guide vanes, flexible duct connector/connection, access door, transformation, plenums chambers, wooden frame, anchors supports &amp; hangers complete in all respects ready to operate as per drawings, specification, instruction of consultant.</t>
  </si>
  <si>
    <r>
      <t xml:space="preserve">Supply &amp; installation of 3/4" thick 25kg/m3 density rubber foam (XLPE) adhesive insulation with aluminum foil </t>
    </r>
    <r>
      <rPr>
        <b/>
        <sz val="10"/>
        <rFont val="Arial"/>
        <family val="2"/>
      </rPr>
      <t>for condition area fresh air ducts only</t>
    </r>
    <r>
      <rPr>
        <sz val="10"/>
        <rFont val="Arial"/>
        <family val="2"/>
      </rPr>
      <t>, complete in all respects ready to operate as per specification, drawings and as per instruction of consultant.</t>
    </r>
  </si>
  <si>
    <t>Supply &amp; installation of Volume Control Damper in 16 SWG G.I sheet metal with gas kits, nut bolts, complete in all respects ready to operate as per specification, drawings and as per instruction of Consultant.</t>
  </si>
  <si>
    <t>Integration of smoke control system using I/O modules with the fire alarm control panel of building with fire resistant wiring &amp; fixing accessories, complete in all respects, ready to operate as per drawings, specification and instruction of consultant.</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</si>
  <si>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</si>
  <si>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</si>
  <si>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t>Supply, installation of motorized damper with gas kits, nut bolts, including pressure transmeter, controller &amp; control wiring, complete in all respects, ready to operate as per specification, drawings &amp; as per instruction of consultant.</t>
  </si>
  <si>
    <t>SEF-01</t>
  </si>
  <si>
    <t>FAF-02</t>
  </si>
  <si>
    <t>Exhaust Air Disc Valves 6" dia</t>
  </si>
  <si>
    <t>Supply &amp; installation of 6" dia flexible duct including hangers, jubilee clamp complete in all respects as per specification, drawings &amp; as per instruction of consultant.</t>
  </si>
  <si>
    <t>Supply &amp; installation of 6" dia butterfly damper for above flexible duct with gas kits, nut bolts, complete in all respects, ready to operate as per specification, drawings &amp; as per instruction of consultant.</t>
  </si>
  <si>
    <t>Bill of Quantities</t>
  </si>
  <si>
    <t>Date: 12-08-2024</t>
  </si>
  <si>
    <t>Total Cost of Works with I. Tax Rs.</t>
  </si>
  <si>
    <t>Material Amount</t>
  </si>
  <si>
    <t>Labour Amount</t>
  </si>
  <si>
    <t>Total Amount</t>
  </si>
  <si>
    <t>Ducting</t>
  </si>
  <si>
    <t xml:space="preserve">Copper Tube </t>
  </si>
  <si>
    <t>1/4"</t>
  </si>
  <si>
    <t>Coil</t>
  </si>
  <si>
    <t>3/8"</t>
  </si>
  <si>
    <t>1/2"</t>
  </si>
  <si>
    <t>Copper pipe L type</t>
  </si>
  <si>
    <t>5/8"</t>
  </si>
  <si>
    <t>3/4"</t>
  </si>
  <si>
    <t>1-1/8"</t>
  </si>
  <si>
    <t>1-3/8"</t>
  </si>
  <si>
    <t>1-5/8"</t>
  </si>
  <si>
    <t>7/8"</t>
  </si>
  <si>
    <t>Running Bill No 2</t>
  </si>
  <si>
    <t>Prv Qty</t>
  </si>
  <si>
    <t>Current Qty</t>
  </si>
  <si>
    <t>Total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</si>
</sst>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General_)"/>
    <numFmt numFmtId="166" formatCode="#,##0.0"/>
    <numFmt numFmtId="167" formatCode="_-* #,##0_-;\-* #,##0_-;_-* &quot;-&quot;??_-;_-@_-"/>
  </numFmts>
  <fonts count="15" x14ac:knownFonts="1">
    <font>
      <sz val="11"/>
      <name val="Arial"/>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i/>
      <sz val="10"/>
      <name val="Arial"/>
      <family val="2"/>
    </font>
    <font>
      <sz val="9"/>
      <name val="Arial"/>
      <family val="2"/>
    </font>
    <font>
      <b/>
      <sz val="10"/>
      <name val="Arial"/>
      <family val="2"/>
    </font>
    <font>
      <sz val="11"/>
      <name val="Arial"/>
      <family val="2"/>
    </font>
    <font>
      <sz val="12"/>
      <name val="Times New Roman"/>
      <family val="1"/>
    </font>
    <font>
      <sz val="10"/>
      <color theme="1"/>
      <name val="Arial"/>
      <family val="2"/>
    </font>
    <font>
      <sz val="11"/>
      <name val="Arial"/>
      <family val="2"/>
    </font>
    <font>
      <b/>
      <sz val="14"/>
      <name val="Arial"/>
      <family val="2"/>
    </font>
  </fonts>
  <fills count="2">
    <fill>
      <patternFill patternType="none"/>
    </fill>
    <fill>
      <patternFill patternType="gray125"/>
    </fill>
  </fills>
  <borders count="59">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right style="thin">
        <color indexed="64"/>
      </right>
      <top/>
      <bottom/>
      <diagonal/>
    </border>
    <border>
      <left style="medium">
        <color indexed="64"/>
      </left>
      <right/>
      <top/>
      <bottom/>
      <diagonal/>
    </border>
    <border>
      <left style="thin">
        <color indexed="64"/>
      </left>
      <right style="thin">
        <color indexed="64"/>
      </right>
      <top style="double">
        <color indexed="64"/>
      </top>
      <bottom style="medium">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top style="double">
        <color indexed="64"/>
      </top>
      <bottom style="medium">
        <color indexed="64"/>
      </bottom>
      <diagonal/>
    </border>
    <border>
      <left style="medium">
        <color indexed="64"/>
      </left>
      <right/>
      <top/>
      <bottom style="double">
        <color indexed="64"/>
      </bottom>
      <diagonal/>
    </border>
    <border>
      <left/>
      <right style="thin">
        <color indexed="64"/>
      </right>
      <top/>
      <bottom style="double">
        <color indexed="64"/>
      </bottom>
      <diagonal/>
    </border>
    <border>
      <left/>
      <right/>
      <top style="medium">
        <color indexed="64"/>
      </top>
      <bottom/>
      <diagonal/>
    </border>
    <border>
      <left style="medium">
        <color indexed="64"/>
      </left>
      <right style="hair">
        <color indexed="64"/>
      </right>
      <top style="double">
        <color indexed="64"/>
      </top>
      <bottom/>
      <diagonal/>
    </border>
    <border>
      <left style="medium">
        <color indexed="64"/>
      </left>
      <right style="hair">
        <color indexed="64"/>
      </right>
      <top/>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diagonal/>
    </border>
    <border>
      <left style="medium">
        <color indexed="64"/>
      </left>
      <right style="hair">
        <color indexed="64"/>
      </right>
      <top style="double">
        <color indexed="64"/>
      </top>
      <bottom style="medium">
        <color indexed="64"/>
      </bottom>
      <diagonal/>
    </border>
    <border>
      <left style="thin">
        <color indexed="64"/>
      </left>
      <right style="hair">
        <color indexed="64"/>
      </right>
      <top style="medium">
        <color indexed="64"/>
      </top>
      <bottom style="double">
        <color indexed="64"/>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double">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right style="hair">
        <color indexed="64"/>
      </right>
      <top style="medium">
        <color indexed="64"/>
      </top>
      <bottom style="double">
        <color indexed="64"/>
      </bottom>
      <diagonal/>
    </border>
    <border>
      <left style="thin">
        <color indexed="64"/>
      </left>
      <right style="thin">
        <color indexed="64"/>
      </right>
      <top/>
      <bottom style="thin">
        <color indexed="64"/>
      </bottom>
      <diagonal/>
    </border>
    <border>
      <left/>
      <right style="hair">
        <color indexed="64"/>
      </right>
      <top/>
      <bottom style="medium">
        <color indexed="64"/>
      </bottom>
      <diagonal/>
    </border>
    <border>
      <left style="thin">
        <color indexed="64"/>
      </left>
      <right style="hair">
        <color indexed="64"/>
      </right>
      <top/>
      <bottom style="medium">
        <color indexed="64"/>
      </bottom>
      <diagonal/>
    </border>
    <border>
      <left style="thin">
        <color indexed="64"/>
      </left>
      <right style="thin">
        <color indexed="64"/>
      </right>
      <top style="thin">
        <color indexed="64"/>
      </top>
      <bottom/>
      <diagonal/>
    </border>
  </borders>
  <cellStyleXfs count="14">
    <xf numFmtId="0" fontId="0" fillId="0" borderId="0"/>
    <xf numFmtId="164" fontId="4" fillId="0" borderId="0" applyFont="0" applyFill="0" applyBorder="0" applyAlignment="0" applyProtection="0"/>
    <xf numFmtId="164" fontId="4" fillId="0" borderId="0" applyFont="0" applyFill="0" applyBorder="0" applyAlignment="0" applyProtection="0"/>
    <xf numFmtId="0" fontId="4" fillId="0" borderId="0"/>
    <xf numFmtId="0" fontId="1" fillId="0" borderId="0"/>
    <xf numFmtId="9" fontId="4" fillId="0" borderId="0" applyFont="0" applyFill="0" applyBorder="0" applyAlignment="0" applyProtection="0"/>
    <xf numFmtId="0" fontId="4" fillId="0" borderId="0"/>
    <xf numFmtId="0" fontId="1" fillId="0" borderId="0"/>
    <xf numFmtId="0" fontId="1" fillId="0" borderId="0"/>
    <xf numFmtId="164" fontId="1" fillId="0" borderId="0" applyFont="0" applyFill="0" applyBorder="0" applyAlignment="0" applyProtection="0"/>
    <xf numFmtId="9" fontId="10" fillId="0" borderId="0" applyFont="0" applyFill="0" applyBorder="0" applyAlignment="0" applyProtection="0"/>
    <xf numFmtId="164" fontId="11" fillId="0" borderId="0" applyFont="0" applyFill="0" applyBorder="0" applyAlignment="0" applyProtection="0"/>
    <xf numFmtId="0" fontId="2" fillId="0" borderId="0">
      <alignment vertical="center"/>
    </xf>
    <xf numFmtId="43" fontId="13" fillId="0" borderId="0" applyFont="0" applyFill="0" applyBorder="0" applyAlignment="0" applyProtection="0"/>
  </cellStyleXfs>
  <cellXfs count="224">
    <xf numFmtId="0" fontId="0" fillId="0" borderId="0" xfId="0"/>
    <xf numFmtId="0" fontId="1" fillId="0" borderId="1" xfId="3" applyFont="1" applyBorder="1" applyAlignment="1">
      <alignment horizontal="center"/>
    </xf>
    <xf numFmtId="0" fontId="1" fillId="0" borderId="0" xfId="3" applyFont="1"/>
    <xf numFmtId="0" fontId="1" fillId="0" borderId="0" xfId="3" applyFont="1" applyAlignment="1">
      <alignment vertical="center"/>
    </xf>
    <xf numFmtId="165" fontId="1" fillId="0" borderId="2" xfId="3" applyNumberFormat="1" applyFont="1" applyBorder="1" applyAlignment="1">
      <alignment horizontal="center" vertical="center"/>
    </xf>
    <xf numFmtId="165" fontId="2" fillId="0" borderId="0" xfId="3" applyNumberFormat="1" applyFont="1" applyAlignment="1">
      <alignment horizontal="left" vertical="center"/>
    </xf>
    <xf numFmtId="0" fontId="1" fillId="0" borderId="2" xfId="3" applyFont="1" applyBorder="1" applyAlignment="1">
      <alignment horizontal="center" vertical="center"/>
    </xf>
    <xf numFmtId="0" fontId="1" fillId="0" borderId="5" xfId="3" applyFont="1" applyBorder="1" applyAlignment="1">
      <alignment horizontal="justify" vertical="top"/>
    </xf>
    <xf numFmtId="3" fontId="3" fillId="0" borderId="0" xfId="3" applyNumberFormat="1" applyFont="1" applyAlignment="1">
      <alignment horizontal="center" vertical="center"/>
    </xf>
    <xf numFmtId="3" fontId="4" fillId="0" borderId="0" xfId="3" applyNumberFormat="1" applyAlignment="1">
      <alignment horizontal="center"/>
    </xf>
    <xf numFmtId="0" fontId="1" fillId="0" borderId="16" xfId="3" applyFont="1" applyBorder="1" applyAlignment="1">
      <alignment horizontal="center" vertical="center"/>
    </xf>
    <xf numFmtId="0" fontId="1" fillId="0" borderId="16" xfId="3" quotePrefix="1" applyFont="1" applyBorder="1" applyAlignment="1">
      <alignment horizontal="center" vertical="top"/>
    </xf>
    <xf numFmtId="165" fontId="1" fillId="0" borderId="16" xfId="3" applyNumberFormat="1" applyFont="1" applyBorder="1" applyAlignment="1">
      <alignment horizontal="center" vertical="top"/>
    </xf>
    <xf numFmtId="0" fontId="1" fillId="0" borderId="4" xfId="3" applyFont="1" applyBorder="1" applyAlignment="1">
      <alignment horizontal="center"/>
    </xf>
    <xf numFmtId="3" fontId="1" fillId="0" borderId="11" xfId="3" applyNumberFormat="1" applyFont="1" applyBorder="1"/>
    <xf numFmtId="3" fontId="1" fillId="0" borderId="8" xfId="3" applyNumberFormat="1" applyFont="1" applyBorder="1"/>
    <xf numFmtId="3" fontId="1" fillId="0" borderId="5" xfId="3" applyNumberFormat="1" applyFont="1" applyBorder="1" applyAlignment="1">
      <alignment horizontal="center"/>
    </xf>
    <xf numFmtId="3" fontId="1" fillId="0" borderId="6" xfId="3" applyNumberFormat="1" applyFont="1" applyBorder="1" applyAlignment="1">
      <alignment horizontal="center" vertical="center"/>
    </xf>
    <xf numFmtId="3" fontId="1" fillId="0" borderId="7" xfId="3" applyNumberFormat="1" applyFont="1" applyBorder="1" applyAlignment="1">
      <alignment horizontal="center" vertical="center"/>
    </xf>
    <xf numFmtId="3" fontId="1" fillId="0" borderId="9" xfId="3" applyNumberFormat="1" applyFont="1" applyBorder="1" applyAlignment="1">
      <alignment horizontal="center"/>
    </xf>
    <xf numFmtId="165" fontId="6" fillId="0" borderId="0" xfId="3" applyNumberFormat="1" applyFont="1" applyAlignment="1">
      <alignment horizontal="left" vertical="center"/>
    </xf>
    <xf numFmtId="0" fontId="2" fillId="0" borderId="0" xfId="3" applyFont="1" applyAlignment="1">
      <alignment vertical="center"/>
    </xf>
    <xf numFmtId="0" fontId="3" fillId="0" borderId="0" xfId="3" applyFont="1" applyAlignment="1">
      <alignment horizontal="center" vertical="center"/>
    </xf>
    <xf numFmtId="3" fontId="4" fillId="0" borderId="0" xfId="3" applyNumberFormat="1" applyAlignment="1">
      <alignment vertical="center"/>
    </xf>
    <xf numFmtId="3" fontId="1" fillId="0" borderId="0" xfId="3" applyNumberFormat="1" applyFont="1" applyAlignment="1">
      <alignment vertical="center"/>
    </xf>
    <xf numFmtId="0" fontId="4" fillId="0" borderId="0" xfId="3" applyAlignment="1">
      <alignment vertical="center"/>
    </xf>
    <xf numFmtId="0" fontId="5" fillId="0" borderId="0" xfId="3" applyFont="1" applyAlignment="1">
      <alignment vertical="center"/>
    </xf>
    <xf numFmtId="0" fontId="1" fillId="0" borderId="16" xfId="3" applyFont="1" applyBorder="1" applyAlignment="1">
      <alignment horizontal="center"/>
    </xf>
    <xf numFmtId="0" fontId="4" fillId="0" borderId="0" xfId="3"/>
    <xf numFmtId="0" fontId="4" fillId="0" borderId="0" xfId="3" applyAlignment="1">
      <alignment horizontal="center"/>
    </xf>
    <xf numFmtId="3" fontId="4" fillId="0" borderId="0" xfId="3" applyNumberFormat="1"/>
    <xf numFmtId="0" fontId="8" fillId="0" borderId="15" xfId="3" applyFont="1" applyBorder="1" applyAlignment="1">
      <alignment horizontal="left" vertical="center"/>
    </xf>
    <xf numFmtId="0" fontId="1" fillId="0" borderId="16" xfId="3" quotePrefix="1" applyFont="1" applyBorder="1" applyAlignment="1">
      <alignment horizontal="center" vertical="center"/>
    </xf>
    <xf numFmtId="165" fontId="1" fillId="0" borderId="2" xfId="3" applyNumberFormat="1" applyFont="1" applyBorder="1" applyAlignment="1">
      <alignment horizontal="left" vertical="center"/>
    </xf>
    <xf numFmtId="0" fontId="4" fillId="0" borderId="0" xfId="0" applyFont="1" applyAlignment="1">
      <alignment horizontal="right"/>
    </xf>
    <xf numFmtId="0" fontId="1" fillId="0" borderId="16" xfId="3" applyFont="1" applyBorder="1" applyAlignment="1">
      <alignment vertical="center"/>
    </xf>
    <xf numFmtId="0" fontId="1" fillId="0" borderId="0" xfId="3" quotePrefix="1" applyFont="1" applyAlignment="1">
      <alignment horizontal="left" vertical="top"/>
    </xf>
    <xf numFmtId="165" fontId="1" fillId="0" borderId="15" xfId="3" applyNumberFormat="1" applyFont="1" applyBorder="1" applyAlignment="1">
      <alignment horizontal="left" vertical="center"/>
    </xf>
    <xf numFmtId="0" fontId="4" fillId="0" borderId="0" xfId="3" applyAlignment="1">
      <alignment horizontal="left"/>
    </xf>
    <xf numFmtId="166" fontId="1" fillId="0" borderId="15" xfId="3" applyNumberFormat="1" applyFont="1" applyBorder="1" applyAlignment="1">
      <alignment horizontal="left" vertical="center"/>
    </xf>
    <xf numFmtId="12" fontId="1" fillId="0" borderId="16" xfId="3" quotePrefix="1" applyNumberFormat="1" applyFont="1" applyBorder="1" applyAlignment="1">
      <alignment horizontal="center" vertical="center"/>
    </xf>
    <xf numFmtId="0" fontId="1" fillId="0" borderId="2" xfId="3" applyFont="1" applyBorder="1" applyAlignment="1">
      <alignment horizontal="justify" vertical="top"/>
    </xf>
    <xf numFmtId="0" fontId="1" fillId="0" borderId="1" xfId="3" applyFont="1" applyBorder="1" applyAlignment="1">
      <alignment horizontal="center" vertical="center"/>
    </xf>
    <xf numFmtId="0" fontId="1" fillId="0" borderId="3" xfId="3" applyFont="1" applyBorder="1" applyAlignment="1">
      <alignment horizontal="center" vertical="center"/>
    </xf>
    <xf numFmtId="165" fontId="5" fillId="0" borderId="16" xfId="3" applyNumberFormat="1" applyFont="1" applyBorder="1" applyAlignment="1">
      <alignment horizontal="center" vertical="center"/>
    </xf>
    <xf numFmtId="3" fontId="5" fillId="0" borderId="8" xfId="3" applyNumberFormat="1" applyFont="1" applyBorder="1" applyAlignment="1">
      <alignment horizontal="center" vertical="center"/>
    </xf>
    <xf numFmtId="0" fontId="1" fillId="0" borderId="0" xfId="3" applyFont="1" applyAlignment="1">
      <alignment horizontal="left"/>
    </xf>
    <xf numFmtId="0" fontId="1" fillId="0" borderId="12" xfId="3" applyFont="1" applyBorder="1" applyAlignment="1">
      <alignment horizontal="center" vertical="center"/>
    </xf>
    <xf numFmtId="0" fontId="1" fillId="0" borderId="14" xfId="3" applyFont="1" applyBorder="1" applyAlignment="1">
      <alignment horizontal="left" vertical="center"/>
    </xf>
    <xf numFmtId="0" fontId="1" fillId="0" borderId="20" xfId="3" applyFont="1" applyBorder="1" applyAlignment="1">
      <alignment vertical="center"/>
    </xf>
    <xf numFmtId="12" fontId="1" fillId="0" borderId="8" xfId="3" applyNumberFormat="1" applyFont="1" applyBorder="1" applyAlignment="1">
      <alignment vertical="center"/>
    </xf>
    <xf numFmtId="0" fontId="9" fillId="0" borderId="15" xfId="3" quotePrefix="1" applyFont="1" applyBorder="1" applyAlignment="1">
      <alignment horizontal="left" vertical="center"/>
    </xf>
    <xf numFmtId="9" fontId="1" fillId="0" borderId="6" xfId="10" applyFont="1" applyFill="1" applyBorder="1" applyAlignment="1">
      <alignment horizontal="left" vertical="center"/>
    </xf>
    <xf numFmtId="9" fontId="1" fillId="0" borderId="7" xfId="10" applyFont="1" applyFill="1" applyBorder="1" applyAlignment="1">
      <alignment horizontal="left" vertical="center"/>
    </xf>
    <xf numFmtId="165" fontId="1" fillId="0" borderId="15" xfId="3" applyNumberFormat="1" applyFont="1" applyBorder="1" applyAlignment="1">
      <alignment horizontal="left" vertical="top"/>
    </xf>
    <xf numFmtId="3" fontId="9" fillId="0" borderId="17" xfId="3" applyNumberFormat="1" applyFont="1" applyBorder="1" applyAlignment="1">
      <alignment horizontal="right" vertical="center"/>
    </xf>
    <xf numFmtId="165" fontId="9" fillId="0" borderId="17" xfId="3" applyNumberFormat="1" applyFont="1" applyBorder="1" applyAlignment="1">
      <alignment horizontal="right" vertical="center"/>
    </xf>
    <xf numFmtId="165" fontId="1" fillId="0" borderId="21" xfId="3" applyNumberFormat="1" applyFont="1" applyBorder="1" applyAlignment="1">
      <alignment horizontal="center" vertical="top"/>
    </xf>
    <xf numFmtId="165" fontId="1" fillId="0" borderId="22" xfId="3" quotePrefix="1" applyNumberFormat="1" applyFont="1" applyBorder="1" applyAlignment="1">
      <alignment horizontal="left" vertical="top"/>
    </xf>
    <xf numFmtId="3" fontId="1" fillId="0" borderId="7" xfId="3" applyNumberFormat="1" applyFont="1" applyBorder="1" applyAlignment="1">
      <alignment horizontal="center"/>
    </xf>
    <xf numFmtId="165" fontId="1" fillId="0" borderId="18" xfId="3" applyNumberFormat="1" applyFont="1" applyBorder="1" applyAlignment="1">
      <alignment horizontal="justify" vertical="top"/>
    </xf>
    <xf numFmtId="165" fontId="1" fillId="0" borderId="19" xfId="3" applyNumberFormat="1" applyFont="1" applyBorder="1" applyAlignment="1">
      <alignment horizontal="center"/>
    </xf>
    <xf numFmtId="3" fontId="1" fillId="0" borderId="18" xfId="3" applyNumberFormat="1" applyFont="1" applyBorder="1" applyAlignment="1">
      <alignment horizontal="center"/>
    </xf>
    <xf numFmtId="165" fontId="1" fillId="0" borderId="7" xfId="3" quotePrefix="1" applyNumberFormat="1" applyFont="1" applyBorder="1" applyAlignment="1">
      <alignment horizontal="justify" vertical="top"/>
    </xf>
    <xf numFmtId="0" fontId="1" fillId="0" borderId="3" xfId="3" applyFont="1" applyBorder="1" applyAlignment="1">
      <alignment horizontal="center"/>
    </xf>
    <xf numFmtId="0" fontId="1" fillId="0" borderId="2" xfId="3" applyFont="1" applyBorder="1" applyAlignment="1">
      <alignment vertical="top" wrapText="1"/>
    </xf>
    <xf numFmtId="0" fontId="1" fillId="0" borderId="15" xfId="3" quotePrefix="1" applyFont="1" applyBorder="1" applyAlignment="1">
      <alignment horizontal="left" vertical="top"/>
    </xf>
    <xf numFmtId="0" fontId="1" fillId="0" borderId="9" xfId="3" quotePrefix="1" applyFont="1" applyBorder="1" applyAlignment="1">
      <alignment horizontal="justify" vertical="top"/>
    </xf>
    <xf numFmtId="3" fontId="9" fillId="0" borderId="0" xfId="3" applyNumberFormat="1" applyFont="1" applyAlignment="1">
      <alignment horizontal="center" vertical="center"/>
    </xf>
    <xf numFmtId="0" fontId="1" fillId="0" borderId="7" xfId="3" applyFont="1" applyBorder="1" applyAlignment="1">
      <alignment horizontal="justify" vertical="top"/>
    </xf>
    <xf numFmtId="165" fontId="1" fillId="0" borderId="16" xfId="3" quotePrefix="1" applyNumberFormat="1" applyFont="1" applyBorder="1" applyAlignment="1">
      <alignment horizontal="center" vertical="top"/>
    </xf>
    <xf numFmtId="165" fontId="1" fillId="0" borderId="15" xfId="3" quotePrefix="1" applyNumberFormat="1" applyFont="1" applyBorder="1" applyAlignment="1">
      <alignment horizontal="left" vertical="top"/>
    </xf>
    <xf numFmtId="165" fontId="1" fillId="0" borderId="4" xfId="3" quotePrefix="1" applyNumberFormat="1" applyFont="1" applyBorder="1" applyAlignment="1">
      <alignment horizontal="justify" vertical="top"/>
    </xf>
    <xf numFmtId="165" fontId="1" fillId="0" borderId="3" xfId="3" applyNumberFormat="1" applyFont="1" applyBorder="1" applyAlignment="1">
      <alignment horizontal="center"/>
    </xf>
    <xf numFmtId="0" fontId="1" fillId="0" borderId="23" xfId="3" applyFont="1" applyBorder="1" applyAlignment="1">
      <alignment horizontal="center" vertical="center"/>
    </xf>
    <xf numFmtId="0" fontId="1" fillId="0" borderId="23" xfId="3" applyFont="1" applyBorder="1" applyAlignment="1">
      <alignment horizontal="left" vertical="center"/>
    </xf>
    <xf numFmtId="165" fontId="1" fillId="0" borderId="23" xfId="3" applyNumberFormat="1" applyFont="1" applyBorder="1" applyAlignment="1">
      <alignment horizontal="justify" vertical="center"/>
    </xf>
    <xf numFmtId="3" fontId="9" fillId="0" borderId="23" xfId="3" applyNumberFormat="1" applyFont="1" applyBorder="1" applyAlignment="1">
      <alignment horizontal="right" vertical="center"/>
    </xf>
    <xf numFmtId="0" fontId="1" fillId="0" borderId="23" xfId="3" applyFont="1" applyBorder="1" applyAlignment="1">
      <alignment vertical="center"/>
    </xf>
    <xf numFmtId="3" fontId="9" fillId="0" borderId="23" xfId="3" applyNumberFormat="1" applyFont="1" applyBorder="1" applyAlignment="1">
      <alignment vertical="center"/>
    </xf>
    <xf numFmtId="0" fontId="1" fillId="0" borderId="0" xfId="3" applyFont="1" applyAlignment="1">
      <alignment horizontal="center"/>
    </xf>
    <xf numFmtId="3" fontId="5" fillId="0" borderId="24" xfId="3" applyNumberFormat="1" applyFont="1" applyBorder="1" applyAlignment="1">
      <alignment horizontal="center" vertical="center"/>
    </xf>
    <xf numFmtId="3" fontId="1" fillId="0" borderId="25" xfId="3" applyNumberFormat="1" applyFont="1" applyBorder="1"/>
    <xf numFmtId="3" fontId="7" fillId="0" borderId="25" xfId="3" applyNumberFormat="1" applyFont="1" applyBorder="1" applyAlignment="1">
      <alignment horizontal="center"/>
    </xf>
    <xf numFmtId="3" fontId="1" fillId="0" borderId="27" xfId="3" applyNumberFormat="1" applyFont="1" applyBorder="1" applyAlignment="1">
      <alignment horizontal="center" wrapText="1"/>
    </xf>
    <xf numFmtId="3" fontId="1" fillId="0" borderId="25" xfId="3" applyNumberFormat="1" applyFont="1" applyBorder="1" applyAlignment="1">
      <alignment vertical="center"/>
    </xf>
    <xf numFmtId="3" fontId="7" fillId="0" borderId="25" xfId="3" applyNumberFormat="1" applyFont="1" applyBorder="1" applyAlignment="1">
      <alignment horizontal="center" vertical="center"/>
    </xf>
    <xf numFmtId="3" fontId="1" fillId="0" borderId="27" xfId="3" applyNumberFormat="1" applyFont="1" applyBorder="1" applyAlignment="1">
      <alignment horizontal="right"/>
    </xf>
    <xf numFmtId="3" fontId="9" fillId="0" borderId="28" xfId="3" applyNumberFormat="1" applyFont="1" applyBorder="1" applyAlignment="1">
      <alignment vertical="center"/>
    </xf>
    <xf numFmtId="3" fontId="5" fillId="0" borderId="30" xfId="3" applyNumberFormat="1" applyFont="1" applyBorder="1" applyAlignment="1">
      <alignment horizontal="center" vertical="center"/>
    </xf>
    <xf numFmtId="3" fontId="1" fillId="0" borderId="30" xfId="3" applyNumberFormat="1" applyFont="1" applyBorder="1"/>
    <xf numFmtId="3" fontId="7" fillId="0" borderId="30" xfId="3" applyNumberFormat="1" applyFont="1" applyBorder="1"/>
    <xf numFmtId="3" fontId="1" fillId="0" borderId="32" xfId="3" applyNumberFormat="1" applyFont="1" applyBorder="1"/>
    <xf numFmtId="3" fontId="1" fillId="0" borderId="30" xfId="3" applyNumberFormat="1" applyFont="1" applyBorder="1" applyAlignment="1">
      <alignment vertical="center"/>
    </xf>
    <xf numFmtId="3" fontId="1" fillId="0" borderId="32" xfId="3" applyNumberFormat="1" applyFont="1" applyBorder="1" applyAlignment="1">
      <alignment horizontal="right"/>
    </xf>
    <xf numFmtId="3" fontId="9" fillId="0" borderId="33" xfId="3" applyNumberFormat="1" applyFont="1" applyBorder="1" applyAlignment="1">
      <alignment vertical="center"/>
    </xf>
    <xf numFmtId="0" fontId="4" fillId="0" borderId="0" xfId="3" applyAlignment="1">
      <alignment horizontal="right" vertical="center"/>
    </xf>
    <xf numFmtId="2" fontId="8" fillId="0" borderId="15" xfId="3" applyNumberFormat="1" applyFont="1" applyBorder="1" applyAlignment="1">
      <alignment horizontal="left" vertical="center"/>
    </xf>
    <xf numFmtId="3" fontId="9" fillId="0" borderId="29" xfId="3" applyNumberFormat="1" applyFont="1" applyBorder="1" applyAlignment="1">
      <alignment horizontal="center" vertical="center"/>
    </xf>
    <xf numFmtId="0" fontId="9" fillId="0" borderId="0" xfId="3" applyFont="1" applyAlignment="1">
      <alignment vertical="center"/>
    </xf>
    <xf numFmtId="0" fontId="1" fillId="0" borderId="15" xfId="3" applyFont="1" applyBorder="1" applyAlignment="1">
      <alignment horizontal="left" vertical="center"/>
    </xf>
    <xf numFmtId="0" fontId="1" fillId="0" borderId="2" xfId="3" applyFont="1" applyBorder="1" applyAlignment="1">
      <alignment vertical="center" wrapText="1"/>
    </xf>
    <xf numFmtId="0" fontId="1" fillId="0" borderId="15" xfId="3" applyFont="1" applyBorder="1" applyAlignment="1">
      <alignment horizontal="left" vertical="top"/>
    </xf>
    <xf numFmtId="0" fontId="1" fillId="0" borderId="5" xfId="3" quotePrefix="1" applyFont="1" applyBorder="1" applyAlignment="1">
      <alignment horizontal="justify" vertical="top"/>
    </xf>
    <xf numFmtId="3" fontId="1" fillId="0" borderId="6" xfId="3" applyNumberFormat="1" applyFont="1" applyBorder="1" applyAlignment="1">
      <alignment horizontal="center"/>
    </xf>
    <xf numFmtId="165" fontId="1" fillId="0" borderId="2" xfId="3" applyNumberFormat="1" applyFont="1" applyBorder="1" applyAlignment="1">
      <alignment horizontal="center"/>
    </xf>
    <xf numFmtId="0" fontId="1" fillId="0" borderId="0" xfId="3" applyFont="1" applyAlignment="1">
      <alignment horizontal="center" wrapText="1"/>
    </xf>
    <xf numFmtId="0" fontId="1" fillId="0" borderId="36" xfId="3" quotePrefix="1" applyFont="1" applyBorder="1" applyAlignment="1">
      <alignment horizontal="center" vertical="top"/>
    </xf>
    <xf numFmtId="0" fontId="1" fillId="0" borderId="23" xfId="3" quotePrefix="1" applyFont="1" applyBorder="1" applyAlignment="1">
      <alignment horizontal="left" vertical="top"/>
    </xf>
    <xf numFmtId="0" fontId="1" fillId="0" borderId="37" xfId="3" applyFont="1" applyBorder="1" applyAlignment="1">
      <alignment horizontal="justify" vertical="top"/>
    </xf>
    <xf numFmtId="0" fontId="1" fillId="0" borderId="38" xfId="3" applyFont="1" applyBorder="1" applyAlignment="1">
      <alignment horizontal="center"/>
    </xf>
    <xf numFmtId="3" fontId="1" fillId="0" borderId="37" xfId="3" applyNumberFormat="1" applyFont="1" applyBorder="1" applyAlignment="1">
      <alignment horizontal="center"/>
    </xf>
    <xf numFmtId="3" fontId="7" fillId="0" borderId="39" xfId="3" applyNumberFormat="1" applyFont="1" applyBorder="1" applyAlignment="1">
      <alignment horizontal="center"/>
    </xf>
    <xf numFmtId="3" fontId="7" fillId="0" borderId="40" xfId="3" applyNumberFormat="1" applyFont="1" applyBorder="1"/>
    <xf numFmtId="3" fontId="1" fillId="0" borderId="41" xfId="3" applyNumberFormat="1" applyFont="1" applyBorder="1"/>
    <xf numFmtId="12" fontId="1" fillId="0" borderId="34" xfId="3" quotePrefix="1" applyNumberFormat="1" applyFont="1" applyBorder="1" applyAlignment="1">
      <alignment horizontal="center" vertical="center"/>
    </xf>
    <xf numFmtId="0" fontId="8" fillId="0" borderId="35" xfId="3" applyFont="1" applyBorder="1" applyAlignment="1">
      <alignment horizontal="left" vertical="center"/>
    </xf>
    <xf numFmtId="9" fontId="1" fillId="0" borderId="42" xfId="10" applyFont="1" applyFill="1" applyBorder="1" applyAlignment="1">
      <alignment horizontal="left" vertical="center"/>
    </xf>
    <xf numFmtId="0" fontId="1" fillId="0" borderId="43" xfId="3" applyFont="1" applyBorder="1" applyAlignment="1">
      <alignment horizontal="center" vertical="center"/>
    </xf>
    <xf numFmtId="12" fontId="1" fillId="0" borderId="36" xfId="3" quotePrefix="1" applyNumberFormat="1" applyFont="1" applyBorder="1" applyAlignment="1">
      <alignment horizontal="center" vertical="center"/>
    </xf>
    <xf numFmtId="0" fontId="8" fillId="0" borderId="44" xfId="3" applyFont="1" applyBorder="1" applyAlignment="1">
      <alignment horizontal="left" vertical="center"/>
    </xf>
    <xf numFmtId="9" fontId="1" fillId="0" borderId="45" xfId="10" applyFont="1" applyFill="1" applyBorder="1" applyAlignment="1">
      <alignment horizontal="left" vertical="center"/>
    </xf>
    <xf numFmtId="0" fontId="1" fillId="0" borderId="46" xfId="3" applyFont="1" applyBorder="1" applyAlignment="1">
      <alignment horizontal="center" vertical="center"/>
    </xf>
    <xf numFmtId="0" fontId="1" fillId="0" borderId="0" xfId="3" applyFont="1" applyAlignment="1">
      <alignment horizontal="center" vertical="center"/>
    </xf>
    <xf numFmtId="3" fontId="8" fillId="0" borderId="11" xfId="3" applyNumberFormat="1" applyFont="1" applyBorder="1" applyAlignment="1">
      <alignment horizontal="center" vertical="center" wrapText="1"/>
    </xf>
    <xf numFmtId="3" fontId="8" fillId="0" borderId="5" xfId="3" applyNumberFormat="1" applyFont="1" applyBorder="1" applyAlignment="1">
      <alignment horizontal="center" vertical="center" wrapText="1"/>
    </xf>
    <xf numFmtId="0" fontId="1" fillId="0" borderId="5" xfId="3" applyFont="1" applyBorder="1" applyAlignment="1">
      <alignment horizontal="justify" vertical="top" wrapText="1"/>
    </xf>
    <xf numFmtId="2" fontId="1" fillId="0" borderId="7" xfId="3" applyNumberFormat="1" applyFont="1" applyBorder="1" applyAlignment="1">
      <alignment horizontal="justify" vertical="top"/>
    </xf>
    <xf numFmtId="0" fontId="4" fillId="0" borderId="0" xfId="3" applyAlignment="1">
      <alignment horizontal="center" vertical="center"/>
    </xf>
    <xf numFmtId="0" fontId="9" fillId="0" borderId="0" xfId="3" applyFont="1" applyAlignment="1">
      <alignment horizontal="center" vertical="center"/>
    </xf>
    <xf numFmtId="0" fontId="5" fillId="0" borderId="0" xfId="3" applyFont="1" applyAlignment="1">
      <alignment horizontal="center" vertical="center"/>
    </xf>
    <xf numFmtId="3" fontId="1" fillId="0" borderId="0" xfId="3" applyNumberFormat="1" applyFont="1" applyAlignment="1">
      <alignment horizontal="center" vertical="center"/>
    </xf>
    <xf numFmtId="0" fontId="1" fillId="0" borderId="6" xfId="3" quotePrefix="1" applyFont="1" applyBorder="1" applyAlignment="1">
      <alignment horizontal="justify" vertical="top"/>
    </xf>
    <xf numFmtId="0" fontId="9" fillId="0" borderId="5" xfId="3" applyFont="1" applyBorder="1" applyAlignment="1">
      <alignment horizontal="justify" vertical="center"/>
    </xf>
    <xf numFmtId="3" fontId="1" fillId="0" borderId="42" xfId="3" applyNumberFormat="1" applyFont="1" applyBorder="1" applyAlignment="1">
      <alignment horizontal="center" vertical="center"/>
    </xf>
    <xf numFmtId="3" fontId="1" fillId="0" borderId="45" xfId="3" applyNumberFormat="1" applyFont="1" applyBorder="1" applyAlignment="1">
      <alignment horizontal="center" vertical="center"/>
    </xf>
    <xf numFmtId="0" fontId="1" fillId="0" borderId="3" xfId="3" applyFont="1" applyBorder="1" applyAlignment="1">
      <alignment horizontal="justify" vertical="top"/>
    </xf>
    <xf numFmtId="0" fontId="1" fillId="0" borderId="7" xfId="3" quotePrefix="1" applyFont="1" applyBorder="1" applyAlignment="1">
      <alignment horizontal="justify" vertical="top"/>
    </xf>
    <xf numFmtId="165" fontId="12" fillId="0" borderId="7" xfId="3" quotePrefix="1" applyNumberFormat="1" applyFont="1" applyBorder="1" applyAlignment="1">
      <alignment horizontal="justify" vertical="top"/>
    </xf>
    <xf numFmtId="165" fontId="1" fillId="0" borderId="4" xfId="3" applyNumberFormat="1" applyFont="1" applyBorder="1" applyAlignment="1">
      <alignment horizontal="center"/>
    </xf>
    <xf numFmtId="165" fontId="1" fillId="0" borderId="3" xfId="3" quotePrefix="1" applyNumberFormat="1" applyFont="1" applyBorder="1" applyAlignment="1">
      <alignment horizontal="justify" vertical="top"/>
    </xf>
    <xf numFmtId="0" fontId="1" fillId="0" borderId="34" xfId="3" applyFont="1" applyBorder="1" applyAlignment="1">
      <alignment horizontal="center" vertical="center"/>
    </xf>
    <xf numFmtId="0" fontId="1" fillId="0" borderId="35" xfId="3" applyFont="1" applyBorder="1" applyAlignment="1">
      <alignment horizontal="left" vertical="top"/>
    </xf>
    <xf numFmtId="0" fontId="1" fillId="0" borderId="47" xfId="3" applyFont="1" applyBorder="1" applyAlignment="1">
      <alignment vertical="center" wrapText="1"/>
    </xf>
    <xf numFmtId="0" fontId="1" fillId="0" borderId="47" xfId="3" applyFont="1" applyBorder="1" applyAlignment="1">
      <alignment horizontal="center" vertical="center"/>
    </xf>
    <xf numFmtId="3" fontId="1" fillId="0" borderId="48" xfId="3" applyNumberFormat="1" applyFont="1" applyBorder="1" applyAlignment="1">
      <alignment horizontal="center" vertical="center"/>
    </xf>
    <xf numFmtId="0" fontId="1" fillId="0" borderId="34" xfId="3" quotePrefix="1" applyFont="1" applyBorder="1" applyAlignment="1">
      <alignment horizontal="center" vertical="top"/>
    </xf>
    <xf numFmtId="0" fontId="1" fillId="0" borderId="48" xfId="3" applyFont="1" applyBorder="1" applyAlignment="1">
      <alignment horizontal="justify" vertical="top"/>
    </xf>
    <xf numFmtId="0" fontId="1" fillId="0" borderId="47" xfId="3" applyFont="1" applyBorder="1" applyAlignment="1">
      <alignment horizontal="center"/>
    </xf>
    <xf numFmtId="3" fontId="1" fillId="0" borderId="48" xfId="3" applyNumberFormat="1" applyFont="1" applyBorder="1" applyAlignment="1">
      <alignment horizontal="center"/>
    </xf>
    <xf numFmtId="0" fontId="1" fillId="0" borderId="37" xfId="3" quotePrefix="1" applyFont="1" applyBorder="1" applyAlignment="1">
      <alignment horizontal="justify" vertical="top"/>
    </xf>
    <xf numFmtId="3" fontId="1" fillId="0" borderId="39" xfId="3" applyNumberFormat="1" applyFont="1" applyBorder="1" applyAlignment="1">
      <alignment horizontal="right"/>
    </xf>
    <xf numFmtId="3" fontId="1" fillId="0" borderId="40" xfId="3" applyNumberFormat="1" applyFont="1" applyBorder="1" applyAlignment="1">
      <alignment horizontal="right"/>
    </xf>
    <xf numFmtId="0" fontId="1" fillId="0" borderId="34" xfId="3" applyFont="1" applyBorder="1" applyAlignment="1">
      <alignment vertical="center"/>
    </xf>
    <xf numFmtId="165" fontId="1" fillId="0" borderId="35" xfId="3" applyNumberFormat="1" applyFont="1" applyBorder="1" applyAlignment="1">
      <alignment horizontal="left" vertical="center"/>
    </xf>
    <xf numFmtId="165" fontId="1" fillId="0" borderId="47" xfId="3" applyNumberFormat="1" applyFont="1" applyBorder="1" applyAlignment="1">
      <alignment horizontal="left" vertical="center"/>
    </xf>
    <xf numFmtId="165" fontId="1" fillId="0" borderId="47" xfId="3" applyNumberFormat="1" applyFont="1" applyBorder="1" applyAlignment="1">
      <alignment horizontal="center" vertical="center"/>
    </xf>
    <xf numFmtId="0" fontId="1" fillId="0" borderId="36" xfId="3" applyFont="1" applyBorder="1" applyAlignment="1">
      <alignment vertical="center"/>
    </xf>
    <xf numFmtId="165" fontId="1" fillId="0" borderId="44" xfId="3" applyNumberFormat="1" applyFont="1" applyBorder="1" applyAlignment="1">
      <alignment horizontal="left" vertical="center"/>
    </xf>
    <xf numFmtId="165" fontId="1" fillId="0" borderId="46" xfId="3" applyNumberFormat="1" applyFont="1" applyBorder="1" applyAlignment="1">
      <alignment horizontal="left" vertical="center"/>
    </xf>
    <xf numFmtId="165" fontId="1" fillId="0" borderId="46" xfId="3" applyNumberFormat="1" applyFont="1" applyBorder="1" applyAlignment="1">
      <alignment horizontal="center" vertical="center"/>
    </xf>
    <xf numFmtId="165" fontId="1" fillId="0" borderId="34" xfId="3" applyNumberFormat="1" applyFont="1" applyBorder="1" applyAlignment="1">
      <alignment horizontal="center" vertical="top"/>
    </xf>
    <xf numFmtId="165" fontId="1" fillId="0" borderId="35" xfId="3" applyNumberFormat="1" applyFont="1" applyBorder="1" applyAlignment="1">
      <alignment horizontal="left" vertical="top"/>
    </xf>
    <xf numFmtId="165" fontId="1" fillId="0" borderId="42" xfId="3" quotePrefix="1" applyNumberFormat="1" applyFont="1" applyBorder="1" applyAlignment="1">
      <alignment horizontal="justify" vertical="top"/>
    </xf>
    <xf numFmtId="0" fontId="1" fillId="0" borderId="43" xfId="3" applyFont="1" applyBorder="1" applyAlignment="1">
      <alignment horizontal="center"/>
    </xf>
    <xf numFmtId="3" fontId="1" fillId="0" borderId="42" xfId="3" applyNumberFormat="1" applyFont="1" applyBorder="1" applyAlignment="1">
      <alignment horizontal="center"/>
    </xf>
    <xf numFmtId="165" fontId="1" fillId="0" borderId="36" xfId="3" applyNumberFormat="1" applyFont="1" applyBorder="1" applyAlignment="1">
      <alignment horizontal="center" vertical="top"/>
    </xf>
    <xf numFmtId="165" fontId="1" fillId="0" borderId="44" xfId="3" applyNumberFormat="1" applyFont="1" applyBorder="1" applyAlignment="1">
      <alignment horizontal="left" vertical="top"/>
    </xf>
    <xf numFmtId="165" fontId="1" fillId="0" borderId="45" xfId="3" quotePrefix="1" applyNumberFormat="1" applyFont="1" applyBorder="1" applyAlignment="1">
      <alignment horizontal="justify" vertical="top"/>
    </xf>
    <xf numFmtId="0" fontId="1" fillId="0" borderId="46" xfId="3" applyFont="1" applyBorder="1" applyAlignment="1">
      <alignment horizontal="center"/>
    </xf>
    <xf numFmtId="3" fontId="1" fillId="0" borderId="45" xfId="3" applyNumberFormat="1" applyFont="1" applyBorder="1" applyAlignment="1">
      <alignment horizontal="center"/>
    </xf>
    <xf numFmtId="165" fontId="1" fillId="0" borderId="34" xfId="3" quotePrefix="1" applyNumberFormat="1" applyFont="1" applyBorder="1" applyAlignment="1">
      <alignment horizontal="center" vertical="top"/>
    </xf>
    <xf numFmtId="166" fontId="1" fillId="0" borderId="35" xfId="3" applyNumberFormat="1" applyFont="1" applyBorder="1" applyAlignment="1">
      <alignment horizontal="left" vertical="center"/>
    </xf>
    <xf numFmtId="0" fontId="1" fillId="0" borderId="48" xfId="3" quotePrefix="1" applyFont="1" applyBorder="1" applyAlignment="1">
      <alignment horizontal="justify" vertical="top"/>
    </xf>
    <xf numFmtId="0" fontId="1" fillId="0" borderId="45" xfId="3" quotePrefix="1" applyFont="1" applyBorder="1" applyAlignment="1">
      <alignment horizontal="justify" vertical="top"/>
    </xf>
    <xf numFmtId="165" fontId="1" fillId="0" borderId="46" xfId="3" applyNumberFormat="1" applyFont="1" applyBorder="1" applyAlignment="1">
      <alignment horizontal="center"/>
    </xf>
    <xf numFmtId="165" fontId="1" fillId="0" borderId="47" xfId="3" applyNumberFormat="1" applyFont="1" applyBorder="1" applyAlignment="1">
      <alignment horizontal="center"/>
    </xf>
    <xf numFmtId="167" fontId="1" fillId="0" borderId="26" xfId="13" applyNumberFormat="1" applyFont="1" applyBorder="1" applyAlignment="1">
      <alignment vertical="center"/>
    </xf>
    <xf numFmtId="167" fontId="1" fillId="0" borderId="31" xfId="13" applyNumberFormat="1" applyFont="1" applyBorder="1" applyAlignment="1">
      <alignment vertical="center"/>
    </xf>
    <xf numFmtId="167" fontId="1" fillId="0" borderId="10" xfId="13" applyNumberFormat="1" applyFont="1" applyBorder="1" applyAlignment="1">
      <alignment vertical="center"/>
    </xf>
    <xf numFmtId="167" fontId="9" fillId="0" borderId="13" xfId="13" applyNumberFormat="1" applyFont="1" applyBorder="1" applyAlignment="1">
      <alignment vertical="center"/>
    </xf>
    <xf numFmtId="167" fontId="1" fillId="0" borderId="26" xfId="13" applyNumberFormat="1" applyFont="1" applyBorder="1" applyAlignment="1"/>
    <xf numFmtId="167" fontId="1" fillId="0" borderId="31" xfId="13" applyNumberFormat="1" applyFont="1" applyBorder="1" applyAlignment="1"/>
    <xf numFmtId="167" fontId="1" fillId="0" borderId="10" xfId="13" applyNumberFormat="1" applyFont="1" applyBorder="1" applyAlignment="1"/>
    <xf numFmtId="167" fontId="1" fillId="0" borderId="49" xfId="13" applyNumberFormat="1" applyFont="1" applyBorder="1" applyAlignment="1">
      <alignment vertical="center"/>
    </xf>
    <xf numFmtId="167" fontId="1" fillId="0" borderId="50" xfId="13" applyNumberFormat="1" applyFont="1" applyBorder="1" applyAlignment="1">
      <alignment vertical="center"/>
    </xf>
    <xf numFmtId="167" fontId="1" fillId="0" borderId="51" xfId="13" applyNumberFormat="1" applyFont="1" applyBorder="1" applyAlignment="1">
      <alignment vertical="center"/>
    </xf>
    <xf numFmtId="167" fontId="1" fillId="0" borderId="49" xfId="13" applyNumberFormat="1" applyFont="1" applyBorder="1" applyAlignment="1"/>
    <xf numFmtId="167" fontId="1" fillId="0" borderId="50" xfId="13" applyNumberFormat="1" applyFont="1" applyBorder="1" applyAlignment="1"/>
    <xf numFmtId="167" fontId="1" fillId="0" borderId="51" xfId="13" applyNumberFormat="1" applyFont="1" applyBorder="1" applyAlignment="1"/>
    <xf numFmtId="43" fontId="1" fillId="0" borderId="0" xfId="3" applyNumberFormat="1" applyFont="1" applyAlignment="1">
      <alignment horizontal="center" vertical="center"/>
    </xf>
    <xf numFmtId="167" fontId="9" fillId="0" borderId="0" xfId="3" applyNumberFormat="1" applyFont="1" applyAlignment="1">
      <alignment horizontal="center" vertical="center"/>
    </xf>
    <xf numFmtId="43" fontId="1" fillId="0" borderId="0" xfId="3" applyNumberFormat="1" applyFont="1" applyAlignment="1">
      <alignment horizontal="center"/>
    </xf>
    <xf numFmtId="3" fontId="5" fillId="0" borderId="5" xfId="3" applyNumberFormat="1" applyFont="1" applyBorder="1" applyAlignment="1">
      <alignment horizontal="center" vertical="center"/>
    </xf>
    <xf numFmtId="3" fontId="1" fillId="0" borderId="5" xfId="3" applyNumberFormat="1" applyFont="1" applyBorder="1"/>
    <xf numFmtId="3" fontId="7" fillId="0" borderId="5" xfId="3" applyNumberFormat="1" applyFont="1" applyBorder="1"/>
    <xf numFmtId="167" fontId="1" fillId="0" borderId="6" xfId="13" applyNumberFormat="1" applyFont="1" applyBorder="1" applyAlignment="1">
      <alignment vertical="center"/>
    </xf>
    <xf numFmtId="3" fontId="7" fillId="0" borderId="37" xfId="3" applyNumberFormat="1" applyFont="1" applyBorder="1"/>
    <xf numFmtId="3" fontId="1" fillId="0" borderId="9" xfId="3" applyNumberFormat="1" applyFont="1" applyBorder="1"/>
    <xf numFmtId="3" fontId="1" fillId="0" borderId="5" xfId="3" applyNumberFormat="1" applyFont="1" applyBorder="1" applyAlignment="1">
      <alignment vertical="center"/>
    </xf>
    <xf numFmtId="167" fontId="1" fillId="0" borderId="42" xfId="13" applyNumberFormat="1" applyFont="1" applyBorder="1" applyAlignment="1">
      <alignment vertical="center"/>
    </xf>
    <xf numFmtId="167" fontId="1" fillId="0" borderId="6" xfId="13" applyNumberFormat="1" applyFont="1" applyBorder="1" applyAlignment="1"/>
    <xf numFmtId="3" fontId="1" fillId="0" borderId="37" xfId="3" applyNumberFormat="1" applyFont="1" applyBorder="1" applyAlignment="1">
      <alignment horizontal="right"/>
    </xf>
    <xf numFmtId="167" fontId="1" fillId="0" borderId="42" xfId="13" applyNumberFormat="1" applyFont="1" applyBorder="1" applyAlignment="1"/>
    <xf numFmtId="3" fontId="9" fillId="0" borderId="20" xfId="3" applyNumberFormat="1" applyFont="1" applyBorder="1" applyAlignment="1">
      <alignment vertical="center"/>
    </xf>
    <xf numFmtId="3" fontId="9" fillId="0" borderId="54" xfId="3" applyNumberFormat="1" applyFont="1" applyBorder="1" applyAlignment="1">
      <alignment horizontal="center" vertical="center"/>
    </xf>
    <xf numFmtId="165" fontId="5" fillId="0" borderId="0" xfId="3" applyNumberFormat="1" applyFont="1" applyBorder="1" applyAlignment="1">
      <alignment horizontal="center" vertical="center"/>
    </xf>
    <xf numFmtId="165" fontId="5" fillId="0" borderId="1" xfId="3" applyNumberFormat="1" applyFont="1" applyBorder="1" applyAlignment="1">
      <alignment horizontal="center" vertical="center"/>
    </xf>
    <xf numFmtId="3" fontId="9" fillId="0" borderId="56" xfId="3" applyNumberFormat="1" applyFont="1" applyBorder="1" applyAlignment="1">
      <alignment horizontal="center" vertical="center"/>
    </xf>
    <xf numFmtId="3" fontId="9" fillId="0" borderId="57" xfId="3" applyNumberFormat="1" applyFont="1" applyBorder="1" applyAlignment="1">
      <alignment horizontal="center" vertical="center"/>
    </xf>
    <xf numFmtId="0" fontId="0" fillId="0" borderId="53" xfId="0" applyBorder="1"/>
    <xf numFmtId="0" fontId="5" fillId="0" borderId="53" xfId="0" applyFont="1" applyBorder="1"/>
    <xf numFmtId="0" fontId="0" fillId="0" borderId="0" xfId="0" applyAlignment="1">
      <alignment horizontal="center" vertical="center"/>
    </xf>
    <xf numFmtId="0" fontId="4" fillId="0" borderId="0" xfId="0" applyFont="1" applyAlignment="1">
      <alignment horizontal="center" vertical="center"/>
    </xf>
    <xf numFmtId="3" fontId="5" fillId="0" borderId="53" xfId="3" applyNumberFormat="1" applyFont="1" applyBorder="1" applyAlignment="1">
      <alignment horizontal="center" vertical="center"/>
    </xf>
    <xf numFmtId="3" fontId="9" fillId="0" borderId="58" xfId="3" applyNumberFormat="1" applyFont="1" applyBorder="1" applyAlignment="1">
      <alignment horizontal="center" vertical="center"/>
    </xf>
    <xf numFmtId="3" fontId="9" fillId="0" borderId="52" xfId="3" applyNumberFormat="1" applyFont="1" applyBorder="1" applyAlignment="1">
      <alignment horizontal="center" vertical="center"/>
    </xf>
    <xf numFmtId="3" fontId="9" fillId="0" borderId="58" xfId="3" applyNumberFormat="1" applyFont="1" applyBorder="1" applyAlignment="1">
      <alignment horizontal="center" vertical="center" wrapText="1"/>
    </xf>
    <xf numFmtId="3" fontId="9" fillId="0" borderId="52" xfId="3" applyNumberFormat="1" applyFont="1" applyBorder="1" applyAlignment="1">
      <alignment horizontal="center" vertical="center" wrapText="1"/>
    </xf>
    <xf numFmtId="165" fontId="9" fillId="0" borderId="53" xfId="3" applyNumberFormat="1" applyFont="1" applyBorder="1" applyAlignment="1">
      <alignment horizontal="center" vertical="center"/>
    </xf>
    <xf numFmtId="165" fontId="9" fillId="0" borderId="55" xfId="3" applyNumberFormat="1" applyFont="1" applyBorder="1" applyAlignment="1">
      <alignment horizontal="center" vertical="center"/>
    </xf>
    <xf numFmtId="3" fontId="9" fillId="0" borderId="55" xfId="3" applyNumberFormat="1" applyFont="1" applyBorder="1" applyAlignment="1">
      <alignment horizontal="center" vertical="center"/>
    </xf>
    <xf numFmtId="3" fontId="9" fillId="0" borderId="53" xfId="3" applyNumberFormat="1" applyFont="1" applyBorder="1" applyAlignment="1">
      <alignment horizontal="center" vertical="center"/>
    </xf>
    <xf numFmtId="0" fontId="14" fillId="0" borderId="53" xfId="3" applyFont="1" applyBorder="1" applyAlignment="1">
      <alignment horizontal="center" vertical="center"/>
    </xf>
  </cellXfs>
  <cellStyles count="14">
    <cellStyle name="Comma" xfId="13" builtinId="3"/>
    <cellStyle name="Comma 2" xfId="1" xr:uid="{00000000-0005-0000-0000-000000000000}"/>
    <cellStyle name="Comma 2 2" xfId="9" xr:uid="{00000000-0005-0000-0000-000001000000}"/>
    <cellStyle name="Comma 3" xfId="2" xr:uid="{00000000-0005-0000-0000-000002000000}"/>
    <cellStyle name="Comma 4" xfId="11" xr:uid="{00000000-0005-0000-0000-000003000000}"/>
    <cellStyle name="Normal" xfId="0" builtinId="0"/>
    <cellStyle name="Normal 2" xfId="3" xr:uid="{00000000-0005-0000-0000-000005000000}"/>
    <cellStyle name="Normal 2 2" xfId="6" xr:uid="{00000000-0005-0000-0000-000006000000}"/>
    <cellStyle name="Normal 2 3" xfId="8" xr:uid="{00000000-0005-0000-0000-000007000000}"/>
    <cellStyle name="Normal 3" xfId="4" xr:uid="{00000000-0005-0000-0000-000008000000}"/>
    <cellStyle name="Normal 4" xfId="7" xr:uid="{00000000-0005-0000-0000-000009000000}"/>
    <cellStyle name="Normal 5" xfId="12" xr:uid="{00000000-0005-0000-0000-00000A000000}"/>
    <cellStyle name="Percent" xfId="10" builtinId="5"/>
    <cellStyle name="Percent 2" xfId="5" xr:uid="{00000000-0005-0000-0000-00000C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2"/>
  <sheetViews>
    <sheetView showGridLines="0" tabSelected="1" topLeftCell="A72" zoomScaleNormal="100" zoomScaleSheetLayoutView="100" workbookViewId="0">
      <selection activeCell="P80" sqref="P80"/>
    </sheetView>
  </sheetViews>
  <sheetFormatPr defaultColWidth="9" defaultRowHeight="14.25" x14ac:dyDescent="0.2"/>
  <cols>
    <col min="1" max="1" width="4.625" style="29" customWidth="1"/>
    <col min="2" max="2" width="5.625" style="38" customWidth="1"/>
    <col min="3" max="3" width="46.125" style="28" customWidth="1"/>
    <col min="4" max="4" width="6.375" style="29" customWidth="1"/>
    <col min="5" max="5" width="7.875" style="9" customWidth="1"/>
    <col min="6" max="12" width="10.625" style="30" customWidth="1"/>
    <col min="13" max="13" width="16.625" style="30" customWidth="1"/>
    <col min="14" max="15" width="11.25" style="29" bestFit="1" customWidth="1"/>
    <col min="16" max="16384" width="9" style="28"/>
  </cols>
  <sheetData>
    <row r="1" spans="1:15" s="3" customFormat="1" ht="18" customHeight="1" x14ac:dyDescent="0.2">
      <c r="A1" s="20" t="s">
        <v>90</v>
      </c>
      <c r="B1" s="20"/>
      <c r="C1" s="21"/>
      <c r="D1" s="22"/>
      <c r="E1" s="8"/>
      <c r="F1" s="23"/>
      <c r="G1" s="23"/>
      <c r="H1" s="23"/>
      <c r="I1" s="23"/>
      <c r="J1" s="23"/>
      <c r="K1" s="23"/>
      <c r="L1" s="23"/>
      <c r="M1" s="68"/>
      <c r="N1" s="123"/>
      <c r="O1" s="123"/>
    </row>
    <row r="2" spans="1:15" s="3" customFormat="1" ht="18" customHeight="1" x14ac:dyDescent="0.2">
      <c r="A2" s="5" t="s">
        <v>34</v>
      </c>
      <c r="B2" s="5"/>
      <c r="C2" s="21"/>
      <c r="D2" s="22"/>
      <c r="E2" s="8"/>
      <c r="F2" s="23"/>
      <c r="G2" s="25"/>
      <c r="H2" s="25"/>
      <c r="I2" s="25"/>
      <c r="J2" s="25"/>
      <c r="K2" s="25"/>
      <c r="L2" s="25"/>
      <c r="M2" s="24"/>
      <c r="N2" s="123"/>
      <c r="O2" s="123"/>
    </row>
    <row r="3" spans="1:15" s="25" customFormat="1" ht="7.5" customHeight="1" x14ac:dyDescent="0.2">
      <c r="A3" s="5"/>
      <c r="B3" s="5"/>
      <c r="C3" s="21"/>
      <c r="D3" s="22"/>
      <c r="E3" s="8"/>
      <c r="F3" s="23"/>
      <c r="G3" s="23"/>
      <c r="H3" s="23"/>
      <c r="I3" s="23"/>
      <c r="J3" s="23"/>
      <c r="K3" s="23"/>
      <c r="L3" s="23"/>
      <c r="M3" s="23"/>
      <c r="N3" s="128"/>
      <c r="O3" s="128"/>
    </row>
    <row r="4" spans="1:15" s="25" customFormat="1" ht="18" customHeight="1" x14ac:dyDescent="0.2">
      <c r="A4" s="20" t="s">
        <v>69</v>
      </c>
      <c r="B4" s="5"/>
      <c r="D4" s="22"/>
      <c r="E4" s="8"/>
      <c r="F4" s="23"/>
      <c r="G4" s="23"/>
      <c r="H4" s="23"/>
      <c r="I4" s="23"/>
      <c r="J4" s="23"/>
      <c r="K4" s="23"/>
      <c r="L4" s="23"/>
      <c r="M4" s="96" t="s">
        <v>29</v>
      </c>
      <c r="N4" s="128"/>
      <c r="O4" s="128"/>
    </row>
    <row r="5" spans="1:15" s="25" customFormat="1" ht="17.25" customHeight="1" x14ac:dyDescent="0.2">
      <c r="A5" s="5" t="s">
        <v>52</v>
      </c>
      <c r="B5" s="5"/>
      <c r="D5" s="22"/>
      <c r="E5" s="8"/>
      <c r="F5" s="23"/>
      <c r="G5" s="23"/>
      <c r="H5" s="23"/>
      <c r="I5" s="23"/>
      <c r="J5" s="23"/>
      <c r="K5" s="23"/>
      <c r="L5" s="23"/>
      <c r="M5" s="96" t="s">
        <v>91</v>
      </c>
      <c r="N5" s="128"/>
      <c r="O5" s="128"/>
    </row>
    <row r="6" spans="1:15" s="25" customFormat="1" ht="12" customHeight="1" x14ac:dyDescent="0.2">
      <c r="A6" s="5"/>
      <c r="B6" s="5"/>
      <c r="D6" s="22"/>
      <c r="E6" s="8"/>
      <c r="F6" s="23"/>
      <c r="G6" s="23"/>
      <c r="H6" s="23"/>
      <c r="I6" s="23"/>
      <c r="J6" s="23"/>
      <c r="K6" s="23"/>
      <c r="L6" s="23"/>
      <c r="M6" s="34"/>
      <c r="N6" s="128"/>
      <c r="O6" s="128"/>
    </row>
    <row r="7" spans="1:15" s="25" customFormat="1" ht="21.75" customHeight="1" x14ac:dyDescent="0.2">
      <c r="A7" s="219" t="s">
        <v>12</v>
      </c>
      <c r="B7" s="219"/>
      <c r="C7" s="219" t="s">
        <v>0</v>
      </c>
      <c r="D7" s="223" t="s">
        <v>90</v>
      </c>
      <c r="E7" s="223"/>
      <c r="F7" s="223"/>
      <c r="G7" s="223"/>
      <c r="H7" s="214" t="s">
        <v>109</v>
      </c>
      <c r="I7" s="214"/>
      <c r="J7" s="214"/>
      <c r="K7" s="214"/>
      <c r="L7" s="214"/>
      <c r="M7" s="214"/>
      <c r="N7" s="128"/>
      <c r="O7" s="128"/>
    </row>
    <row r="8" spans="1:15" s="3" customFormat="1" ht="18" customHeight="1" thickBot="1" x14ac:dyDescent="0.25">
      <c r="A8" s="219"/>
      <c r="B8" s="219"/>
      <c r="C8" s="219"/>
      <c r="D8" s="220" t="s">
        <v>1</v>
      </c>
      <c r="E8" s="221" t="s">
        <v>2</v>
      </c>
      <c r="F8" s="208" t="s">
        <v>6</v>
      </c>
      <c r="G8" s="209" t="s">
        <v>7</v>
      </c>
      <c r="H8" s="215" t="s">
        <v>110</v>
      </c>
      <c r="I8" s="215" t="s">
        <v>111</v>
      </c>
      <c r="J8" s="215" t="s">
        <v>112</v>
      </c>
      <c r="K8" s="217" t="s">
        <v>93</v>
      </c>
      <c r="L8" s="217" t="s">
        <v>94</v>
      </c>
      <c r="M8" s="217" t="s">
        <v>95</v>
      </c>
      <c r="N8" s="123"/>
      <c r="O8" s="123"/>
    </row>
    <row r="9" spans="1:15" s="99" customFormat="1" ht="22.5" customHeight="1" thickBot="1" x14ac:dyDescent="0.25">
      <c r="A9" s="219"/>
      <c r="B9" s="219"/>
      <c r="C9" s="219"/>
      <c r="D9" s="219"/>
      <c r="E9" s="222"/>
      <c r="F9" s="205" t="s">
        <v>3</v>
      </c>
      <c r="G9" s="98" t="s">
        <v>3</v>
      </c>
      <c r="H9" s="216"/>
      <c r="I9" s="216"/>
      <c r="J9" s="216"/>
      <c r="K9" s="218"/>
      <c r="L9" s="218"/>
      <c r="M9" s="218"/>
      <c r="N9" s="129"/>
      <c r="O9" s="129"/>
    </row>
    <row r="10" spans="1:15" s="26" customFormat="1" ht="8.25" customHeight="1" thickTop="1" x14ac:dyDescent="0.2">
      <c r="A10" s="44"/>
      <c r="B10" s="206"/>
      <c r="C10" s="207"/>
      <c r="D10" s="207"/>
      <c r="E10" s="193"/>
      <c r="F10" s="81"/>
      <c r="G10" s="89"/>
      <c r="H10" s="193"/>
      <c r="I10" s="193"/>
      <c r="J10" s="193"/>
      <c r="K10" s="193"/>
      <c r="L10" s="193"/>
      <c r="M10" s="45"/>
      <c r="N10" s="130"/>
      <c r="O10" s="130"/>
    </row>
    <row r="11" spans="1:15" s="2" customFormat="1" ht="38.25" x14ac:dyDescent="0.2">
      <c r="A11" s="27"/>
      <c r="B11" s="46"/>
      <c r="C11" s="41" t="s">
        <v>30</v>
      </c>
      <c r="D11" s="1"/>
      <c r="E11" s="16"/>
      <c r="F11" s="82"/>
      <c r="G11" s="90"/>
      <c r="H11" s="194"/>
      <c r="I11" s="194"/>
      <c r="J11" s="194"/>
      <c r="K11" s="194"/>
      <c r="L11" s="194"/>
      <c r="M11" s="15"/>
      <c r="N11" s="80"/>
      <c r="O11" s="80"/>
    </row>
    <row r="12" spans="1:15" s="2" customFormat="1" ht="134.25" customHeight="1" x14ac:dyDescent="0.2">
      <c r="A12" s="11">
        <v>1</v>
      </c>
      <c r="B12" s="36"/>
      <c r="C12" s="7" t="s">
        <v>32</v>
      </c>
      <c r="D12" s="1"/>
      <c r="E12" s="16"/>
      <c r="F12" s="83"/>
      <c r="G12" s="91"/>
      <c r="H12" s="195"/>
      <c r="I12" s="195"/>
      <c r="J12" s="195"/>
      <c r="K12" s="195"/>
      <c r="L12" s="195"/>
      <c r="M12" s="15"/>
      <c r="N12" s="80"/>
      <c r="O12" s="80"/>
    </row>
    <row r="13" spans="1:15" s="3" customFormat="1" ht="33.950000000000003" customHeight="1" x14ac:dyDescent="0.2">
      <c r="A13" s="10"/>
      <c r="B13" s="102">
        <f>A12+0.1</f>
        <v>1.1000000000000001</v>
      </c>
      <c r="C13" s="65" t="s">
        <v>53</v>
      </c>
      <c r="D13" s="6" t="s">
        <v>9</v>
      </c>
      <c r="E13" s="17">
        <v>1</v>
      </c>
      <c r="F13" s="177">
        <v>25200</v>
      </c>
      <c r="G13" s="178">
        <v>25200</v>
      </c>
      <c r="H13" s="196">
        <v>2</v>
      </c>
      <c r="I13" s="196"/>
      <c r="J13" s="196">
        <f>I13+H13</f>
        <v>2</v>
      </c>
      <c r="K13" s="196">
        <f>I13*F13</f>
        <v>0</v>
      </c>
      <c r="L13" s="196">
        <f>I13*G13</f>
        <v>0</v>
      </c>
      <c r="M13" s="179">
        <f>L13+K13</f>
        <v>0</v>
      </c>
      <c r="N13" s="192"/>
      <c r="O13" s="192"/>
    </row>
    <row r="14" spans="1:15" s="3" customFormat="1" ht="33.950000000000003" customHeight="1" x14ac:dyDescent="0.2">
      <c r="A14" s="10"/>
      <c r="B14" s="102">
        <f t="shared" ref="B14:B19" si="0">B13+0.1</f>
        <v>1.2000000000000002</v>
      </c>
      <c r="C14" s="101" t="s">
        <v>54</v>
      </c>
      <c r="D14" s="6" t="s">
        <v>9</v>
      </c>
      <c r="E14" s="18">
        <v>1</v>
      </c>
      <c r="F14" s="177">
        <v>25200</v>
      </c>
      <c r="G14" s="178">
        <v>25200</v>
      </c>
      <c r="H14" s="196">
        <v>2</v>
      </c>
      <c r="I14" s="196"/>
      <c r="J14" s="196">
        <f t="shared" ref="J14:J77" si="1">I14+H14</f>
        <v>2</v>
      </c>
      <c r="K14" s="196">
        <f t="shared" ref="K14:K77" si="2">I14*F14</f>
        <v>0</v>
      </c>
      <c r="L14" s="196">
        <f t="shared" ref="L14:L77" si="3">I14*G14</f>
        <v>0</v>
      </c>
      <c r="M14" s="179">
        <f t="shared" ref="M14:M19" si="4">L14+K14</f>
        <v>0</v>
      </c>
      <c r="N14" s="192"/>
      <c r="O14" s="192"/>
    </row>
    <row r="15" spans="1:15" s="3" customFormat="1" ht="33.950000000000003" customHeight="1" x14ac:dyDescent="0.2">
      <c r="A15" s="10"/>
      <c r="B15" s="102">
        <f t="shared" si="0"/>
        <v>1.3000000000000003</v>
      </c>
      <c r="C15" s="101" t="s">
        <v>55</v>
      </c>
      <c r="D15" s="6" t="s">
        <v>9</v>
      </c>
      <c r="E15" s="18">
        <v>1</v>
      </c>
      <c r="F15" s="177">
        <v>25200</v>
      </c>
      <c r="G15" s="178">
        <v>25200</v>
      </c>
      <c r="H15" s="196">
        <v>1</v>
      </c>
      <c r="I15" s="196"/>
      <c r="J15" s="196">
        <f t="shared" si="1"/>
        <v>1</v>
      </c>
      <c r="K15" s="196">
        <f t="shared" si="2"/>
        <v>0</v>
      </c>
      <c r="L15" s="196">
        <f t="shared" si="3"/>
        <v>0</v>
      </c>
      <c r="M15" s="179">
        <f t="shared" si="4"/>
        <v>0</v>
      </c>
      <c r="N15" s="192"/>
      <c r="O15" s="192"/>
    </row>
    <row r="16" spans="1:15" s="3" customFormat="1" ht="33.950000000000003" customHeight="1" x14ac:dyDescent="0.2">
      <c r="A16" s="10"/>
      <c r="B16" s="102">
        <f t="shared" si="0"/>
        <v>1.4000000000000004</v>
      </c>
      <c r="C16" s="101" t="s">
        <v>57</v>
      </c>
      <c r="D16" s="6" t="s">
        <v>9</v>
      </c>
      <c r="E16" s="18">
        <v>1</v>
      </c>
      <c r="F16" s="177">
        <v>25200</v>
      </c>
      <c r="G16" s="178">
        <v>25200</v>
      </c>
      <c r="H16" s="196">
        <v>2</v>
      </c>
      <c r="I16" s="196"/>
      <c r="J16" s="196">
        <f t="shared" si="1"/>
        <v>2</v>
      </c>
      <c r="K16" s="196">
        <f t="shared" si="2"/>
        <v>0</v>
      </c>
      <c r="L16" s="196">
        <f t="shared" si="3"/>
        <v>0</v>
      </c>
      <c r="M16" s="179">
        <f t="shared" si="4"/>
        <v>0</v>
      </c>
      <c r="N16" s="192"/>
      <c r="O16" s="192"/>
    </row>
    <row r="17" spans="1:15" s="3" customFormat="1" ht="33.950000000000003" customHeight="1" x14ac:dyDescent="0.2">
      <c r="A17" s="10"/>
      <c r="B17" s="102">
        <f t="shared" si="0"/>
        <v>1.5000000000000004</v>
      </c>
      <c r="C17" s="101" t="s">
        <v>56</v>
      </c>
      <c r="D17" s="6" t="s">
        <v>9</v>
      </c>
      <c r="E17" s="18">
        <v>1</v>
      </c>
      <c r="F17" s="177">
        <v>25200</v>
      </c>
      <c r="G17" s="178">
        <v>25200</v>
      </c>
      <c r="H17" s="196">
        <v>2</v>
      </c>
      <c r="I17" s="196"/>
      <c r="J17" s="196">
        <f t="shared" si="1"/>
        <v>2</v>
      </c>
      <c r="K17" s="196">
        <f t="shared" si="2"/>
        <v>0</v>
      </c>
      <c r="L17" s="196">
        <f t="shared" si="3"/>
        <v>0</v>
      </c>
      <c r="M17" s="179">
        <f t="shared" si="4"/>
        <v>0</v>
      </c>
      <c r="N17" s="192"/>
      <c r="O17" s="192"/>
    </row>
    <row r="18" spans="1:15" s="3" customFormat="1" ht="33.950000000000003" customHeight="1" x14ac:dyDescent="0.2">
      <c r="A18" s="10"/>
      <c r="B18" s="102">
        <f t="shared" si="0"/>
        <v>1.6000000000000005</v>
      </c>
      <c r="C18" s="101" t="s">
        <v>58</v>
      </c>
      <c r="D18" s="6" t="s">
        <v>9</v>
      </c>
      <c r="E18" s="17">
        <v>1</v>
      </c>
      <c r="F18" s="177">
        <v>25200</v>
      </c>
      <c r="G18" s="178">
        <v>25200</v>
      </c>
      <c r="H18" s="196">
        <v>3</v>
      </c>
      <c r="I18" s="196"/>
      <c r="J18" s="196">
        <f t="shared" si="1"/>
        <v>3</v>
      </c>
      <c r="K18" s="196">
        <f t="shared" si="2"/>
        <v>0</v>
      </c>
      <c r="L18" s="196">
        <f t="shared" si="3"/>
        <v>0</v>
      </c>
      <c r="M18" s="179">
        <f t="shared" si="4"/>
        <v>0</v>
      </c>
      <c r="N18" s="192"/>
      <c r="O18" s="192"/>
    </row>
    <row r="19" spans="1:15" s="3" customFormat="1" ht="33.950000000000003" customHeight="1" thickBot="1" x14ac:dyDescent="0.25">
      <c r="A19" s="141"/>
      <c r="B19" s="142">
        <f t="shared" si="0"/>
        <v>1.7000000000000006</v>
      </c>
      <c r="C19" s="143" t="s">
        <v>59</v>
      </c>
      <c r="D19" s="144" t="s">
        <v>9</v>
      </c>
      <c r="E19" s="145">
        <v>1</v>
      </c>
      <c r="F19" s="177">
        <v>25200</v>
      </c>
      <c r="G19" s="178">
        <v>25200</v>
      </c>
      <c r="H19" s="196">
        <v>3</v>
      </c>
      <c r="I19" s="196"/>
      <c r="J19" s="196">
        <f t="shared" si="1"/>
        <v>3</v>
      </c>
      <c r="K19" s="196">
        <f t="shared" si="2"/>
        <v>0</v>
      </c>
      <c r="L19" s="196">
        <f t="shared" si="3"/>
        <v>0</v>
      </c>
      <c r="M19" s="179">
        <f t="shared" si="4"/>
        <v>0</v>
      </c>
      <c r="N19" s="192"/>
      <c r="O19" s="192"/>
    </row>
    <row r="20" spans="1:15" s="2" customFormat="1" ht="102" x14ac:dyDescent="0.2">
      <c r="A20" s="107">
        <f>A12+1</f>
        <v>2</v>
      </c>
      <c r="B20" s="108"/>
      <c r="C20" s="109" t="s">
        <v>33</v>
      </c>
      <c r="D20" s="110"/>
      <c r="E20" s="111"/>
      <c r="F20" s="112"/>
      <c r="G20" s="113"/>
      <c r="H20" s="197"/>
      <c r="I20" s="197"/>
      <c r="J20" s="196">
        <f t="shared" si="1"/>
        <v>0</v>
      </c>
      <c r="K20" s="196">
        <f t="shared" si="2"/>
        <v>0</v>
      </c>
      <c r="L20" s="196">
        <f t="shared" si="3"/>
        <v>0</v>
      </c>
      <c r="M20" s="114"/>
      <c r="N20" s="192"/>
      <c r="O20" s="192"/>
    </row>
    <row r="21" spans="1:15" s="3" customFormat="1" ht="26.1" customHeight="1" x14ac:dyDescent="0.2">
      <c r="A21" s="10"/>
      <c r="B21" s="100">
        <f>A20+0.1</f>
        <v>2.1</v>
      </c>
      <c r="C21" s="101" t="s">
        <v>60</v>
      </c>
      <c r="D21" s="6" t="s">
        <v>5</v>
      </c>
      <c r="E21" s="17">
        <v>5</v>
      </c>
      <c r="F21" s="177">
        <v>6720</v>
      </c>
      <c r="G21" s="178">
        <v>5040</v>
      </c>
      <c r="H21" s="196">
        <v>3</v>
      </c>
      <c r="I21" s="196"/>
      <c r="J21" s="196">
        <f t="shared" si="1"/>
        <v>3</v>
      </c>
      <c r="K21" s="196">
        <f t="shared" si="2"/>
        <v>0</v>
      </c>
      <c r="L21" s="196">
        <f t="shared" si="3"/>
        <v>0</v>
      </c>
      <c r="M21" s="179">
        <f t="shared" ref="M21:M22" si="5">L21+K21</f>
        <v>0</v>
      </c>
      <c r="N21" s="192"/>
      <c r="O21" s="192"/>
    </row>
    <row r="22" spans="1:15" s="3" customFormat="1" ht="30" customHeight="1" x14ac:dyDescent="0.2">
      <c r="A22" s="10"/>
      <c r="B22" s="100">
        <f t="shared" ref="B22" si="6">B21+0.1</f>
        <v>2.2000000000000002</v>
      </c>
      <c r="C22" s="101" t="s">
        <v>61</v>
      </c>
      <c r="D22" s="6" t="s">
        <v>5</v>
      </c>
      <c r="E22" s="18">
        <v>4</v>
      </c>
      <c r="F22" s="177">
        <v>6720</v>
      </c>
      <c r="G22" s="178">
        <v>5040</v>
      </c>
      <c r="H22" s="196">
        <v>0</v>
      </c>
      <c r="I22" s="196"/>
      <c r="J22" s="196">
        <f t="shared" si="1"/>
        <v>0</v>
      </c>
      <c r="K22" s="196">
        <f t="shared" si="2"/>
        <v>0</v>
      </c>
      <c r="L22" s="196">
        <f t="shared" si="3"/>
        <v>0</v>
      </c>
      <c r="M22" s="179">
        <f t="shared" si="5"/>
        <v>0</v>
      </c>
      <c r="N22" s="192"/>
      <c r="O22" s="192"/>
    </row>
    <row r="23" spans="1:15" s="2" customFormat="1" ht="120" customHeight="1" x14ac:dyDescent="0.2">
      <c r="A23" s="11">
        <f>A20+1</f>
        <v>3</v>
      </c>
      <c r="B23" s="66"/>
      <c r="C23" s="126" t="s">
        <v>37</v>
      </c>
      <c r="D23" s="13"/>
      <c r="E23" s="124"/>
      <c r="F23" s="84"/>
      <c r="G23" s="92"/>
      <c r="H23" s="198"/>
      <c r="I23" s="198"/>
      <c r="J23" s="196">
        <f t="shared" si="1"/>
        <v>0</v>
      </c>
      <c r="K23" s="196">
        <f t="shared" si="2"/>
        <v>0</v>
      </c>
      <c r="L23" s="196">
        <f t="shared" si="3"/>
        <v>0</v>
      </c>
      <c r="M23" s="14"/>
      <c r="N23" s="192"/>
      <c r="O23" s="192"/>
    </row>
    <row r="24" spans="1:15" s="3" customFormat="1" ht="24.95" customHeight="1" x14ac:dyDescent="0.2">
      <c r="A24" s="32"/>
      <c r="B24" s="51" t="s">
        <v>35</v>
      </c>
      <c r="C24" s="133" t="s">
        <v>36</v>
      </c>
      <c r="D24" s="42"/>
      <c r="E24" s="125"/>
      <c r="F24" s="85"/>
      <c r="G24" s="93"/>
      <c r="H24" s="199"/>
      <c r="I24" s="199"/>
      <c r="J24" s="196">
        <f t="shared" si="1"/>
        <v>0</v>
      </c>
      <c r="K24" s="196">
        <f t="shared" si="2"/>
        <v>0</v>
      </c>
      <c r="L24" s="196">
        <f t="shared" si="3"/>
        <v>0</v>
      </c>
      <c r="M24" s="50"/>
      <c r="N24" s="192"/>
      <c r="O24" s="192"/>
    </row>
    <row r="25" spans="1:15" s="3" customFormat="1" ht="24.95" customHeight="1" x14ac:dyDescent="0.2">
      <c r="A25" s="40"/>
      <c r="B25" s="31">
        <f>A23+0.1</f>
        <v>3.1</v>
      </c>
      <c r="C25" s="52" t="s">
        <v>17</v>
      </c>
      <c r="D25" s="6" t="s">
        <v>23</v>
      </c>
      <c r="E25" s="17">
        <v>65</v>
      </c>
      <c r="F25" s="177">
        <v>348.6</v>
      </c>
      <c r="G25" s="178">
        <v>126</v>
      </c>
      <c r="H25" s="196">
        <v>369</v>
      </c>
      <c r="I25" s="196"/>
      <c r="J25" s="196">
        <f t="shared" si="1"/>
        <v>369</v>
      </c>
      <c r="K25" s="196">
        <f t="shared" si="2"/>
        <v>0</v>
      </c>
      <c r="L25" s="196">
        <f t="shared" si="3"/>
        <v>0</v>
      </c>
      <c r="M25" s="179">
        <f t="shared" ref="M25:M34" si="7">L25+K25</f>
        <v>0</v>
      </c>
      <c r="N25" s="192"/>
      <c r="O25" s="192"/>
    </row>
    <row r="26" spans="1:15" s="3" customFormat="1" ht="30" customHeight="1" x14ac:dyDescent="0.2">
      <c r="A26" s="40"/>
      <c r="B26" s="31">
        <f>B25+0.1</f>
        <v>3.2</v>
      </c>
      <c r="C26" s="53" t="s">
        <v>18</v>
      </c>
      <c r="D26" s="43" t="s">
        <v>23</v>
      </c>
      <c r="E26" s="18">
        <f>1550+180</f>
        <v>1730</v>
      </c>
      <c r="F26" s="177">
        <v>403.2</v>
      </c>
      <c r="G26" s="178">
        <v>126</v>
      </c>
      <c r="H26" s="196">
        <f>2816+100</f>
        <v>2916</v>
      </c>
      <c r="I26" s="196">
        <v>30</v>
      </c>
      <c r="J26" s="196">
        <f t="shared" si="1"/>
        <v>2946</v>
      </c>
      <c r="K26" s="196">
        <f t="shared" si="2"/>
        <v>12096</v>
      </c>
      <c r="L26" s="196">
        <f t="shared" si="3"/>
        <v>3780</v>
      </c>
      <c r="M26" s="179">
        <f t="shared" si="7"/>
        <v>15876</v>
      </c>
      <c r="N26" s="192"/>
      <c r="O26" s="192"/>
    </row>
    <row r="27" spans="1:15" s="3" customFormat="1" ht="30" customHeight="1" x14ac:dyDescent="0.2">
      <c r="A27" s="40"/>
      <c r="B27" s="31">
        <f>B26+0.1</f>
        <v>3.3000000000000003</v>
      </c>
      <c r="C27" s="53" t="s">
        <v>19</v>
      </c>
      <c r="D27" s="43" t="s">
        <v>23</v>
      </c>
      <c r="E27" s="18">
        <v>670</v>
      </c>
      <c r="F27" s="177">
        <v>882</v>
      </c>
      <c r="G27" s="178">
        <v>126</v>
      </c>
      <c r="H27" s="196">
        <v>515</v>
      </c>
      <c r="I27" s="196"/>
      <c r="J27" s="196">
        <f t="shared" si="1"/>
        <v>515</v>
      </c>
      <c r="K27" s="196">
        <f t="shared" si="2"/>
        <v>0</v>
      </c>
      <c r="L27" s="196">
        <f t="shared" si="3"/>
        <v>0</v>
      </c>
      <c r="M27" s="179">
        <f t="shared" si="7"/>
        <v>0</v>
      </c>
      <c r="N27" s="192"/>
      <c r="O27" s="192"/>
    </row>
    <row r="28" spans="1:15" s="3" customFormat="1" ht="30" customHeight="1" thickBot="1" x14ac:dyDescent="0.25">
      <c r="A28" s="115"/>
      <c r="B28" s="116">
        <f>B27+0.1</f>
        <v>3.4000000000000004</v>
      </c>
      <c r="C28" s="117" t="s">
        <v>20</v>
      </c>
      <c r="D28" s="118" t="s">
        <v>23</v>
      </c>
      <c r="E28" s="134">
        <v>1565</v>
      </c>
      <c r="F28" s="184">
        <v>1008</v>
      </c>
      <c r="G28" s="185">
        <v>168</v>
      </c>
      <c r="H28" s="200">
        <f>1771+100</f>
        <v>1871</v>
      </c>
      <c r="I28" s="200">
        <v>82</v>
      </c>
      <c r="J28" s="196">
        <f t="shared" si="1"/>
        <v>1953</v>
      </c>
      <c r="K28" s="196">
        <f t="shared" si="2"/>
        <v>82656</v>
      </c>
      <c r="L28" s="196">
        <f t="shared" si="3"/>
        <v>13776</v>
      </c>
      <c r="M28" s="186">
        <f t="shared" si="7"/>
        <v>96432</v>
      </c>
      <c r="N28" s="192"/>
      <c r="O28" s="192"/>
    </row>
    <row r="29" spans="1:15" s="3" customFormat="1" ht="30" customHeight="1" x14ac:dyDescent="0.2">
      <c r="A29" s="119"/>
      <c r="B29" s="120">
        <f t="shared" ref="B29:B33" si="8">B28+0.1</f>
        <v>3.5000000000000004</v>
      </c>
      <c r="C29" s="121" t="s">
        <v>21</v>
      </c>
      <c r="D29" s="122" t="s">
        <v>23</v>
      </c>
      <c r="E29" s="135">
        <v>605</v>
      </c>
      <c r="F29" s="177">
        <v>1139.8800000000001</v>
      </c>
      <c r="G29" s="178">
        <v>168</v>
      </c>
      <c r="H29" s="196">
        <f>1939+100</f>
        <v>2039</v>
      </c>
      <c r="I29" s="196"/>
      <c r="J29" s="196">
        <f t="shared" si="1"/>
        <v>2039</v>
      </c>
      <c r="K29" s="196">
        <f t="shared" si="2"/>
        <v>0</v>
      </c>
      <c r="L29" s="196">
        <f t="shared" si="3"/>
        <v>0</v>
      </c>
      <c r="M29" s="179">
        <f t="shared" si="7"/>
        <v>0</v>
      </c>
      <c r="N29" s="192"/>
      <c r="O29" s="192"/>
    </row>
    <row r="30" spans="1:15" s="3" customFormat="1" ht="30" customHeight="1" x14ac:dyDescent="0.2">
      <c r="A30" s="40"/>
      <c r="B30" s="31">
        <f t="shared" si="8"/>
        <v>3.6000000000000005</v>
      </c>
      <c r="C30" s="52" t="s">
        <v>22</v>
      </c>
      <c r="D30" s="6" t="s">
        <v>23</v>
      </c>
      <c r="E30" s="17">
        <f>25+180</f>
        <v>205</v>
      </c>
      <c r="F30" s="177">
        <v>1470</v>
      </c>
      <c r="G30" s="178">
        <v>168</v>
      </c>
      <c r="H30" s="196">
        <f>495+100</f>
        <v>595</v>
      </c>
      <c r="I30" s="196"/>
      <c r="J30" s="196">
        <f t="shared" si="1"/>
        <v>595</v>
      </c>
      <c r="K30" s="196">
        <f t="shared" si="2"/>
        <v>0</v>
      </c>
      <c r="L30" s="196">
        <f t="shared" si="3"/>
        <v>0</v>
      </c>
      <c r="M30" s="179">
        <f t="shared" si="7"/>
        <v>0</v>
      </c>
      <c r="N30" s="192"/>
      <c r="O30" s="192"/>
    </row>
    <row r="31" spans="1:15" s="3" customFormat="1" ht="30" customHeight="1" x14ac:dyDescent="0.2">
      <c r="A31" s="40"/>
      <c r="B31" s="31">
        <f t="shared" si="8"/>
        <v>3.7000000000000006</v>
      </c>
      <c r="C31" s="52" t="s">
        <v>67</v>
      </c>
      <c r="D31" s="6" t="s">
        <v>23</v>
      </c>
      <c r="E31" s="18">
        <v>945</v>
      </c>
      <c r="F31" s="177">
        <v>1764</v>
      </c>
      <c r="G31" s="178">
        <v>168</v>
      </c>
      <c r="H31" s="196">
        <f>542+123</f>
        <v>665</v>
      </c>
      <c r="I31" s="196">
        <v>52</v>
      </c>
      <c r="J31" s="196">
        <f t="shared" si="1"/>
        <v>717</v>
      </c>
      <c r="K31" s="196">
        <f t="shared" si="2"/>
        <v>91728</v>
      </c>
      <c r="L31" s="196">
        <f t="shared" si="3"/>
        <v>8736</v>
      </c>
      <c r="M31" s="179">
        <f t="shared" si="7"/>
        <v>100464</v>
      </c>
      <c r="N31" s="192"/>
      <c r="O31" s="192"/>
    </row>
    <row r="32" spans="1:15" s="3" customFormat="1" ht="30" customHeight="1" x14ac:dyDescent="0.2">
      <c r="A32" s="40"/>
      <c r="B32" s="31">
        <f t="shared" si="8"/>
        <v>3.8000000000000007</v>
      </c>
      <c r="C32" s="52" t="s">
        <v>27</v>
      </c>
      <c r="D32" s="6" t="s">
        <v>23</v>
      </c>
      <c r="E32" s="18">
        <v>215</v>
      </c>
      <c r="F32" s="177">
        <v>2604</v>
      </c>
      <c r="G32" s="178">
        <v>168</v>
      </c>
      <c r="H32" s="196">
        <v>0</v>
      </c>
      <c r="I32" s="196"/>
      <c r="J32" s="196">
        <f t="shared" si="1"/>
        <v>0</v>
      </c>
      <c r="K32" s="196">
        <f t="shared" si="2"/>
        <v>0</v>
      </c>
      <c r="L32" s="196">
        <f t="shared" si="3"/>
        <v>0</v>
      </c>
      <c r="M32" s="179">
        <f t="shared" si="7"/>
        <v>0</v>
      </c>
      <c r="N32" s="192"/>
      <c r="O32" s="192"/>
    </row>
    <row r="33" spans="1:15" s="3" customFormat="1" ht="30" customHeight="1" x14ac:dyDescent="0.2">
      <c r="A33" s="40"/>
      <c r="B33" s="31">
        <f t="shared" si="8"/>
        <v>3.9000000000000008</v>
      </c>
      <c r="C33" s="53" t="s">
        <v>26</v>
      </c>
      <c r="D33" s="6" t="s">
        <v>23</v>
      </c>
      <c r="E33" s="18">
        <v>85</v>
      </c>
      <c r="F33" s="177">
        <v>4032</v>
      </c>
      <c r="G33" s="178">
        <v>168</v>
      </c>
      <c r="H33" s="196">
        <f>236+638</f>
        <v>874</v>
      </c>
      <c r="I33" s="196"/>
      <c r="J33" s="196">
        <f t="shared" si="1"/>
        <v>874</v>
      </c>
      <c r="K33" s="196">
        <f t="shared" si="2"/>
        <v>0</v>
      </c>
      <c r="L33" s="196">
        <f t="shared" si="3"/>
        <v>0</v>
      </c>
      <c r="M33" s="179">
        <f t="shared" si="7"/>
        <v>0</v>
      </c>
      <c r="N33" s="192"/>
      <c r="O33" s="192"/>
    </row>
    <row r="34" spans="1:15" s="3" customFormat="1" ht="30" customHeight="1" x14ac:dyDescent="0.2">
      <c r="A34" s="40"/>
      <c r="B34" s="97">
        <f>B33-0.8</f>
        <v>3.1000000000000005</v>
      </c>
      <c r="C34" s="53" t="s">
        <v>28</v>
      </c>
      <c r="D34" s="43" t="s">
        <v>23</v>
      </c>
      <c r="E34" s="18">
        <v>5</v>
      </c>
      <c r="F34" s="177">
        <v>7770</v>
      </c>
      <c r="G34" s="178">
        <v>210</v>
      </c>
      <c r="H34" s="196">
        <v>0</v>
      </c>
      <c r="I34" s="196"/>
      <c r="J34" s="196">
        <f t="shared" si="1"/>
        <v>0</v>
      </c>
      <c r="K34" s="196">
        <f t="shared" si="2"/>
        <v>0</v>
      </c>
      <c r="L34" s="196">
        <f t="shared" si="3"/>
        <v>0</v>
      </c>
      <c r="M34" s="179">
        <f t="shared" si="7"/>
        <v>0</v>
      </c>
      <c r="N34" s="192"/>
      <c r="O34" s="192"/>
    </row>
    <row r="35" spans="1:15" s="3" customFormat="1" ht="24.95" customHeight="1" x14ac:dyDescent="0.2">
      <c r="A35" s="32"/>
      <c r="B35" s="51" t="s">
        <v>38</v>
      </c>
      <c r="C35" s="133" t="s">
        <v>68</v>
      </c>
      <c r="D35" s="42"/>
      <c r="E35" s="125"/>
      <c r="F35" s="85"/>
      <c r="G35" s="93"/>
      <c r="H35" s="199"/>
      <c r="I35" s="199"/>
      <c r="J35" s="196">
        <f t="shared" si="1"/>
        <v>0</v>
      </c>
      <c r="K35" s="196">
        <f t="shared" si="2"/>
        <v>0</v>
      </c>
      <c r="L35" s="196">
        <f t="shared" si="3"/>
        <v>0</v>
      </c>
      <c r="M35" s="50"/>
      <c r="N35" s="192"/>
      <c r="O35" s="192"/>
    </row>
    <row r="36" spans="1:15" s="3" customFormat="1" ht="24.95" customHeight="1" x14ac:dyDescent="0.2">
      <c r="A36" s="40"/>
      <c r="B36" s="97">
        <f>B34+0.01</f>
        <v>3.1100000000000003</v>
      </c>
      <c r="C36" s="52" t="s">
        <v>17</v>
      </c>
      <c r="D36" s="6" t="s">
        <v>23</v>
      </c>
      <c r="E36" s="17">
        <v>250</v>
      </c>
      <c r="F36" s="177">
        <v>378</v>
      </c>
      <c r="G36" s="178">
        <v>126</v>
      </c>
      <c r="H36" s="196">
        <v>248</v>
      </c>
      <c r="I36" s="196"/>
      <c r="J36" s="196">
        <f t="shared" si="1"/>
        <v>248</v>
      </c>
      <c r="K36" s="196">
        <f t="shared" si="2"/>
        <v>0</v>
      </c>
      <c r="L36" s="196">
        <f t="shared" si="3"/>
        <v>0</v>
      </c>
      <c r="M36" s="179">
        <f t="shared" ref="M36:M39" si="9">L36+K36</f>
        <v>0</v>
      </c>
      <c r="N36" s="192"/>
      <c r="O36" s="192"/>
    </row>
    <row r="37" spans="1:15" s="3" customFormat="1" ht="30" customHeight="1" x14ac:dyDescent="0.2">
      <c r="A37" s="40"/>
      <c r="B37" s="97">
        <f>B36+0.01</f>
        <v>3.12</v>
      </c>
      <c r="C37" s="53" t="s">
        <v>19</v>
      </c>
      <c r="D37" s="43" t="s">
        <v>23</v>
      </c>
      <c r="E37" s="18">
        <v>250</v>
      </c>
      <c r="F37" s="177">
        <v>693</v>
      </c>
      <c r="G37" s="178">
        <v>126</v>
      </c>
      <c r="H37" s="196">
        <v>248</v>
      </c>
      <c r="I37" s="196"/>
      <c r="J37" s="196">
        <f t="shared" si="1"/>
        <v>248</v>
      </c>
      <c r="K37" s="196">
        <f t="shared" si="2"/>
        <v>0</v>
      </c>
      <c r="L37" s="196">
        <f t="shared" si="3"/>
        <v>0</v>
      </c>
      <c r="M37" s="179">
        <f t="shared" si="9"/>
        <v>0</v>
      </c>
      <c r="N37" s="192"/>
      <c r="O37" s="192"/>
    </row>
    <row r="38" spans="1:15" s="2" customFormat="1" ht="83.25" customHeight="1" x14ac:dyDescent="0.2">
      <c r="A38" s="11">
        <f>A23+1</f>
        <v>4</v>
      </c>
      <c r="B38" s="66"/>
      <c r="C38" s="136" t="s">
        <v>39</v>
      </c>
      <c r="D38" s="64" t="s">
        <v>8</v>
      </c>
      <c r="E38" s="59">
        <v>1</v>
      </c>
      <c r="F38" s="181">
        <v>504000</v>
      </c>
      <c r="G38" s="182">
        <v>210000</v>
      </c>
      <c r="H38" s="201">
        <v>1</v>
      </c>
      <c r="I38" s="201"/>
      <c r="J38" s="196">
        <f t="shared" si="1"/>
        <v>1</v>
      </c>
      <c r="K38" s="196">
        <f t="shared" si="2"/>
        <v>0</v>
      </c>
      <c r="L38" s="196">
        <f t="shared" si="3"/>
        <v>0</v>
      </c>
      <c r="M38" s="183">
        <f t="shared" si="9"/>
        <v>0</v>
      </c>
      <c r="N38" s="192"/>
      <c r="O38" s="192"/>
    </row>
    <row r="39" spans="1:15" s="3" customFormat="1" ht="82.5" customHeight="1" thickBot="1" x14ac:dyDescent="0.25">
      <c r="A39" s="146">
        <f>A38+1</f>
        <v>5</v>
      </c>
      <c r="B39" s="116"/>
      <c r="C39" s="147" t="s">
        <v>15</v>
      </c>
      <c r="D39" s="148" t="s">
        <v>24</v>
      </c>
      <c r="E39" s="149">
        <v>500</v>
      </c>
      <c r="F39" s="181">
        <v>483</v>
      </c>
      <c r="G39" s="182">
        <v>84</v>
      </c>
      <c r="H39" s="201">
        <v>1000</v>
      </c>
      <c r="I39" s="201"/>
      <c r="J39" s="196">
        <f t="shared" si="1"/>
        <v>1000</v>
      </c>
      <c r="K39" s="196">
        <f t="shared" si="2"/>
        <v>0</v>
      </c>
      <c r="L39" s="196">
        <f t="shared" si="3"/>
        <v>0</v>
      </c>
      <c r="M39" s="183">
        <f t="shared" si="9"/>
        <v>0</v>
      </c>
      <c r="N39" s="192"/>
      <c r="O39" s="192"/>
    </row>
    <row r="40" spans="1:15" s="3" customFormat="1" ht="89.25" x14ac:dyDescent="0.2">
      <c r="A40" s="107">
        <f>A39+1</f>
        <v>6</v>
      </c>
      <c r="B40" s="120"/>
      <c r="C40" s="150" t="s">
        <v>40</v>
      </c>
      <c r="D40" s="110"/>
      <c r="E40" s="111"/>
      <c r="F40" s="151"/>
      <c r="G40" s="152"/>
      <c r="H40" s="202"/>
      <c r="I40" s="202"/>
      <c r="J40" s="196">
        <f t="shared" si="1"/>
        <v>0</v>
      </c>
      <c r="K40" s="196">
        <f t="shared" si="2"/>
        <v>0</v>
      </c>
      <c r="L40" s="196">
        <f t="shared" si="3"/>
        <v>0</v>
      </c>
      <c r="M40" s="114"/>
      <c r="N40" s="192"/>
      <c r="O40" s="192"/>
    </row>
    <row r="41" spans="1:15" s="3" customFormat="1" ht="24" customHeight="1" x14ac:dyDescent="0.2">
      <c r="A41" s="35"/>
      <c r="B41" s="37">
        <f>A40+0.1</f>
        <v>6.1</v>
      </c>
      <c r="C41" s="33" t="s">
        <v>41</v>
      </c>
      <c r="D41" s="4" t="s">
        <v>23</v>
      </c>
      <c r="E41" s="17">
        <v>900</v>
      </c>
      <c r="F41" s="177">
        <v>336</v>
      </c>
      <c r="G41" s="178">
        <v>50.4</v>
      </c>
      <c r="H41" s="196">
        <f>547+125</f>
        <v>672</v>
      </c>
      <c r="I41" s="196">
        <v>110</v>
      </c>
      <c r="J41" s="196">
        <f t="shared" si="1"/>
        <v>782</v>
      </c>
      <c r="K41" s="196">
        <f t="shared" si="2"/>
        <v>36960</v>
      </c>
      <c r="L41" s="196">
        <f t="shared" si="3"/>
        <v>5544</v>
      </c>
      <c r="M41" s="179">
        <f t="shared" ref="M41:M44" si="10">L41+K41</f>
        <v>42504</v>
      </c>
      <c r="N41" s="192"/>
      <c r="O41" s="192"/>
    </row>
    <row r="42" spans="1:15" s="3" customFormat="1" ht="24" customHeight="1" x14ac:dyDescent="0.2">
      <c r="A42" s="35"/>
      <c r="B42" s="37">
        <f>B41+0.1</f>
        <v>6.1999999999999993</v>
      </c>
      <c r="C42" s="33" t="s">
        <v>42</v>
      </c>
      <c r="D42" s="4" t="s">
        <v>23</v>
      </c>
      <c r="E42" s="17">
        <v>450</v>
      </c>
      <c r="F42" s="177">
        <v>378</v>
      </c>
      <c r="G42" s="178">
        <v>58.8</v>
      </c>
      <c r="H42" s="196">
        <v>824</v>
      </c>
      <c r="I42" s="196"/>
      <c r="J42" s="196">
        <f t="shared" si="1"/>
        <v>824</v>
      </c>
      <c r="K42" s="196">
        <f t="shared" si="2"/>
        <v>0</v>
      </c>
      <c r="L42" s="196">
        <f t="shared" si="3"/>
        <v>0</v>
      </c>
      <c r="M42" s="179">
        <f t="shared" si="10"/>
        <v>0</v>
      </c>
      <c r="N42" s="192"/>
      <c r="O42" s="192"/>
    </row>
    <row r="43" spans="1:15" s="3" customFormat="1" ht="24" customHeight="1" x14ac:dyDescent="0.2">
      <c r="A43" s="35"/>
      <c r="B43" s="37">
        <f>B42+0.1</f>
        <v>6.2999999999999989</v>
      </c>
      <c r="C43" s="33" t="s">
        <v>43</v>
      </c>
      <c r="D43" s="4" t="s">
        <v>23</v>
      </c>
      <c r="E43" s="17">
        <v>10</v>
      </c>
      <c r="F43" s="177">
        <v>655.20000000000005</v>
      </c>
      <c r="G43" s="178">
        <v>67.2</v>
      </c>
      <c r="H43" s="196">
        <v>10</v>
      </c>
      <c r="I43" s="196"/>
      <c r="J43" s="196">
        <f t="shared" si="1"/>
        <v>10</v>
      </c>
      <c r="K43" s="196">
        <f t="shared" si="2"/>
        <v>0</v>
      </c>
      <c r="L43" s="196">
        <f t="shared" si="3"/>
        <v>0</v>
      </c>
      <c r="M43" s="179">
        <f t="shared" si="10"/>
        <v>0</v>
      </c>
      <c r="N43" s="192"/>
      <c r="O43" s="192"/>
    </row>
    <row r="44" spans="1:15" s="3" customFormat="1" ht="24" customHeight="1" x14ac:dyDescent="0.2">
      <c r="A44" s="35"/>
      <c r="B44" s="37">
        <f>B43+0.1</f>
        <v>6.3999999999999986</v>
      </c>
      <c r="C44" s="33" t="s">
        <v>44</v>
      </c>
      <c r="D44" s="4" t="s">
        <v>23</v>
      </c>
      <c r="E44" s="17">
        <v>10</v>
      </c>
      <c r="F44" s="177">
        <v>882</v>
      </c>
      <c r="G44" s="178">
        <v>84</v>
      </c>
      <c r="H44" s="196">
        <v>10</v>
      </c>
      <c r="I44" s="196"/>
      <c r="J44" s="196">
        <f t="shared" si="1"/>
        <v>10</v>
      </c>
      <c r="K44" s="196">
        <f t="shared" si="2"/>
        <v>0</v>
      </c>
      <c r="L44" s="196">
        <f t="shared" si="3"/>
        <v>0</v>
      </c>
      <c r="M44" s="179">
        <f t="shared" si="10"/>
        <v>0</v>
      </c>
      <c r="N44" s="192"/>
      <c r="O44" s="192"/>
    </row>
    <row r="45" spans="1:15" s="3" customFormat="1" ht="51" x14ac:dyDescent="0.2">
      <c r="A45" s="12">
        <f>A40+1</f>
        <v>7</v>
      </c>
      <c r="B45" s="31"/>
      <c r="C45" s="103" t="s">
        <v>14</v>
      </c>
      <c r="D45" s="1"/>
      <c r="E45" s="16"/>
      <c r="F45" s="86"/>
      <c r="G45" s="90"/>
      <c r="H45" s="194"/>
      <c r="I45" s="194"/>
      <c r="J45" s="196">
        <f t="shared" si="1"/>
        <v>0</v>
      </c>
      <c r="K45" s="196">
        <f t="shared" si="2"/>
        <v>0</v>
      </c>
      <c r="L45" s="196">
        <f t="shared" si="3"/>
        <v>0</v>
      </c>
      <c r="M45" s="15"/>
      <c r="N45" s="192"/>
      <c r="O45" s="192"/>
    </row>
    <row r="46" spans="1:15" s="3" customFormat="1" ht="24" customHeight="1" x14ac:dyDescent="0.2">
      <c r="A46" s="35"/>
      <c r="B46" s="37">
        <f>A45+0.1</f>
        <v>7.1</v>
      </c>
      <c r="C46" s="33" t="s">
        <v>47</v>
      </c>
      <c r="D46" s="4" t="s">
        <v>5</v>
      </c>
      <c r="E46" s="17">
        <v>3</v>
      </c>
      <c r="F46" s="177">
        <v>71400</v>
      </c>
      <c r="G46" s="178">
        <v>2520</v>
      </c>
      <c r="H46" s="196">
        <v>0</v>
      </c>
      <c r="I46" s="196"/>
      <c r="J46" s="196">
        <f t="shared" si="1"/>
        <v>0</v>
      </c>
      <c r="K46" s="196">
        <f t="shared" si="2"/>
        <v>0</v>
      </c>
      <c r="L46" s="196">
        <f t="shared" si="3"/>
        <v>0</v>
      </c>
      <c r="M46" s="179">
        <f t="shared" ref="M46" si="11">L46+K46</f>
        <v>0</v>
      </c>
      <c r="N46" s="192"/>
      <c r="O46" s="192"/>
    </row>
    <row r="47" spans="1:15" s="3" customFormat="1" ht="89.25" x14ac:dyDescent="0.2">
      <c r="A47" s="12">
        <f>A45+1</f>
        <v>8</v>
      </c>
      <c r="B47" s="31"/>
      <c r="C47" s="103" t="s">
        <v>70</v>
      </c>
      <c r="D47" s="1"/>
      <c r="E47" s="16"/>
      <c r="F47" s="86"/>
      <c r="G47" s="90"/>
      <c r="H47" s="194"/>
      <c r="I47" s="194"/>
      <c r="J47" s="196">
        <f t="shared" si="1"/>
        <v>0</v>
      </c>
      <c r="K47" s="196">
        <f t="shared" si="2"/>
        <v>0</v>
      </c>
      <c r="L47" s="196">
        <f t="shared" si="3"/>
        <v>0</v>
      </c>
      <c r="M47" s="15"/>
      <c r="N47" s="192"/>
      <c r="O47" s="192"/>
    </row>
    <row r="48" spans="1:15" s="3" customFormat="1" ht="24" customHeight="1" x14ac:dyDescent="0.2">
      <c r="A48" s="12"/>
      <c r="B48" s="37">
        <f>A47+0.1</f>
        <v>8.1</v>
      </c>
      <c r="C48" s="33" t="s">
        <v>62</v>
      </c>
      <c r="D48" s="4" t="s">
        <v>10</v>
      </c>
      <c r="E48" s="17">
        <v>1</v>
      </c>
      <c r="F48" s="177">
        <v>43612.800000000003</v>
      </c>
      <c r="G48" s="178">
        <v>1680</v>
      </c>
      <c r="H48" s="196">
        <v>1</v>
      </c>
      <c r="I48" s="196"/>
      <c r="J48" s="196">
        <f t="shared" si="1"/>
        <v>1</v>
      </c>
      <c r="K48" s="196">
        <f t="shared" si="2"/>
        <v>0</v>
      </c>
      <c r="L48" s="196">
        <f t="shared" si="3"/>
        <v>0</v>
      </c>
      <c r="M48" s="179">
        <f t="shared" ref="M48:M62" si="12">L48+K48</f>
        <v>0</v>
      </c>
      <c r="N48" s="192"/>
      <c r="O48" s="192"/>
    </row>
    <row r="49" spans="1:16" s="3" customFormat="1" ht="24" customHeight="1" x14ac:dyDescent="0.2">
      <c r="A49" s="35"/>
      <c r="B49" s="37">
        <f t="shared" ref="B49:B54" si="13">B48+0.1</f>
        <v>8.1999999999999993</v>
      </c>
      <c r="C49" s="33" t="s">
        <v>63</v>
      </c>
      <c r="D49" s="4" t="s">
        <v>10</v>
      </c>
      <c r="E49" s="17">
        <v>1</v>
      </c>
      <c r="F49" s="177">
        <v>50551.199999999997</v>
      </c>
      <c r="G49" s="178">
        <v>4200</v>
      </c>
      <c r="H49" s="196">
        <v>1</v>
      </c>
      <c r="I49" s="196"/>
      <c r="J49" s="196">
        <f t="shared" si="1"/>
        <v>1</v>
      </c>
      <c r="K49" s="196">
        <f t="shared" si="2"/>
        <v>0</v>
      </c>
      <c r="L49" s="196">
        <f t="shared" si="3"/>
        <v>0</v>
      </c>
      <c r="M49" s="179">
        <f t="shared" si="12"/>
        <v>0</v>
      </c>
      <c r="N49" s="192"/>
      <c r="O49" s="192"/>
    </row>
    <row r="50" spans="1:16" s="3" customFormat="1" ht="24" customHeight="1" x14ac:dyDescent="0.2">
      <c r="A50" s="35"/>
      <c r="B50" s="37">
        <f t="shared" si="13"/>
        <v>8.2999999999999989</v>
      </c>
      <c r="C50" s="33" t="s">
        <v>64</v>
      </c>
      <c r="D50" s="4" t="s">
        <v>10</v>
      </c>
      <c r="E50" s="17">
        <v>1</v>
      </c>
      <c r="F50" s="177">
        <v>231000</v>
      </c>
      <c r="G50" s="178">
        <v>5040</v>
      </c>
      <c r="H50" s="196">
        <v>1</v>
      </c>
      <c r="I50" s="196"/>
      <c r="J50" s="196">
        <f t="shared" si="1"/>
        <v>1</v>
      </c>
      <c r="K50" s="196">
        <f t="shared" si="2"/>
        <v>0</v>
      </c>
      <c r="L50" s="196">
        <f t="shared" si="3"/>
        <v>0</v>
      </c>
      <c r="M50" s="179">
        <f t="shared" si="12"/>
        <v>0</v>
      </c>
      <c r="N50" s="192"/>
      <c r="O50" s="192"/>
    </row>
    <row r="51" spans="1:16" s="3" customFormat="1" ht="24" customHeight="1" thickBot="1" x14ac:dyDescent="0.25">
      <c r="A51" s="153"/>
      <c r="B51" s="154">
        <f t="shared" si="13"/>
        <v>8.3999999999999986</v>
      </c>
      <c r="C51" s="155" t="s">
        <v>65</v>
      </c>
      <c r="D51" s="156" t="s">
        <v>10</v>
      </c>
      <c r="E51" s="145">
        <v>1</v>
      </c>
      <c r="F51" s="184">
        <v>315000</v>
      </c>
      <c r="G51" s="185">
        <v>6720</v>
      </c>
      <c r="H51" s="200">
        <v>1</v>
      </c>
      <c r="I51" s="200"/>
      <c r="J51" s="196">
        <f t="shared" si="1"/>
        <v>1</v>
      </c>
      <c r="K51" s="196">
        <f t="shared" si="2"/>
        <v>0</v>
      </c>
      <c r="L51" s="196">
        <f t="shared" si="3"/>
        <v>0</v>
      </c>
      <c r="M51" s="186">
        <f t="shared" si="12"/>
        <v>0</v>
      </c>
      <c r="N51" s="192"/>
      <c r="O51" s="192"/>
    </row>
    <row r="52" spans="1:16" s="3" customFormat="1" ht="24" customHeight="1" x14ac:dyDescent="0.2">
      <c r="A52" s="157"/>
      <c r="B52" s="158">
        <f t="shared" si="13"/>
        <v>8.4999999999999982</v>
      </c>
      <c r="C52" s="159" t="s">
        <v>85</v>
      </c>
      <c r="D52" s="160" t="s">
        <v>10</v>
      </c>
      <c r="E52" s="135">
        <v>1</v>
      </c>
      <c r="F52" s="177">
        <v>365400</v>
      </c>
      <c r="G52" s="178">
        <v>8400</v>
      </c>
      <c r="H52" s="196">
        <v>1</v>
      </c>
      <c r="I52" s="196"/>
      <c r="J52" s="196">
        <f t="shared" si="1"/>
        <v>1</v>
      </c>
      <c r="K52" s="196">
        <f t="shared" si="2"/>
        <v>0</v>
      </c>
      <c r="L52" s="196">
        <f t="shared" si="3"/>
        <v>0</v>
      </c>
      <c r="M52" s="179">
        <f t="shared" si="12"/>
        <v>0</v>
      </c>
      <c r="N52" s="192"/>
      <c r="O52" s="192"/>
    </row>
    <row r="53" spans="1:16" s="3" customFormat="1" ht="24" customHeight="1" x14ac:dyDescent="0.2">
      <c r="A53" s="35"/>
      <c r="B53" s="37">
        <f t="shared" si="13"/>
        <v>8.5999999999999979</v>
      </c>
      <c r="C53" s="33" t="s">
        <v>66</v>
      </c>
      <c r="D53" s="4" t="s">
        <v>10</v>
      </c>
      <c r="E53" s="17">
        <v>1</v>
      </c>
      <c r="F53" s="177">
        <v>407400</v>
      </c>
      <c r="G53" s="178">
        <v>8400</v>
      </c>
      <c r="H53" s="196">
        <v>1</v>
      </c>
      <c r="I53" s="196"/>
      <c r="J53" s="196">
        <f t="shared" si="1"/>
        <v>1</v>
      </c>
      <c r="K53" s="196">
        <f t="shared" si="2"/>
        <v>0</v>
      </c>
      <c r="L53" s="196">
        <f t="shared" si="3"/>
        <v>0</v>
      </c>
      <c r="M53" s="179">
        <f t="shared" si="12"/>
        <v>0</v>
      </c>
      <c r="N53" s="192"/>
      <c r="O53" s="192"/>
    </row>
    <row r="54" spans="1:16" s="3" customFormat="1" ht="24" customHeight="1" x14ac:dyDescent="0.2">
      <c r="A54" s="35"/>
      <c r="B54" s="37">
        <f t="shared" si="13"/>
        <v>8.6999999999999975</v>
      </c>
      <c r="C54" s="33" t="s">
        <v>86</v>
      </c>
      <c r="D54" s="4" t="s">
        <v>10</v>
      </c>
      <c r="E54" s="17">
        <v>1</v>
      </c>
      <c r="F54" s="177">
        <v>415800</v>
      </c>
      <c r="G54" s="178">
        <v>8400</v>
      </c>
      <c r="H54" s="196">
        <v>1</v>
      </c>
      <c r="I54" s="196"/>
      <c r="J54" s="196">
        <f t="shared" si="1"/>
        <v>1</v>
      </c>
      <c r="K54" s="196">
        <f t="shared" si="2"/>
        <v>0</v>
      </c>
      <c r="L54" s="196">
        <f t="shared" si="3"/>
        <v>0</v>
      </c>
      <c r="M54" s="179">
        <f t="shared" si="12"/>
        <v>0</v>
      </c>
      <c r="N54" s="192"/>
      <c r="O54" s="192"/>
    </row>
    <row r="55" spans="1:16" s="2" customFormat="1" ht="92.25" customHeight="1" x14ac:dyDescent="0.2">
      <c r="A55" s="12">
        <f>A47+1</f>
        <v>9</v>
      </c>
      <c r="B55" s="54"/>
      <c r="C55" s="138" t="s">
        <v>46</v>
      </c>
      <c r="D55" s="64" t="s">
        <v>24</v>
      </c>
      <c r="E55" s="59">
        <v>700</v>
      </c>
      <c r="F55" s="181">
        <v>474.6</v>
      </c>
      <c r="G55" s="182">
        <v>105</v>
      </c>
      <c r="H55" s="201">
        <v>0</v>
      </c>
      <c r="I55" s="201"/>
      <c r="J55" s="196">
        <f t="shared" si="1"/>
        <v>0</v>
      </c>
      <c r="K55" s="196">
        <f t="shared" si="2"/>
        <v>0</v>
      </c>
      <c r="L55" s="196">
        <f t="shared" si="3"/>
        <v>0</v>
      </c>
      <c r="M55" s="183">
        <f t="shared" si="12"/>
        <v>0</v>
      </c>
      <c r="N55" s="192"/>
      <c r="O55" s="192"/>
      <c r="P55" s="106"/>
    </row>
    <row r="56" spans="1:16" s="2" customFormat="1" ht="92.25" customHeight="1" x14ac:dyDescent="0.2">
      <c r="A56" s="12">
        <f t="shared" ref="A56:A61" si="14">A55+1</f>
        <v>10</v>
      </c>
      <c r="B56" s="54"/>
      <c r="C56" s="138" t="s">
        <v>72</v>
      </c>
      <c r="D56" s="64" t="s">
        <v>24</v>
      </c>
      <c r="E56" s="59">
        <v>650</v>
      </c>
      <c r="F56" s="181">
        <v>462</v>
      </c>
      <c r="G56" s="182">
        <v>84</v>
      </c>
      <c r="H56" s="201">
        <v>356</v>
      </c>
      <c r="I56" s="201"/>
      <c r="J56" s="196">
        <f t="shared" si="1"/>
        <v>356</v>
      </c>
      <c r="K56" s="196">
        <f t="shared" si="2"/>
        <v>0</v>
      </c>
      <c r="L56" s="196">
        <f t="shared" si="3"/>
        <v>0</v>
      </c>
      <c r="M56" s="183">
        <f t="shared" si="12"/>
        <v>0</v>
      </c>
      <c r="N56" s="192"/>
      <c r="O56" s="192"/>
      <c r="P56" s="106"/>
    </row>
    <row r="57" spans="1:16" s="2" customFormat="1" ht="63.75" x14ac:dyDescent="0.2">
      <c r="A57" s="12">
        <f t="shared" si="14"/>
        <v>11</v>
      </c>
      <c r="B57" s="54"/>
      <c r="C57" s="138" t="s">
        <v>73</v>
      </c>
      <c r="D57" s="64" t="s">
        <v>24</v>
      </c>
      <c r="E57" s="59">
        <v>700</v>
      </c>
      <c r="F57" s="181">
        <v>92.4</v>
      </c>
      <c r="G57" s="182">
        <v>42</v>
      </c>
      <c r="H57" s="201">
        <v>484</v>
      </c>
      <c r="I57" s="201"/>
      <c r="J57" s="196">
        <f t="shared" si="1"/>
        <v>484</v>
      </c>
      <c r="K57" s="196">
        <f t="shared" si="2"/>
        <v>0</v>
      </c>
      <c r="L57" s="196">
        <f t="shared" si="3"/>
        <v>0</v>
      </c>
      <c r="M57" s="183">
        <f t="shared" si="12"/>
        <v>0</v>
      </c>
      <c r="N57" s="192"/>
      <c r="O57" s="192"/>
      <c r="P57" s="106"/>
    </row>
    <row r="58" spans="1:16" s="2" customFormat="1" ht="51" x14ac:dyDescent="0.2">
      <c r="A58" s="12">
        <f t="shared" si="14"/>
        <v>12</v>
      </c>
      <c r="B58" s="54"/>
      <c r="C58" s="138" t="s">
        <v>74</v>
      </c>
      <c r="D58" s="64" t="s">
        <v>24</v>
      </c>
      <c r="E58" s="59">
        <v>700</v>
      </c>
      <c r="F58" s="181">
        <v>294</v>
      </c>
      <c r="G58" s="182">
        <v>58.8</v>
      </c>
      <c r="H58" s="201">
        <v>484</v>
      </c>
      <c r="I58" s="201"/>
      <c r="J58" s="196">
        <f t="shared" si="1"/>
        <v>484</v>
      </c>
      <c r="K58" s="196">
        <f t="shared" si="2"/>
        <v>0</v>
      </c>
      <c r="L58" s="196">
        <f t="shared" si="3"/>
        <v>0</v>
      </c>
      <c r="M58" s="183">
        <f t="shared" si="12"/>
        <v>0</v>
      </c>
      <c r="N58" s="192"/>
      <c r="O58" s="192"/>
      <c r="P58" s="106"/>
    </row>
    <row r="59" spans="1:16" s="2" customFormat="1" ht="91.5" customHeight="1" thickBot="1" x14ac:dyDescent="0.25">
      <c r="A59" s="161">
        <f t="shared" si="14"/>
        <v>13</v>
      </c>
      <c r="B59" s="162"/>
      <c r="C59" s="163" t="s">
        <v>78</v>
      </c>
      <c r="D59" s="164" t="s">
        <v>24</v>
      </c>
      <c r="E59" s="165">
        <v>6200</v>
      </c>
      <c r="F59" s="187">
        <v>348.6</v>
      </c>
      <c r="G59" s="188">
        <v>50.4</v>
      </c>
      <c r="H59" s="203">
        <v>6620</v>
      </c>
      <c r="I59" s="203">
        <v>166</v>
      </c>
      <c r="J59" s="196">
        <f t="shared" si="1"/>
        <v>6786</v>
      </c>
      <c r="K59" s="196">
        <f t="shared" si="2"/>
        <v>57867.600000000006</v>
      </c>
      <c r="L59" s="196">
        <f t="shared" si="3"/>
        <v>8366.4</v>
      </c>
      <c r="M59" s="189">
        <f t="shared" si="12"/>
        <v>66234</v>
      </c>
      <c r="N59" s="192"/>
      <c r="O59" s="192"/>
      <c r="P59" s="106"/>
    </row>
    <row r="60" spans="1:16" s="2" customFormat="1" ht="63.75" x14ac:dyDescent="0.2">
      <c r="A60" s="166">
        <f t="shared" si="14"/>
        <v>14</v>
      </c>
      <c r="B60" s="167"/>
      <c r="C60" s="168" t="s">
        <v>79</v>
      </c>
      <c r="D60" s="169" t="s">
        <v>24</v>
      </c>
      <c r="E60" s="170">
        <f>750+1500</f>
        <v>2250</v>
      </c>
      <c r="F60" s="181">
        <v>357</v>
      </c>
      <c r="G60" s="182">
        <v>42</v>
      </c>
      <c r="H60" s="201">
        <v>3229</v>
      </c>
      <c r="I60" s="201"/>
      <c r="J60" s="196">
        <f t="shared" si="1"/>
        <v>3229</v>
      </c>
      <c r="K60" s="196">
        <f t="shared" si="2"/>
        <v>0</v>
      </c>
      <c r="L60" s="196">
        <f t="shared" si="3"/>
        <v>0</v>
      </c>
      <c r="M60" s="183">
        <f t="shared" si="12"/>
        <v>0</v>
      </c>
      <c r="N60" s="192"/>
      <c r="O60" s="192"/>
      <c r="P60" s="106"/>
    </row>
    <row r="61" spans="1:16" s="2" customFormat="1" ht="51" x14ac:dyDescent="0.2">
      <c r="A61" s="12">
        <f t="shared" si="14"/>
        <v>15</v>
      </c>
      <c r="B61" s="54"/>
      <c r="C61" s="63" t="s">
        <v>71</v>
      </c>
      <c r="D61" s="64" t="s">
        <v>24</v>
      </c>
      <c r="E61" s="59" t="s">
        <v>49</v>
      </c>
      <c r="F61" s="181">
        <v>462</v>
      </c>
      <c r="G61" s="182">
        <v>42</v>
      </c>
      <c r="H61" s="201">
        <v>0</v>
      </c>
      <c r="I61" s="201"/>
      <c r="J61" s="196">
        <f t="shared" si="1"/>
        <v>0</v>
      </c>
      <c r="K61" s="196">
        <f t="shared" si="2"/>
        <v>0</v>
      </c>
      <c r="L61" s="196">
        <f t="shared" si="3"/>
        <v>0</v>
      </c>
      <c r="M61" s="183">
        <f t="shared" si="12"/>
        <v>0</v>
      </c>
      <c r="N61" s="192"/>
      <c r="O61" s="192"/>
    </row>
    <row r="62" spans="1:16" s="3" customFormat="1" ht="63.75" x14ac:dyDescent="0.2">
      <c r="A62" s="12">
        <f t="shared" ref="A62" si="15">A61+1</f>
        <v>16</v>
      </c>
      <c r="B62" s="31"/>
      <c r="C62" s="127" t="s">
        <v>13</v>
      </c>
      <c r="D62" s="64" t="s">
        <v>25</v>
      </c>
      <c r="E62" s="59">
        <v>11500</v>
      </c>
      <c r="F62" s="181">
        <v>21</v>
      </c>
      <c r="G62" s="182">
        <v>2.52</v>
      </c>
      <c r="H62" s="201">
        <v>3212</v>
      </c>
      <c r="I62" s="201"/>
      <c r="J62" s="196">
        <f t="shared" si="1"/>
        <v>3212</v>
      </c>
      <c r="K62" s="196">
        <f t="shared" si="2"/>
        <v>0</v>
      </c>
      <c r="L62" s="196">
        <f t="shared" si="3"/>
        <v>0</v>
      </c>
      <c r="M62" s="183">
        <f t="shared" si="12"/>
        <v>0</v>
      </c>
      <c r="N62" s="192"/>
      <c r="O62" s="192"/>
    </row>
    <row r="63" spans="1:16" s="2" customFormat="1" ht="76.5" x14ac:dyDescent="0.2">
      <c r="A63" s="70">
        <f>A62+1</f>
        <v>17</v>
      </c>
      <c r="B63" s="71"/>
      <c r="C63" s="72" t="s">
        <v>11</v>
      </c>
      <c r="D63" s="13"/>
      <c r="E63" s="19"/>
      <c r="F63" s="177">
        <v>0</v>
      </c>
      <c r="G63" s="178">
        <v>0</v>
      </c>
      <c r="H63" s="196"/>
      <c r="I63" s="196"/>
      <c r="J63" s="196">
        <f t="shared" si="1"/>
        <v>0</v>
      </c>
      <c r="K63" s="196">
        <f t="shared" si="2"/>
        <v>0</v>
      </c>
      <c r="L63" s="196">
        <f t="shared" si="3"/>
        <v>0</v>
      </c>
      <c r="M63" s="179"/>
      <c r="N63" s="192"/>
      <c r="O63" s="192"/>
    </row>
    <row r="64" spans="1:16" s="3" customFormat="1" ht="24" customHeight="1" x14ac:dyDescent="0.2">
      <c r="A64" s="10"/>
      <c r="B64" s="39">
        <f>A63+0.1</f>
        <v>17.100000000000001</v>
      </c>
      <c r="C64" s="33" t="s">
        <v>51</v>
      </c>
      <c r="D64" s="4" t="s">
        <v>25</v>
      </c>
      <c r="E64" s="17">
        <f>2000+3400</f>
        <v>5400</v>
      </c>
      <c r="F64" s="177">
        <v>23.52</v>
      </c>
      <c r="G64" s="178">
        <v>2.52</v>
      </c>
      <c r="H64" s="196">
        <f>4064+576</f>
        <v>4640</v>
      </c>
      <c r="I64" s="196"/>
      <c r="J64" s="196">
        <f t="shared" si="1"/>
        <v>4640</v>
      </c>
      <c r="K64" s="196">
        <f t="shared" si="2"/>
        <v>0</v>
      </c>
      <c r="L64" s="196">
        <f t="shared" si="3"/>
        <v>0</v>
      </c>
      <c r="M64" s="179">
        <f t="shared" ref="M64:M80" si="16">L64+K64</f>
        <v>0</v>
      </c>
      <c r="N64" s="192"/>
      <c r="O64" s="192"/>
    </row>
    <row r="65" spans="1:15" s="3" customFormat="1" ht="24" customHeight="1" x14ac:dyDescent="0.2">
      <c r="A65" s="10"/>
      <c r="B65" s="39">
        <f>B64+0.1</f>
        <v>17.200000000000003</v>
      </c>
      <c r="C65" s="33" t="s">
        <v>50</v>
      </c>
      <c r="D65" s="4" t="s">
        <v>25</v>
      </c>
      <c r="E65" s="17">
        <v>3000</v>
      </c>
      <c r="F65" s="177">
        <v>19.32</v>
      </c>
      <c r="G65" s="178">
        <v>2.52</v>
      </c>
      <c r="H65" s="196">
        <v>2848</v>
      </c>
      <c r="I65" s="196"/>
      <c r="J65" s="196">
        <f t="shared" si="1"/>
        <v>2848</v>
      </c>
      <c r="K65" s="196">
        <f t="shared" si="2"/>
        <v>0</v>
      </c>
      <c r="L65" s="196">
        <f t="shared" si="3"/>
        <v>0</v>
      </c>
      <c r="M65" s="179">
        <f t="shared" si="16"/>
        <v>0</v>
      </c>
      <c r="N65" s="192"/>
      <c r="O65" s="192"/>
    </row>
    <row r="66" spans="1:15" s="3" customFormat="1" ht="24" customHeight="1" x14ac:dyDescent="0.2">
      <c r="A66" s="10"/>
      <c r="B66" s="39">
        <f>B65+0.1</f>
        <v>17.300000000000004</v>
      </c>
      <c r="C66" s="33" t="s">
        <v>75</v>
      </c>
      <c r="D66" s="4" t="s">
        <v>25</v>
      </c>
      <c r="E66" s="17">
        <v>15500</v>
      </c>
      <c r="F66" s="177">
        <v>15.120000000000001</v>
      </c>
      <c r="G66" s="178">
        <v>1.68</v>
      </c>
      <c r="H66" s="196">
        <v>15500</v>
      </c>
      <c r="I66" s="196"/>
      <c r="J66" s="196">
        <f t="shared" si="1"/>
        <v>15500</v>
      </c>
      <c r="K66" s="196">
        <f t="shared" si="2"/>
        <v>0</v>
      </c>
      <c r="L66" s="196">
        <f t="shared" si="3"/>
        <v>0</v>
      </c>
      <c r="M66" s="179">
        <f t="shared" si="16"/>
        <v>0</v>
      </c>
      <c r="N66" s="192"/>
      <c r="O66" s="192"/>
    </row>
    <row r="67" spans="1:15" s="3" customFormat="1" ht="24" customHeight="1" x14ac:dyDescent="0.2">
      <c r="A67" s="10"/>
      <c r="B67" s="39">
        <f>B66+0.1</f>
        <v>17.400000000000006</v>
      </c>
      <c r="C67" s="33" t="s">
        <v>87</v>
      </c>
      <c r="D67" s="4" t="s">
        <v>5</v>
      </c>
      <c r="E67" s="17">
        <v>3</v>
      </c>
      <c r="F67" s="177">
        <v>2520</v>
      </c>
      <c r="G67" s="178">
        <v>588</v>
      </c>
      <c r="H67" s="196">
        <v>3</v>
      </c>
      <c r="I67" s="196"/>
      <c r="J67" s="196">
        <f t="shared" si="1"/>
        <v>3</v>
      </c>
      <c r="K67" s="196">
        <f t="shared" si="2"/>
        <v>0</v>
      </c>
      <c r="L67" s="196">
        <f t="shared" si="3"/>
        <v>0</v>
      </c>
      <c r="M67" s="179">
        <f t="shared" si="16"/>
        <v>0</v>
      </c>
      <c r="N67" s="192"/>
      <c r="O67" s="192"/>
    </row>
    <row r="68" spans="1:15" s="3" customFormat="1" ht="45.75" customHeight="1" x14ac:dyDescent="0.2">
      <c r="A68" s="70">
        <f>A63+1</f>
        <v>18</v>
      </c>
      <c r="B68" s="39"/>
      <c r="C68" s="140" t="s">
        <v>88</v>
      </c>
      <c r="D68" s="4" t="s">
        <v>23</v>
      </c>
      <c r="E68" s="17">
        <v>5</v>
      </c>
      <c r="F68" s="177">
        <v>378</v>
      </c>
      <c r="G68" s="178">
        <v>126</v>
      </c>
      <c r="H68" s="196">
        <v>5</v>
      </c>
      <c r="I68" s="196"/>
      <c r="J68" s="196">
        <f t="shared" si="1"/>
        <v>5</v>
      </c>
      <c r="K68" s="196">
        <f t="shared" si="2"/>
        <v>0</v>
      </c>
      <c r="L68" s="196">
        <f t="shared" si="3"/>
        <v>0</v>
      </c>
      <c r="M68" s="179">
        <f t="shared" si="16"/>
        <v>0</v>
      </c>
      <c r="N68" s="192"/>
      <c r="O68" s="192"/>
    </row>
    <row r="69" spans="1:15" s="3" customFormat="1" ht="51.75" thickBot="1" x14ac:dyDescent="0.25">
      <c r="A69" s="171">
        <f t="shared" ref="A69:A74" si="17">A68+1</f>
        <v>19</v>
      </c>
      <c r="B69" s="172"/>
      <c r="C69" s="173" t="s">
        <v>89</v>
      </c>
      <c r="D69" s="156" t="s">
        <v>5</v>
      </c>
      <c r="E69" s="145">
        <v>1</v>
      </c>
      <c r="F69" s="184">
        <v>3360</v>
      </c>
      <c r="G69" s="185">
        <v>420</v>
      </c>
      <c r="H69" s="200">
        <v>1</v>
      </c>
      <c r="I69" s="200"/>
      <c r="J69" s="196">
        <f t="shared" si="1"/>
        <v>1</v>
      </c>
      <c r="K69" s="196">
        <f t="shared" si="2"/>
        <v>0</v>
      </c>
      <c r="L69" s="196">
        <f t="shared" si="3"/>
        <v>0</v>
      </c>
      <c r="M69" s="186">
        <f t="shared" si="16"/>
        <v>0</v>
      </c>
      <c r="N69" s="192"/>
      <c r="O69" s="192"/>
    </row>
    <row r="70" spans="1:15" s="2" customFormat="1" ht="51" x14ac:dyDescent="0.2">
      <c r="A70" s="166">
        <f t="shared" si="17"/>
        <v>20</v>
      </c>
      <c r="B70" s="167"/>
      <c r="C70" s="174" t="s">
        <v>80</v>
      </c>
      <c r="D70" s="175" t="s">
        <v>25</v>
      </c>
      <c r="E70" s="170">
        <v>5900</v>
      </c>
      <c r="F70" s="181">
        <v>21</v>
      </c>
      <c r="G70" s="182">
        <v>2.52</v>
      </c>
      <c r="H70" s="201"/>
      <c r="I70" s="201"/>
      <c r="J70" s="196">
        <f t="shared" si="1"/>
        <v>0</v>
      </c>
      <c r="K70" s="196">
        <f t="shared" si="2"/>
        <v>0</v>
      </c>
      <c r="L70" s="196">
        <f t="shared" si="3"/>
        <v>0</v>
      </c>
      <c r="M70" s="183">
        <f t="shared" si="16"/>
        <v>0</v>
      </c>
      <c r="N70" s="192"/>
      <c r="O70" s="192"/>
    </row>
    <row r="71" spans="1:15" s="2" customFormat="1" ht="89.25" x14ac:dyDescent="0.2">
      <c r="A71" s="12">
        <f t="shared" si="17"/>
        <v>21</v>
      </c>
      <c r="B71" s="54"/>
      <c r="C71" s="132" t="s">
        <v>48</v>
      </c>
      <c r="D71" s="105" t="s">
        <v>25</v>
      </c>
      <c r="E71" s="104">
        <v>1000</v>
      </c>
      <c r="F71" s="181">
        <v>42</v>
      </c>
      <c r="G71" s="182">
        <v>4.2</v>
      </c>
      <c r="H71" s="201">
        <v>0</v>
      </c>
      <c r="I71" s="201"/>
      <c r="J71" s="196">
        <f t="shared" si="1"/>
        <v>0</v>
      </c>
      <c r="K71" s="196">
        <f t="shared" si="2"/>
        <v>0</v>
      </c>
      <c r="L71" s="196">
        <f t="shared" si="3"/>
        <v>0</v>
      </c>
      <c r="M71" s="183">
        <f t="shared" si="16"/>
        <v>0</v>
      </c>
      <c r="N71" s="192"/>
      <c r="O71" s="192"/>
    </row>
    <row r="72" spans="1:15" s="2" customFormat="1" ht="38.25" x14ac:dyDescent="0.2">
      <c r="A72" s="12">
        <f t="shared" si="17"/>
        <v>22</v>
      </c>
      <c r="B72" s="54"/>
      <c r="C72" s="137" t="s">
        <v>83</v>
      </c>
      <c r="D72" s="73" t="s">
        <v>25</v>
      </c>
      <c r="E72" s="59">
        <v>2000</v>
      </c>
      <c r="F72" s="181">
        <v>25.2</v>
      </c>
      <c r="G72" s="182">
        <v>2.52</v>
      </c>
      <c r="H72" s="201">
        <v>0</v>
      </c>
      <c r="I72" s="201"/>
      <c r="J72" s="196">
        <f t="shared" si="1"/>
        <v>0</v>
      </c>
      <c r="K72" s="196">
        <f t="shared" si="2"/>
        <v>0</v>
      </c>
      <c r="L72" s="196">
        <f t="shared" si="3"/>
        <v>0</v>
      </c>
      <c r="M72" s="183">
        <f t="shared" si="16"/>
        <v>0</v>
      </c>
      <c r="N72" s="192"/>
      <c r="O72" s="192"/>
    </row>
    <row r="73" spans="1:15" s="2" customFormat="1" ht="51" x14ac:dyDescent="0.2">
      <c r="A73" s="12">
        <f t="shared" si="17"/>
        <v>23</v>
      </c>
      <c r="B73" s="54"/>
      <c r="C73" s="137" t="s">
        <v>82</v>
      </c>
      <c r="D73" s="73" t="s">
        <v>25</v>
      </c>
      <c r="E73" s="59">
        <v>2500</v>
      </c>
      <c r="F73" s="181">
        <v>20.16</v>
      </c>
      <c r="G73" s="182">
        <v>2.52</v>
      </c>
      <c r="H73" s="201">
        <v>0</v>
      </c>
      <c r="I73" s="201"/>
      <c r="J73" s="196">
        <f t="shared" si="1"/>
        <v>0</v>
      </c>
      <c r="K73" s="196">
        <f t="shared" si="2"/>
        <v>0</v>
      </c>
      <c r="L73" s="196">
        <f t="shared" si="3"/>
        <v>0</v>
      </c>
      <c r="M73" s="183">
        <f t="shared" si="16"/>
        <v>0</v>
      </c>
      <c r="N73" s="192"/>
      <c r="O73" s="192"/>
    </row>
    <row r="74" spans="1:15" s="2" customFormat="1" ht="51" x14ac:dyDescent="0.2">
      <c r="A74" s="12">
        <f t="shared" si="17"/>
        <v>24</v>
      </c>
      <c r="B74" s="54"/>
      <c r="C74" s="67" t="s">
        <v>84</v>
      </c>
      <c r="D74" s="139"/>
      <c r="E74" s="19"/>
      <c r="F74" s="87"/>
      <c r="G74" s="94"/>
      <c r="H74" s="196"/>
      <c r="I74" s="196"/>
      <c r="J74" s="196">
        <f t="shared" si="1"/>
        <v>0</v>
      </c>
      <c r="K74" s="196">
        <f t="shared" si="2"/>
        <v>0</v>
      </c>
      <c r="L74" s="196">
        <f t="shared" si="3"/>
        <v>0</v>
      </c>
      <c r="M74" s="179"/>
      <c r="N74" s="192"/>
      <c r="O74" s="192"/>
    </row>
    <row r="75" spans="1:15" s="3" customFormat="1" ht="24" customHeight="1" x14ac:dyDescent="0.2">
      <c r="A75" s="10"/>
      <c r="B75" s="39">
        <f>A74+0.1</f>
        <v>24.1</v>
      </c>
      <c r="C75" s="33" t="s">
        <v>76</v>
      </c>
      <c r="D75" s="4" t="s">
        <v>10</v>
      </c>
      <c r="E75" s="17">
        <v>1</v>
      </c>
      <c r="F75" s="177">
        <v>71400</v>
      </c>
      <c r="G75" s="178">
        <v>4200</v>
      </c>
      <c r="H75" s="196">
        <v>1</v>
      </c>
      <c r="I75" s="196"/>
      <c r="J75" s="196">
        <f t="shared" si="1"/>
        <v>1</v>
      </c>
      <c r="K75" s="196">
        <f t="shared" si="2"/>
        <v>0</v>
      </c>
      <c r="L75" s="196">
        <f t="shared" si="3"/>
        <v>0</v>
      </c>
      <c r="M75" s="179">
        <f t="shared" si="16"/>
        <v>0</v>
      </c>
      <c r="N75" s="192"/>
      <c r="O75" s="192"/>
    </row>
    <row r="76" spans="1:15" s="3" customFormat="1" ht="24" customHeight="1" x14ac:dyDescent="0.2">
      <c r="A76" s="10"/>
      <c r="B76" s="39">
        <f>B75+0.1</f>
        <v>24.200000000000003</v>
      </c>
      <c r="C76" s="33" t="s">
        <v>77</v>
      </c>
      <c r="D76" s="4" t="s">
        <v>10</v>
      </c>
      <c r="E76" s="17">
        <v>1</v>
      </c>
      <c r="F76" s="177">
        <v>74760</v>
      </c>
      <c r="G76" s="178">
        <v>4200</v>
      </c>
      <c r="H76" s="196">
        <v>1</v>
      </c>
      <c r="I76" s="196"/>
      <c r="J76" s="196">
        <f t="shared" si="1"/>
        <v>1</v>
      </c>
      <c r="K76" s="196">
        <f t="shared" si="2"/>
        <v>0</v>
      </c>
      <c r="L76" s="196">
        <f t="shared" si="3"/>
        <v>0</v>
      </c>
      <c r="M76" s="179">
        <f t="shared" si="16"/>
        <v>0</v>
      </c>
      <c r="N76" s="192"/>
      <c r="O76" s="192"/>
    </row>
    <row r="77" spans="1:15" s="2" customFormat="1" ht="64.5" thickBot="1" x14ac:dyDescent="0.25">
      <c r="A77" s="161">
        <f>A74+1</f>
        <v>25</v>
      </c>
      <c r="B77" s="162"/>
      <c r="C77" s="173" t="s">
        <v>81</v>
      </c>
      <c r="D77" s="176" t="s">
        <v>8</v>
      </c>
      <c r="E77" s="149">
        <v>1</v>
      </c>
      <c r="F77" s="187">
        <v>294000</v>
      </c>
      <c r="G77" s="188">
        <v>42000</v>
      </c>
      <c r="H77" s="203">
        <v>1</v>
      </c>
      <c r="I77" s="203"/>
      <c r="J77" s="196">
        <f t="shared" si="1"/>
        <v>1</v>
      </c>
      <c r="K77" s="196">
        <f t="shared" si="2"/>
        <v>0</v>
      </c>
      <c r="L77" s="196">
        <f t="shared" si="3"/>
        <v>0</v>
      </c>
      <c r="M77" s="189">
        <f t="shared" si="16"/>
        <v>0</v>
      </c>
      <c r="N77" s="192"/>
      <c r="O77" s="192"/>
    </row>
    <row r="78" spans="1:15" s="2" customFormat="1" ht="76.5" x14ac:dyDescent="0.2">
      <c r="A78" s="166">
        <f>A77+1</f>
        <v>26</v>
      </c>
      <c r="B78" s="167"/>
      <c r="C78" s="174" t="s">
        <v>31</v>
      </c>
      <c r="D78" s="175" t="s">
        <v>8</v>
      </c>
      <c r="E78" s="170">
        <v>1</v>
      </c>
      <c r="F78" s="181">
        <v>50400</v>
      </c>
      <c r="G78" s="182">
        <v>8400</v>
      </c>
      <c r="H78" s="201">
        <v>1</v>
      </c>
      <c r="I78" s="201"/>
      <c r="J78" s="196">
        <f t="shared" ref="J78:J80" si="18">I78+H78</f>
        <v>1</v>
      </c>
      <c r="K78" s="196">
        <f t="shared" ref="K78:K80" si="19">I78*F78</f>
        <v>0</v>
      </c>
      <c r="L78" s="196">
        <f t="shared" ref="L78:L80" si="20">I78*G78</f>
        <v>0</v>
      </c>
      <c r="M78" s="183">
        <f t="shared" si="16"/>
        <v>0</v>
      </c>
      <c r="N78" s="192"/>
      <c r="O78" s="192"/>
    </row>
    <row r="79" spans="1:15" s="3" customFormat="1" ht="81" customHeight="1" x14ac:dyDescent="0.2">
      <c r="A79" s="12">
        <f t="shared" ref="A79:A80" si="21">A78+1</f>
        <v>27</v>
      </c>
      <c r="B79" s="71"/>
      <c r="C79" s="69" t="s">
        <v>16</v>
      </c>
      <c r="D79" s="73" t="s">
        <v>4</v>
      </c>
      <c r="E79" s="59">
        <v>1</v>
      </c>
      <c r="F79" s="181">
        <v>0</v>
      </c>
      <c r="G79" s="182">
        <v>105000</v>
      </c>
      <c r="H79" s="201">
        <v>1</v>
      </c>
      <c r="I79" s="201"/>
      <c r="J79" s="196">
        <f t="shared" si="18"/>
        <v>1</v>
      </c>
      <c r="K79" s="196">
        <f t="shared" si="19"/>
        <v>0</v>
      </c>
      <c r="L79" s="196">
        <f t="shared" si="20"/>
        <v>0</v>
      </c>
      <c r="M79" s="183">
        <f t="shared" si="16"/>
        <v>0</v>
      </c>
      <c r="N79" s="192"/>
      <c r="O79" s="192"/>
    </row>
    <row r="80" spans="1:15" s="3" customFormat="1" ht="77.25" thickBot="1" x14ac:dyDescent="0.25">
      <c r="A80" s="57">
        <f t="shared" si="21"/>
        <v>28</v>
      </c>
      <c r="B80" s="58"/>
      <c r="C80" s="60" t="s">
        <v>45</v>
      </c>
      <c r="D80" s="61" t="s">
        <v>4</v>
      </c>
      <c r="E80" s="62">
        <v>1</v>
      </c>
      <c r="F80" s="181">
        <v>12600</v>
      </c>
      <c r="G80" s="182">
        <v>12600</v>
      </c>
      <c r="H80" s="201">
        <v>1</v>
      </c>
      <c r="I80" s="201"/>
      <c r="J80" s="196">
        <f t="shared" si="18"/>
        <v>1</v>
      </c>
      <c r="K80" s="196">
        <f t="shared" si="19"/>
        <v>0</v>
      </c>
      <c r="L80" s="196">
        <f t="shared" si="20"/>
        <v>0</v>
      </c>
      <c r="M80" s="183">
        <f t="shared" si="16"/>
        <v>0</v>
      </c>
      <c r="N80" s="192"/>
      <c r="O80" s="192"/>
    </row>
    <row r="81" spans="1:15" s="3" customFormat="1" ht="31.5" customHeight="1" thickTop="1" thickBot="1" x14ac:dyDescent="0.25">
      <c r="A81" s="47"/>
      <c r="B81" s="48"/>
      <c r="C81" s="56" t="s">
        <v>92</v>
      </c>
      <c r="D81" s="55"/>
      <c r="E81" s="49"/>
      <c r="F81" s="88"/>
      <c r="G81" s="95"/>
      <c r="H81" s="204"/>
      <c r="I81" s="204"/>
      <c r="J81" s="204"/>
      <c r="K81" s="180">
        <f>SUM(K6:K80)</f>
        <v>281307.59999999998</v>
      </c>
      <c r="L81" s="180">
        <f>SUM(L6:L80)</f>
        <v>40202.400000000001</v>
      </c>
      <c r="M81" s="180">
        <f>SUM(M6:M80)</f>
        <v>321510</v>
      </c>
      <c r="N81" s="190"/>
      <c r="O81" s="131"/>
    </row>
    <row r="82" spans="1:15" s="3" customFormat="1" ht="27" customHeight="1" x14ac:dyDescent="0.2">
      <c r="A82" s="74"/>
      <c r="B82" s="75"/>
      <c r="C82" s="76"/>
      <c r="D82" s="77"/>
      <c r="E82" s="78"/>
      <c r="F82" s="79"/>
      <c r="G82" s="79"/>
      <c r="H82" s="79"/>
      <c r="I82" s="79"/>
      <c r="J82" s="79"/>
      <c r="K82" s="79"/>
      <c r="L82" s="79"/>
      <c r="M82" s="79"/>
      <c r="N82" s="191"/>
      <c r="O82" s="123"/>
    </row>
  </sheetData>
  <mergeCells count="12">
    <mergeCell ref="A7:B9"/>
    <mergeCell ref="C7:C9"/>
    <mergeCell ref="D8:D9"/>
    <mergeCell ref="E8:E9"/>
    <mergeCell ref="D7:G7"/>
    <mergeCell ref="H7:M7"/>
    <mergeCell ref="H8:H9"/>
    <mergeCell ref="K8:K9"/>
    <mergeCell ref="L8:L9"/>
    <mergeCell ref="M8:M9"/>
    <mergeCell ref="I8:I9"/>
    <mergeCell ref="J8:J9"/>
  </mergeCells>
  <printOptions horizontalCentered="1"/>
  <pageMargins left="0.25" right="0.25" top="0.75" bottom="0.5" header="0.32" footer="0.25"/>
  <pageSetup paperSize="9" scale="88" orientation="landscape" r:id="rId1"/>
  <headerFooter scaleWithDoc="0" alignWithMargins="0">
    <oddFooter>&amp;L&amp;8SEM Engineers&amp;R&amp;8Page &amp;P of  &amp;N</oddFooter>
  </headerFooter>
  <rowBreaks count="1" manualBreakCount="1">
    <brk id="28" max="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82B4B-B9AC-45A2-8F36-A26CF960DA86}">
  <dimension ref="A5:L38"/>
  <sheetViews>
    <sheetView workbookViewId="0">
      <selection activeCell="N24" sqref="N24"/>
    </sheetView>
  </sheetViews>
  <sheetFormatPr defaultRowHeight="14.25" x14ac:dyDescent="0.2"/>
  <cols>
    <col min="2" max="2" width="20.625" customWidth="1"/>
    <col min="3" max="3" width="6.25" customWidth="1"/>
    <col min="4" max="6" width="7.625" customWidth="1"/>
    <col min="10" max="10" width="12.625" customWidth="1"/>
  </cols>
  <sheetData>
    <row r="5" spans="1:12" x14ac:dyDescent="0.2">
      <c r="I5" t="s">
        <v>96</v>
      </c>
    </row>
    <row r="6" spans="1:12" x14ac:dyDescent="0.2">
      <c r="A6" s="212">
        <v>1</v>
      </c>
      <c r="B6" s="212" t="s">
        <v>97</v>
      </c>
      <c r="C6" s="212" t="s">
        <v>98</v>
      </c>
      <c r="D6" s="212">
        <f>3+6</f>
        <v>9</v>
      </c>
      <c r="E6" s="212"/>
      <c r="F6" s="212">
        <f t="shared" ref="F6:F13" si="0">D6</f>
        <v>9</v>
      </c>
      <c r="G6" s="212" t="s">
        <v>99</v>
      </c>
      <c r="J6" s="210">
        <v>130.53</v>
      </c>
      <c r="L6">
        <v>166.49</v>
      </c>
    </row>
    <row r="7" spans="1:12" x14ac:dyDescent="0.2">
      <c r="A7" s="212">
        <v>2</v>
      </c>
      <c r="B7" s="212" t="s">
        <v>97</v>
      </c>
      <c r="C7" s="212" t="s">
        <v>100</v>
      </c>
      <c r="D7" s="212">
        <v>1</v>
      </c>
      <c r="E7" s="212"/>
      <c r="F7" s="212">
        <f t="shared" si="0"/>
        <v>1</v>
      </c>
      <c r="G7" s="212" t="s">
        <v>99</v>
      </c>
      <c r="J7" s="210">
        <v>11.25</v>
      </c>
      <c r="L7">
        <v>85.96</v>
      </c>
    </row>
    <row r="8" spans="1:12" x14ac:dyDescent="0.2">
      <c r="A8" s="212">
        <v>3</v>
      </c>
      <c r="B8" s="212" t="s">
        <v>97</v>
      </c>
      <c r="C8" s="212" t="s">
        <v>101</v>
      </c>
      <c r="D8" s="212">
        <v>7</v>
      </c>
      <c r="E8" s="212"/>
      <c r="F8" s="212">
        <f t="shared" si="0"/>
        <v>7</v>
      </c>
      <c r="G8" s="212" t="s">
        <v>99</v>
      </c>
      <c r="J8" s="210">
        <v>189.81</v>
      </c>
      <c r="L8">
        <v>32.75</v>
      </c>
    </row>
    <row r="9" spans="1:12" x14ac:dyDescent="0.2">
      <c r="A9" s="212"/>
      <c r="B9" s="212" t="s">
        <v>102</v>
      </c>
      <c r="C9" s="212" t="s">
        <v>98</v>
      </c>
      <c r="D9" s="212">
        <v>120</v>
      </c>
      <c r="E9" s="212"/>
      <c r="F9" s="212">
        <f t="shared" si="0"/>
        <v>120</v>
      </c>
      <c r="G9" s="212"/>
      <c r="J9" s="210">
        <v>152.11000000000001</v>
      </c>
      <c r="L9">
        <v>28.69</v>
      </c>
    </row>
    <row r="10" spans="1:12" x14ac:dyDescent="0.2">
      <c r="A10" s="212"/>
      <c r="B10" s="212" t="s">
        <v>102</v>
      </c>
      <c r="C10" s="212" t="s">
        <v>100</v>
      </c>
      <c r="D10" s="212">
        <v>740</v>
      </c>
      <c r="E10" s="212"/>
      <c r="F10" s="212">
        <f t="shared" si="0"/>
        <v>740</v>
      </c>
      <c r="G10" s="212"/>
      <c r="J10" s="210">
        <v>46.25</v>
      </c>
      <c r="L10">
        <v>3.13</v>
      </c>
    </row>
    <row r="11" spans="1:12" x14ac:dyDescent="0.2">
      <c r="A11" s="212"/>
      <c r="B11" s="212" t="s">
        <v>102</v>
      </c>
      <c r="C11" s="212" t="s">
        <v>101</v>
      </c>
      <c r="D11" s="212">
        <v>120</v>
      </c>
      <c r="E11" s="212"/>
      <c r="F11" s="212">
        <f t="shared" si="0"/>
        <v>120</v>
      </c>
      <c r="G11" s="212"/>
      <c r="J11" s="210">
        <v>385.29</v>
      </c>
      <c r="L11">
        <v>12</v>
      </c>
    </row>
    <row r="12" spans="1:12" x14ac:dyDescent="0.2">
      <c r="A12" s="212">
        <v>4</v>
      </c>
      <c r="B12" s="212" t="s">
        <v>102</v>
      </c>
      <c r="C12" s="212" t="s">
        <v>100</v>
      </c>
      <c r="D12" s="212">
        <f>570+810+200+100</f>
        <v>1680</v>
      </c>
      <c r="E12" s="212"/>
      <c r="F12" s="212">
        <f t="shared" si="0"/>
        <v>1680</v>
      </c>
      <c r="G12" s="212" t="s">
        <v>23</v>
      </c>
      <c r="J12" s="210">
        <v>42</v>
      </c>
      <c r="L12">
        <v>220.06</v>
      </c>
    </row>
    <row r="13" spans="1:12" x14ac:dyDescent="0.2">
      <c r="A13" s="212">
        <v>5</v>
      </c>
      <c r="B13" s="212" t="s">
        <v>102</v>
      </c>
      <c r="C13" s="212" t="s">
        <v>101</v>
      </c>
      <c r="D13" s="212">
        <v>152</v>
      </c>
      <c r="E13" s="212"/>
      <c r="F13" s="212">
        <f t="shared" si="0"/>
        <v>152</v>
      </c>
      <c r="G13" s="212" t="s">
        <v>23</v>
      </c>
      <c r="J13" s="210">
        <v>396.98</v>
      </c>
      <c r="L13">
        <v>6.67</v>
      </c>
    </row>
    <row r="14" spans="1:12" x14ac:dyDescent="0.2">
      <c r="A14" s="212">
        <v>6</v>
      </c>
      <c r="B14" s="212" t="s">
        <v>102</v>
      </c>
      <c r="C14" s="212" t="s">
        <v>103</v>
      </c>
      <c r="D14" s="212">
        <f>703+360+300</f>
        <v>1363</v>
      </c>
      <c r="E14" s="212">
        <f>14*20</f>
        <v>280</v>
      </c>
      <c r="F14" s="212">
        <f t="shared" ref="F14:F19" si="1">E14+D14</f>
        <v>1643</v>
      </c>
      <c r="G14" s="212" t="s">
        <v>23</v>
      </c>
      <c r="J14" s="210">
        <v>311.02</v>
      </c>
      <c r="L14">
        <v>406.74</v>
      </c>
    </row>
    <row r="15" spans="1:12" x14ac:dyDescent="0.2">
      <c r="A15" s="212">
        <v>7</v>
      </c>
      <c r="B15" s="212" t="s">
        <v>102</v>
      </c>
      <c r="C15" s="212" t="s">
        <v>104</v>
      </c>
      <c r="D15" s="212">
        <f>494+450+350+200</f>
        <v>1494</v>
      </c>
      <c r="E15" s="212">
        <f>22*20</f>
        <v>440</v>
      </c>
      <c r="F15" s="212">
        <f t="shared" si="1"/>
        <v>1934</v>
      </c>
      <c r="G15" s="212" t="s">
        <v>23</v>
      </c>
      <c r="J15" s="210">
        <v>169.43</v>
      </c>
      <c r="L15">
        <v>28.19</v>
      </c>
    </row>
    <row r="16" spans="1:12" x14ac:dyDescent="0.2">
      <c r="A16" s="212">
        <v>8</v>
      </c>
      <c r="B16" s="212" t="s">
        <v>102</v>
      </c>
      <c r="C16" s="212" t="s">
        <v>105</v>
      </c>
      <c r="D16" s="212">
        <f>342+300</f>
        <v>642</v>
      </c>
      <c r="E16" s="212">
        <f>10*20</f>
        <v>200</v>
      </c>
      <c r="F16" s="212">
        <f t="shared" si="1"/>
        <v>842</v>
      </c>
      <c r="G16" s="212" t="s">
        <v>23</v>
      </c>
      <c r="J16" s="210">
        <v>32.28</v>
      </c>
      <c r="L16">
        <f>SUM(L6:L15)</f>
        <v>990.68</v>
      </c>
    </row>
    <row r="17" spans="1:10" x14ac:dyDescent="0.2">
      <c r="A17" s="212">
        <v>9</v>
      </c>
      <c r="B17" s="212" t="s">
        <v>102</v>
      </c>
      <c r="C17" s="212" t="s">
        <v>106</v>
      </c>
      <c r="D17" s="212">
        <v>95</v>
      </c>
      <c r="E17" s="212">
        <f>8*20</f>
        <v>160</v>
      </c>
      <c r="F17" s="212">
        <f t="shared" si="1"/>
        <v>255</v>
      </c>
      <c r="G17" s="212" t="s">
        <v>23</v>
      </c>
      <c r="J17" s="210">
        <v>20.28</v>
      </c>
    </row>
    <row r="18" spans="1:10" x14ac:dyDescent="0.2">
      <c r="A18" s="212">
        <v>10</v>
      </c>
      <c r="B18" s="212" t="s">
        <v>102</v>
      </c>
      <c r="C18" s="212" t="s">
        <v>107</v>
      </c>
      <c r="D18" s="212">
        <f>285+350</f>
        <v>635</v>
      </c>
      <c r="E18" s="212">
        <f>14*20</f>
        <v>280</v>
      </c>
      <c r="F18" s="212">
        <f t="shared" si="1"/>
        <v>915</v>
      </c>
      <c r="G18" s="212" t="s">
        <v>23</v>
      </c>
      <c r="J18" s="210">
        <v>7.13</v>
      </c>
    </row>
    <row r="19" spans="1:10" x14ac:dyDescent="0.2">
      <c r="C19" s="213" t="s">
        <v>108</v>
      </c>
      <c r="D19" s="212">
        <f>25+260</f>
        <v>285</v>
      </c>
      <c r="F19" s="212">
        <f t="shared" si="1"/>
        <v>285</v>
      </c>
      <c r="J19" s="210">
        <v>30.06</v>
      </c>
    </row>
    <row r="20" spans="1:10" x14ac:dyDescent="0.2">
      <c r="J20" s="210">
        <v>119.72</v>
      </c>
    </row>
    <row r="21" spans="1:10" x14ac:dyDescent="0.2">
      <c r="J21" s="210">
        <v>32.69</v>
      </c>
    </row>
    <row r="22" spans="1:10" x14ac:dyDescent="0.2">
      <c r="F22">
        <f>F19+F18+F17+F16+F15+F14+F13+F12+F11+F10+F9</f>
        <v>8686</v>
      </c>
      <c r="J22" s="210">
        <v>88.85</v>
      </c>
    </row>
    <row r="23" spans="1:10" x14ac:dyDescent="0.2">
      <c r="F23">
        <f>F8*50</f>
        <v>350</v>
      </c>
      <c r="J23" s="210">
        <v>133.28</v>
      </c>
    </row>
    <row r="24" spans="1:10" x14ac:dyDescent="0.2">
      <c r="F24">
        <v>50</v>
      </c>
      <c r="J24" s="210">
        <v>98.38</v>
      </c>
    </row>
    <row r="25" spans="1:10" x14ac:dyDescent="0.2">
      <c r="F25">
        <f>F6*50</f>
        <v>450</v>
      </c>
      <c r="J25" s="210">
        <v>705.1</v>
      </c>
    </row>
    <row r="26" spans="1:10" x14ac:dyDescent="0.2">
      <c r="F26">
        <f>F25+F24+F23+F22</f>
        <v>9536</v>
      </c>
      <c r="J26" s="210">
        <v>550.13</v>
      </c>
    </row>
    <row r="27" spans="1:10" x14ac:dyDescent="0.2">
      <c r="J27" s="210">
        <v>311.5</v>
      </c>
    </row>
    <row r="28" spans="1:10" x14ac:dyDescent="0.2">
      <c r="J28" s="210">
        <v>111.39</v>
      </c>
    </row>
    <row r="29" spans="1:10" x14ac:dyDescent="0.2">
      <c r="J29" s="210">
        <v>42.33</v>
      </c>
    </row>
    <row r="30" spans="1:10" x14ac:dyDescent="0.2">
      <c r="J30" s="210">
        <v>736.67</v>
      </c>
    </row>
    <row r="31" spans="1:10" x14ac:dyDescent="0.2">
      <c r="J31" s="210">
        <v>105</v>
      </c>
    </row>
    <row r="32" spans="1:10" x14ac:dyDescent="0.2">
      <c r="J32" s="210">
        <v>310.74</v>
      </c>
    </row>
    <row r="33" spans="10:10" x14ac:dyDescent="0.2">
      <c r="J33" s="210">
        <v>448.6</v>
      </c>
    </row>
    <row r="34" spans="10:10" x14ac:dyDescent="0.2">
      <c r="J34" s="210">
        <v>246.67</v>
      </c>
    </row>
    <row r="35" spans="10:10" x14ac:dyDescent="0.2">
      <c r="J35" s="210">
        <v>7.46</v>
      </c>
    </row>
    <row r="36" spans="10:10" x14ac:dyDescent="0.2">
      <c r="J36" s="210">
        <v>25.92</v>
      </c>
    </row>
    <row r="37" spans="10:10" x14ac:dyDescent="0.2">
      <c r="J37" s="210">
        <v>621</v>
      </c>
    </row>
    <row r="38" spans="10:10" ht="15" x14ac:dyDescent="0.25">
      <c r="J38" s="211">
        <f>SUM(J6:J37)</f>
        <v>6619.85</v>
      </c>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HVAC</vt:lpstr>
      <vt:lpstr>Sheet1</vt:lpstr>
      <vt:lpstr>HVAC!Print_Area</vt:lpstr>
      <vt:lpstr>HVAC!Print_Titles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2025-01-22T10:29:24Z</cp:lastPrinted>
  <dcterms:created xsi:type="dcterms:W3CDTF">2001-08-24T09:20:00Z</dcterms:created>
  <dcterms:modified xsi:type="dcterms:W3CDTF">2025-05-06T12:52:17Z</dcterms:modified>
</cp:coreProperties>
</file>